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henancioMarthinz\Downloads\MercadoYangue\"/>
    </mc:Choice>
  </mc:AlternateContent>
  <xr:revisionPtr revIDLastSave="0" documentId="13_ncr:1_{E26E4D0B-18CF-4E91-937C-6AD08157FDA7}" xr6:coauthVersionLast="47" xr6:coauthVersionMax="47" xr10:uidLastSave="{00000000-0000-0000-0000-000000000000}"/>
  <bookViews>
    <workbookView xWindow="-120" yWindow="-120" windowWidth="20730" windowHeight="11040" tabRatio="730" activeTab="1" xr2:uid="{00000000-000D-0000-FFFF-FFFF00000000}"/>
  </bookViews>
  <sheets>
    <sheet name="Pressupostos" sheetId="1" r:id="rId1"/>
    <sheet name="Mapa de Quantidade" sheetId="2" r:id="rId2"/>
    <sheet name="Mapa custo com pessoal" sheetId="3" r:id="rId3"/>
    <sheet name="Custos Variáveis " sheetId="20" r:id="rId4"/>
    <sheet name="Mapa de Investimento" sheetId="4" r:id="rId5"/>
    <sheet name="Mapa de Fto" sheetId="5" r:id="rId6"/>
    <sheet name="Mapa Serviço da Dívida" sheetId="6" r:id="rId7"/>
    <sheet name="Mapa de Vendas" sheetId="7" r:id="rId8"/>
    <sheet name="Mapa de Exploração" sheetId="8" r:id="rId9"/>
    <sheet name="MOAF" sheetId="9" r:id="rId10"/>
    <sheet name="B.Previsional" sheetId="10" r:id="rId11"/>
    <sheet name="Mapa de orçamento de tesouraria" sheetId="11" r:id="rId12"/>
    <sheet name="Mapa do custos F &amp; V" sheetId="12" state="hidden" r:id="rId13"/>
    <sheet name="D.RESULTADOS" sheetId="13" r:id="rId14"/>
    <sheet name="Cash Flow Liquido" sheetId="14" r:id="rId15"/>
    <sheet name="VAL E PB" sheetId="15" r:id="rId16"/>
    <sheet name="RM" sheetId="16" state="hidden" r:id="rId17"/>
    <sheet name="Mapa de Cenários" sheetId="17" r:id="rId18"/>
    <sheet name="ANALISE" sheetId="18" state="hidden" r:id="rId19"/>
    <sheet name="RÁCIOS" sheetId="19" state="hidden" r:id="rId20"/>
  </sheets>
  <externalReferences>
    <externalReference r:id="rId21"/>
    <externalReference r:id="rId22"/>
  </externalReferenc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2" i="11" l="1"/>
  <c r="B8" i="11" l="1"/>
  <c r="C8" i="11"/>
  <c r="D8" i="11"/>
  <c r="E8" i="11"/>
  <c r="F8" i="11"/>
  <c r="G8" i="11"/>
  <c r="H8" i="11"/>
  <c r="C19" i="11"/>
  <c r="D19" i="11"/>
  <c r="E19" i="11"/>
  <c r="F19" i="11"/>
  <c r="G19" i="11"/>
  <c r="H19" i="11"/>
  <c r="H18" i="11" s="1"/>
  <c r="C20" i="11"/>
  <c r="D20" i="11"/>
  <c r="E20" i="11"/>
  <c r="F20" i="11"/>
  <c r="G20" i="11"/>
  <c r="H20" i="11"/>
  <c r="B23" i="11"/>
  <c r="G18" i="11" l="1"/>
  <c r="F18" i="11"/>
  <c r="E18" i="11"/>
  <c r="D18" i="11"/>
  <c r="C18" i="11"/>
  <c r="E11" i="17" l="1"/>
  <c r="E10" i="17" l="1"/>
  <c r="E9" i="17"/>
  <c r="E8" i="17"/>
  <c r="E7" i="17"/>
  <c r="C11" i="17"/>
  <c r="C10" i="17" l="1"/>
  <c r="C9" i="17"/>
  <c r="C8" i="17"/>
  <c r="C7" i="17"/>
  <c r="B18" i="1" l="1"/>
  <c r="B22" i="1"/>
  <c r="C18" i="1" l="1"/>
  <c r="D18" i="1" s="1"/>
  <c r="C17" i="1"/>
  <c r="D17" i="6"/>
  <c r="C22" i="1" l="1"/>
  <c r="A4" i="6"/>
  <c r="E7" i="7" l="1"/>
  <c r="H9" i="13" l="1"/>
  <c r="H21" i="10" l="1"/>
  <c r="H19" i="10"/>
  <c r="B21" i="10" l="1"/>
  <c r="H16" i="9" l="1"/>
  <c r="H22" i="11" s="1"/>
  <c r="H11" i="8" l="1"/>
  <c r="H16" i="8" s="1"/>
  <c r="H23" i="11" s="1"/>
  <c r="E12" i="2" l="1"/>
  <c r="B19" i="4" s="1"/>
  <c r="C19" i="4" s="1"/>
  <c r="D19" i="4" s="1"/>
  <c r="E19" i="4" s="1"/>
  <c r="F19" i="4" s="1"/>
  <c r="G19" i="4" s="1"/>
  <c r="H19" i="4" s="1"/>
  <c r="E13" i="2"/>
  <c r="E14" i="2" s="1"/>
  <c r="C8" i="20" l="1"/>
  <c r="D4" i="20"/>
  <c r="C5" i="20" l="1"/>
  <c r="D5" i="20" s="1"/>
  <c r="D9" i="20"/>
  <c r="D8" i="20"/>
  <c r="C6" i="20"/>
  <c r="D6" i="20" s="1"/>
  <c r="D10" i="20" l="1"/>
  <c r="F7" i="8" l="1"/>
  <c r="D7" i="8"/>
  <c r="C7" i="8"/>
  <c r="H7" i="8"/>
  <c r="G7" i="8"/>
  <c r="E7" i="8"/>
  <c r="F12" i="7"/>
  <c r="G12" i="7" s="1"/>
  <c r="F11" i="7"/>
  <c r="G11" i="7" s="1"/>
  <c r="F10" i="7"/>
  <c r="G10" i="7" s="1"/>
  <c r="F9" i="7"/>
  <c r="G9" i="7" l="1"/>
  <c r="H9" i="7"/>
  <c r="E48" i="2"/>
  <c r="E45" i="2" l="1"/>
  <c r="E44" i="2"/>
  <c r="E43" i="2"/>
  <c r="E42" i="2"/>
  <c r="E41" i="2"/>
  <c r="E40" i="2"/>
  <c r="E46" i="2" l="1"/>
  <c r="B9" i="4" s="1"/>
  <c r="E5" i="2"/>
  <c r="E28" i="2" l="1"/>
  <c r="E26" i="2" l="1"/>
  <c r="E27" i="2" l="1"/>
  <c r="E25" i="2"/>
  <c r="E24" i="2"/>
  <c r="E23" i="2"/>
  <c r="E22" i="2"/>
  <c r="E21" i="2"/>
  <c r="E20" i="2"/>
  <c r="E19" i="2"/>
  <c r="E18" i="2"/>
  <c r="E17" i="2"/>
  <c r="E16" i="2"/>
  <c r="E29" i="2" l="1"/>
  <c r="E9" i="3"/>
  <c r="E8" i="3" l="1"/>
  <c r="D8" i="3"/>
  <c r="E10" i="3" l="1"/>
  <c r="E11" i="3"/>
  <c r="E18" i="3"/>
  <c r="F18" i="3" s="1"/>
  <c r="G18" i="3" s="1"/>
  <c r="H18" i="3" s="1"/>
  <c r="I18" i="3" s="1"/>
  <c r="J18" i="3" s="1"/>
  <c r="E17" i="3"/>
  <c r="F17" i="3" s="1"/>
  <c r="G17" i="3" s="1"/>
  <c r="H17" i="3" s="1"/>
  <c r="I17" i="3" s="1"/>
  <c r="J17" i="3" s="1"/>
  <c r="E16" i="3"/>
  <c r="F16" i="3" s="1"/>
  <c r="G16" i="3" s="1"/>
  <c r="H16" i="3" s="1"/>
  <c r="I16" i="3" s="1"/>
  <c r="J16" i="3" s="1"/>
  <c r="E15" i="3"/>
  <c r="F15" i="3" s="1"/>
  <c r="G15" i="3" s="1"/>
  <c r="H15" i="3" s="1"/>
  <c r="I15" i="3" s="1"/>
  <c r="J15" i="3" s="1"/>
  <c r="B2" i="5" l="1"/>
  <c r="C3" i="1" l="1"/>
  <c r="C16" i="19"/>
  <c r="D16" i="19" s="1"/>
  <c r="E16" i="19" s="1"/>
  <c r="F16" i="19" s="1"/>
  <c r="G16" i="19" s="1"/>
  <c r="G10" i="19"/>
  <c r="C9" i="19"/>
  <c r="D9" i="19" s="1"/>
  <c r="E9" i="19" s="1"/>
  <c r="F9" i="19" s="1"/>
  <c r="G9" i="19" s="1"/>
  <c r="C2" i="19"/>
  <c r="D2" i="19" s="1"/>
  <c r="E2" i="19" s="1"/>
  <c r="F2" i="19" s="1"/>
  <c r="G2" i="19" s="1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C12" i="15"/>
  <c r="C17" i="12"/>
  <c r="H14" i="12"/>
  <c r="F12" i="12"/>
  <c r="G12" i="12" s="1"/>
  <c r="H12" i="12" s="1"/>
  <c r="E12" i="12"/>
  <c r="C8" i="12"/>
  <c r="H6" i="12"/>
  <c r="H5" i="12"/>
  <c r="H8" i="12" s="1"/>
  <c r="G5" i="12"/>
  <c r="G8" i="12" s="1"/>
  <c r="F5" i="12"/>
  <c r="F8" i="12" s="1"/>
  <c r="E5" i="12"/>
  <c r="E8" i="12" s="1"/>
  <c r="D5" i="12"/>
  <c r="D3" i="12"/>
  <c r="E3" i="12" s="1"/>
  <c r="F3" i="12" s="1"/>
  <c r="G3" i="12" s="1"/>
  <c r="H3" i="12" s="1"/>
  <c r="B27" i="11"/>
  <c r="B24" i="11"/>
  <c r="B21" i="11" s="1"/>
  <c r="H15" i="10"/>
  <c r="B18" i="9"/>
  <c r="H17" i="9"/>
  <c r="G17" i="9"/>
  <c r="F17" i="9"/>
  <c r="E17" i="9"/>
  <c r="D17" i="9"/>
  <c r="B6" i="8"/>
  <c r="B5" i="8" s="1"/>
  <c r="B5" i="11" s="1"/>
  <c r="B2" i="8"/>
  <c r="B2" i="9" s="1"/>
  <c r="B2" i="10" s="1"/>
  <c r="B2" i="11" s="1"/>
  <c r="D13" i="7"/>
  <c r="H12" i="7"/>
  <c r="D25" i="6"/>
  <c r="C8" i="6"/>
  <c r="A5" i="6"/>
  <c r="A6" i="6" s="1"/>
  <c r="A7" i="6" s="1"/>
  <c r="A8" i="6" s="1"/>
  <c r="A9" i="6" s="1"/>
  <c r="H7" i="5"/>
  <c r="G7" i="5"/>
  <c r="F7" i="5"/>
  <c r="E7" i="5"/>
  <c r="D7" i="5"/>
  <c r="C7" i="5"/>
  <c r="B13" i="4"/>
  <c r="B2" i="4"/>
  <c r="C28" i="3"/>
  <c r="C24" i="3"/>
  <c r="C31" i="3" s="1"/>
  <c r="D21" i="3"/>
  <c r="C32" i="3" s="1"/>
  <c r="C34" i="3" s="1"/>
  <c r="B8" i="8" s="1"/>
  <c r="C21" i="3"/>
  <c r="B21" i="3"/>
  <c r="E20" i="3"/>
  <c r="F20" i="3" s="1"/>
  <c r="G20" i="3" s="1"/>
  <c r="H20" i="3" s="1"/>
  <c r="I20" i="3" s="1"/>
  <c r="J20" i="3" s="1"/>
  <c r="E19" i="3"/>
  <c r="F19" i="3" s="1"/>
  <c r="G19" i="3" s="1"/>
  <c r="H19" i="3" s="1"/>
  <c r="I19" i="3" s="1"/>
  <c r="J19" i="3" s="1"/>
  <c r="E14" i="3"/>
  <c r="F14" i="3" s="1"/>
  <c r="G14" i="3" s="1"/>
  <c r="H14" i="3" s="1"/>
  <c r="I14" i="3" s="1"/>
  <c r="J14" i="3" s="1"/>
  <c r="E13" i="3"/>
  <c r="F13" i="3" s="1"/>
  <c r="G13" i="3" s="1"/>
  <c r="H13" i="3" s="1"/>
  <c r="I13" i="3" s="1"/>
  <c r="J13" i="3" s="1"/>
  <c r="E12" i="3"/>
  <c r="F12" i="3" s="1"/>
  <c r="G12" i="3" s="1"/>
  <c r="H12" i="3" s="1"/>
  <c r="I12" i="3" s="1"/>
  <c r="J12" i="3" s="1"/>
  <c r="F11" i="3"/>
  <c r="G11" i="3" s="1"/>
  <c r="H11" i="3" s="1"/>
  <c r="I11" i="3" s="1"/>
  <c r="J11" i="3" s="1"/>
  <c r="F10" i="3"/>
  <c r="G10" i="3" s="1"/>
  <c r="H10" i="3" s="1"/>
  <c r="I10" i="3" s="1"/>
  <c r="J10" i="3" s="1"/>
  <c r="F9" i="3"/>
  <c r="G9" i="3" s="1"/>
  <c r="H9" i="3" s="1"/>
  <c r="I9" i="3" s="1"/>
  <c r="J9" i="3" s="1"/>
  <c r="F8" i="3"/>
  <c r="G8" i="3" s="1"/>
  <c r="D7" i="3"/>
  <c r="H3" i="3"/>
  <c r="I3" i="3" s="1"/>
  <c r="J3" i="3" s="1"/>
  <c r="G3" i="3"/>
  <c r="D2" i="3"/>
  <c r="E49" i="2"/>
  <c r="E37" i="2"/>
  <c r="E36" i="2"/>
  <c r="E33" i="2"/>
  <c r="E32" i="2"/>
  <c r="E31" i="2"/>
  <c r="B8" i="4"/>
  <c r="E9" i="2"/>
  <c r="B5" i="4" s="1"/>
  <c r="E8" i="2"/>
  <c r="B14" i="4" s="1"/>
  <c r="E6" i="2"/>
  <c r="B21" i="1"/>
  <c r="C20" i="1"/>
  <c r="D20" i="1" s="1"/>
  <c r="E20" i="1" s="1"/>
  <c r="F20" i="1" s="1"/>
  <c r="G20" i="1" s="1"/>
  <c r="H20" i="1" s="1"/>
  <c r="C19" i="1"/>
  <c r="D19" i="1" s="1"/>
  <c r="E19" i="1" s="1"/>
  <c r="F19" i="1" s="1"/>
  <c r="G19" i="1" s="1"/>
  <c r="H19" i="1" s="1"/>
  <c r="D17" i="1"/>
  <c r="E17" i="1" s="1"/>
  <c r="F17" i="1" s="1"/>
  <c r="G17" i="1" s="1"/>
  <c r="H17" i="1" s="1"/>
  <c r="C15" i="1"/>
  <c r="D15" i="1" s="1"/>
  <c r="E15" i="1" s="1"/>
  <c r="F15" i="1" s="1"/>
  <c r="G15" i="1" s="1"/>
  <c r="H15" i="1" s="1"/>
  <c r="C13" i="1"/>
  <c r="D13" i="1" s="1"/>
  <c r="E13" i="1" s="1"/>
  <c r="F13" i="1" s="1"/>
  <c r="G13" i="1" s="1"/>
  <c r="H13" i="1" s="1"/>
  <c r="D12" i="1"/>
  <c r="E12" i="1" s="1"/>
  <c r="F12" i="1" s="1"/>
  <c r="C12" i="1"/>
  <c r="C21" i="1" s="1"/>
  <c r="C11" i="1"/>
  <c r="D11" i="1" s="1"/>
  <c r="E11" i="1" s="1"/>
  <c r="F11" i="1" s="1"/>
  <c r="G11" i="1" s="1"/>
  <c r="H11" i="1" s="1"/>
  <c r="C10" i="1"/>
  <c r="D10" i="1" s="1"/>
  <c r="E10" i="1" s="1"/>
  <c r="F10" i="1" s="1"/>
  <c r="G10" i="1" s="1"/>
  <c r="H10" i="1" s="1"/>
  <c r="C9" i="1"/>
  <c r="D9" i="1" s="1"/>
  <c r="E9" i="1" s="1"/>
  <c r="F9" i="1" s="1"/>
  <c r="G9" i="1" s="1"/>
  <c r="H9" i="1" s="1"/>
  <c r="C8" i="1"/>
  <c r="D8" i="1" s="1"/>
  <c r="E8" i="1" s="1"/>
  <c r="F8" i="1" s="1"/>
  <c r="G8" i="1" s="1"/>
  <c r="H8" i="1" s="1"/>
  <c r="C7" i="1"/>
  <c r="E6" i="1"/>
  <c r="F6" i="1" s="1"/>
  <c r="G6" i="1" s="1"/>
  <c r="H6" i="1" s="1"/>
  <c r="C6" i="1"/>
  <c r="C5" i="1"/>
  <c r="D5" i="1" s="1"/>
  <c r="E5" i="1" s="1"/>
  <c r="F5" i="1" s="1"/>
  <c r="G5" i="1" s="1"/>
  <c r="H5" i="1" s="1"/>
  <c r="C3" i="16" l="1"/>
  <c r="E3" i="16" s="1"/>
  <c r="E38" i="2"/>
  <c r="B7" i="4" s="1"/>
  <c r="E34" i="2"/>
  <c r="E12" i="7"/>
  <c r="E10" i="7"/>
  <c r="E9" i="7"/>
  <c r="E11" i="7"/>
  <c r="F21" i="1"/>
  <c r="C2" i="4"/>
  <c r="C2" i="5"/>
  <c r="D3" i="1"/>
  <c r="G7" i="7"/>
  <c r="B2" i="13"/>
  <c r="B2" i="14" s="1"/>
  <c r="B3" i="15" s="1"/>
  <c r="B6" i="4"/>
  <c r="B11" i="4" s="1"/>
  <c r="C5" i="6"/>
  <c r="C6" i="6"/>
  <c r="C9" i="6"/>
  <c r="C7" i="6"/>
  <c r="B15" i="4"/>
  <c r="C16" i="4" s="1"/>
  <c r="E10" i="2"/>
  <c r="H10" i="7"/>
  <c r="H11" i="7"/>
  <c r="F13" i="7"/>
  <c r="I12" i="7"/>
  <c r="J12" i="7"/>
  <c r="C11" i="4"/>
  <c r="C14" i="11" s="1"/>
  <c r="D2" i="8"/>
  <c r="D2" i="9" s="1"/>
  <c r="D2" i="10" s="1"/>
  <c r="E24" i="3"/>
  <c r="E31" i="3" s="1"/>
  <c r="F7" i="3"/>
  <c r="E2" i="3"/>
  <c r="D24" i="3"/>
  <c r="D31" i="3" s="1"/>
  <c r="E7" i="3"/>
  <c r="C2" i="8"/>
  <c r="C2" i="9" s="1"/>
  <c r="C2" i="10" s="1"/>
  <c r="H8" i="3"/>
  <c r="G21" i="3"/>
  <c r="G12" i="1"/>
  <c r="D21" i="1"/>
  <c r="E21" i="1"/>
  <c r="F21" i="3"/>
  <c r="D7" i="1"/>
  <c r="E21" i="3"/>
  <c r="D2" i="13" l="1"/>
  <c r="D2" i="14" s="1"/>
  <c r="B5" i="15" s="1"/>
  <c r="D2" i="11"/>
  <c r="C2" i="11"/>
  <c r="C2" i="13" s="1"/>
  <c r="C2" i="14" s="1"/>
  <c r="B4" i="15" s="1"/>
  <c r="I7" i="7"/>
  <c r="D2" i="5"/>
  <c r="E3" i="1"/>
  <c r="D2" i="4"/>
  <c r="F2" i="3"/>
  <c r="H9" i="8"/>
  <c r="G9" i="8"/>
  <c r="F9" i="8"/>
  <c r="E9" i="8"/>
  <c r="D9" i="8"/>
  <c r="C9" i="8"/>
  <c r="B20" i="4"/>
  <c r="B18" i="4" s="1"/>
  <c r="B15" i="11" s="1"/>
  <c r="E50" i="2"/>
  <c r="G13" i="7"/>
  <c r="C4" i="8" s="1"/>
  <c r="C3" i="8" s="1"/>
  <c r="C4" i="11" s="1"/>
  <c r="I9" i="7"/>
  <c r="J9" i="7"/>
  <c r="D15" i="4"/>
  <c r="E15" i="4" s="1"/>
  <c r="I10" i="7"/>
  <c r="J10" i="7"/>
  <c r="B16" i="4"/>
  <c r="B6" i="10" s="1"/>
  <c r="D6" i="10" s="1"/>
  <c r="H6" i="10" s="1"/>
  <c r="K12" i="7"/>
  <c r="L12" i="7"/>
  <c r="N12" i="7" s="1"/>
  <c r="P12" i="7" s="1"/>
  <c r="Q12" i="7" s="1"/>
  <c r="I11" i="7"/>
  <c r="J11" i="7"/>
  <c r="D7" i="4"/>
  <c r="E7" i="4" s="1"/>
  <c r="D22" i="1"/>
  <c r="E18" i="1"/>
  <c r="E27" i="3"/>
  <c r="E32" i="3"/>
  <c r="E25" i="3"/>
  <c r="E26" i="3"/>
  <c r="F27" i="3"/>
  <c r="F32" i="3"/>
  <c r="F25" i="3"/>
  <c r="F26" i="3"/>
  <c r="H21" i="3"/>
  <c r="I8" i="3"/>
  <c r="D7" i="17"/>
  <c r="E7" i="1"/>
  <c r="F7" i="1" s="1"/>
  <c r="G7" i="1" s="1"/>
  <c r="H7" i="1" s="1"/>
  <c r="E13" i="7"/>
  <c r="B4" i="8" s="1"/>
  <c r="B3" i="8" s="1"/>
  <c r="B4" i="11" s="1"/>
  <c r="B6" i="11" s="1"/>
  <c r="G21" i="1"/>
  <c r="H12" i="1"/>
  <c r="H21" i="1" s="1"/>
  <c r="D26" i="3"/>
  <c r="D32" i="3"/>
  <c r="D25" i="3"/>
  <c r="D27" i="3"/>
  <c r="B14" i="11" l="1"/>
  <c r="B12" i="11" s="1"/>
  <c r="B16" i="11" s="1"/>
  <c r="F24" i="3"/>
  <c r="F31" i="3" s="1"/>
  <c r="E2" i="5"/>
  <c r="G7" i="3"/>
  <c r="F3" i="1"/>
  <c r="E2" i="4"/>
  <c r="K7" i="7"/>
  <c r="G2" i="3"/>
  <c r="E2" i="8"/>
  <c r="E2" i="9" s="1"/>
  <c r="E2" i="10" s="1"/>
  <c r="B9" i="10"/>
  <c r="B6" i="14"/>
  <c r="C17" i="8"/>
  <c r="C5" i="9"/>
  <c r="D14" i="12" s="1"/>
  <c r="C7" i="10"/>
  <c r="D17" i="8"/>
  <c r="D5" i="9"/>
  <c r="E14" i="12" s="1"/>
  <c r="E17" i="8"/>
  <c r="E5" i="9"/>
  <c r="F14" i="12" s="1"/>
  <c r="F5" i="9"/>
  <c r="G14" i="12" s="1"/>
  <c r="F17" i="8"/>
  <c r="G17" i="8"/>
  <c r="G5" i="9"/>
  <c r="H17" i="8"/>
  <c r="H5" i="9"/>
  <c r="F6" i="10"/>
  <c r="B21" i="4"/>
  <c r="M12" i="7"/>
  <c r="K11" i="7"/>
  <c r="L11" i="7"/>
  <c r="B5" i="14"/>
  <c r="B4" i="14" s="1"/>
  <c r="B8" i="14" s="1"/>
  <c r="C3" i="15" s="1"/>
  <c r="D3" i="15" s="1"/>
  <c r="E3" i="15" s="1"/>
  <c r="L9" i="7"/>
  <c r="K9" i="7"/>
  <c r="J13" i="7"/>
  <c r="K10" i="7"/>
  <c r="L10" i="7"/>
  <c r="C6" i="10"/>
  <c r="G6" i="10" s="1"/>
  <c r="D16" i="4"/>
  <c r="E6" i="10"/>
  <c r="O12" i="7"/>
  <c r="B13" i="9"/>
  <c r="B5" i="10"/>
  <c r="E5" i="10" s="1"/>
  <c r="D11" i="4"/>
  <c r="D14" i="11" s="1"/>
  <c r="F28" i="3"/>
  <c r="F33" i="3" s="1"/>
  <c r="F34" i="3" s="1"/>
  <c r="C14" i="9"/>
  <c r="C18" i="4"/>
  <c r="C6" i="8"/>
  <c r="D28" i="3"/>
  <c r="D33" i="3" s="1"/>
  <c r="D34" i="3" s="1"/>
  <c r="F18" i="1"/>
  <c r="E22" i="1"/>
  <c r="I21" i="3"/>
  <c r="J8" i="3"/>
  <c r="J21" i="3" s="1"/>
  <c r="E28" i="3"/>
  <c r="E33" i="3" s="1"/>
  <c r="E34" i="3" s="1"/>
  <c r="G25" i="3"/>
  <c r="G26" i="3"/>
  <c r="G27" i="3"/>
  <c r="G32" i="3"/>
  <c r="F15" i="4"/>
  <c r="E16" i="4"/>
  <c r="C3" i="13"/>
  <c r="I13" i="7"/>
  <c r="B10" i="8"/>
  <c r="F7" i="4"/>
  <c r="E11" i="4"/>
  <c r="E14" i="11" s="1"/>
  <c r="C6" i="14" l="1"/>
  <c r="C4" i="14" s="1"/>
  <c r="C15" i="11"/>
  <c r="C12" i="11" s="1"/>
  <c r="C16" i="11" s="1"/>
  <c r="E2" i="13"/>
  <c r="E2" i="14" s="1"/>
  <c r="B6" i="15" s="1"/>
  <c r="E2" i="11"/>
  <c r="H2" i="3"/>
  <c r="F2" i="5"/>
  <c r="G3" i="1"/>
  <c r="G24" i="3"/>
  <c r="G31" i="3" s="1"/>
  <c r="F2" i="4"/>
  <c r="M7" i="7"/>
  <c r="H7" i="3"/>
  <c r="F2" i="8"/>
  <c r="F2" i="9" s="1"/>
  <c r="F2" i="10" s="1"/>
  <c r="G7" i="10"/>
  <c r="D7" i="10"/>
  <c r="H7" i="10" s="1"/>
  <c r="F7" i="10"/>
  <c r="E7" i="10"/>
  <c r="B4" i="5"/>
  <c r="B3" i="5" s="1"/>
  <c r="B8" i="5"/>
  <c r="B7" i="5" s="1"/>
  <c r="B4" i="6" s="1"/>
  <c r="D29" i="6" s="1"/>
  <c r="K13" i="7"/>
  <c r="E4" i="8" s="1"/>
  <c r="E3" i="8" s="1"/>
  <c r="E4" i="11" s="1"/>
  <c r="N11" i="7"/>
  <c r="M11" i="7"/>
  <c r="N10" i="7"/>
  <c r="M10" i="7"/>
  <c r="N9" i="7"/>
  <c r="L13" i="7"/>
  <c r="M9" i="7"/>
  <c r="B10" i="10"/>
  <c r="F5" i="10"/>
  <c r="D5" i="10"/>
  <c r="H5" i="10" s="1"/>
  <c r="C5" i="10"/>
  <c r="G5" i="10" s="1"/>
  <c r="D13" i="12"/>
  <c r="D17" i="12" s="1"/>
  <c r="C8" i="8"/>
  <c r="C5" i="8" s="1"/>
  <c r="D4" i="8"/>
  <c r="D3" i="8" s="1"/>
  <c r="D4" i="11" s="1"/>
  <c r="E13" i="12"/>
  <c r="E17" i="12" s="1"/>
  <c r="D8" i="8"/>
  <c r="I32" i="3"/>
  <c r="I25" i="3"/>
  <c r="I26" i="3"/>
  <c r="I27" i="3"/>
  <c r="C5" i="13"/>
  <c r="H32" i="3"/>
  <c r="H26" i="3"/>
  <c r="H27" i="3"/>
  <c r="H25" i="3"/>
  <c r="F22" i="1"/>
  <c r="G18" i="1"/>
  <c r="D6" i="8"/>
  <c r="D5" i="8" s="1"/>
  <c r="D14" i="9"/>
  <c r="G15" i="4"/>
  <c r="F16" i="4"/>
  <c r="E8" i="8"/>
  <c r="F13" i="12"/>
  <c r="F17" i="12" s="1"/>
  <c r="G7" i="4"/>
  <c r="F11" i="4"/>
  <c r="F14" i="11" s="1"/>
  <c r="G28" i="3"/>
  <c r="G33" i="3" s="1"/>
  <c r="G34" i="3" s="1"/>
  <c r="C6" i="5"/>
  <c r="C21" i="4"/>
  <c r="C6" i="13" l="1"/>
  <c r="C5" i="11"/>
  <c r="C6" i="11" s="1"/>
  <c r="F2" i="11"/>
  <c r="F2" i="13" s="1"/>
  <c r="F2" i="14" s="1"/>
  <c r="B7" i="15" s="1"/>
  <c r="D6" i="13"/>
  <c r="D5" i="11"/>
  <c r="D6" i="11"/>
  <c r="I7" i="3"/>
  <c r="G2" i="5"/>
  <c r="H3" i="1"/>
  <c r="I2" i="3"/>
  <c r="O7" i="7"/>
  <c r="H24" i="3"/>
  <c r="H31" i="3" s="1"/>
  <c r="G2" i="4"/>
  <c r="G2" i="8"/>
  <c r="G2" i="9" s="1"/>
  <c r="G2" i="10" s="1"/>
  <c r="B13" i="10"/>
  <c r="C13" i="10" s="1"/>
  <c r="B8" i="9"/>
  <c r="B19" i="11" s="1"/>
  <c r="E18" i="4"/>
  <c r="O9" i="7"/>
  <c r="P9" i="7"/>
  <c r="N13" i="7"/>
  <c r="P11" i="7"/>
  <c r="Q11" i="7" s="1"/>
  <c r="O11" i="7"/>
  <c r="M13" i="7"/>
  <c r="F4" i="8" s="1"/>
  <c r="F3" i="8" s="1"/>
  <c r="F4" i="11" s="1"/>
  <c r="P10" i="7"/>
  <c r="Q10" i="7" s="1"/>
  <c r="O10" i="7"/>
  <c r="D18" i="4"/>
  <c r="D15" i="11" s="1"/>
  <c r="D12" i="11" s="1"/>
  <c r="D16" i="11" s="1"/>
  <c r="E3" i="13"/>
  <c r="G13" i="12"/>
  <c r="G17" i="12" s="1"/>
  <c r="F8" i="8"/>
  <c r="H28" i="3"/>
  <c r="H33" i="3" s="1"/>
  <c r="H34" i="3" s="1"/>
  <c r="C10" i="8"/>
  <c r="E14" i="9"/>
  <c r="E6" i="8"/>
  <c r="D3" i="13"/>
  <c r="C9" i="5"/>
  <c r="C3" i="5"/>
  <c r="C3" i="19"/>
  <c r="C7" i="13"/>
  <c r="C3" i="18" s="1"/>
  <c r="G16" i="4"/>
  <c r="H15" i="4"/>
  <c r="H16" i="4" s="1"/>
  <c r="I28" i="3"/>
  <c r="I33" i="3" s="1"/>
  <c r="I34" i="3" s="1"/>
  <c r="B6" i="9"/>
  <c r="B20" i="11" s="1"/>
  <c r="B9" i="5"/>
  <c r="H18" i="1"/>
  <c r="H22" i="1" s="1"/>
  <c r="G22" i="1"/>
  <c r="G4" i="6"/>
  <c r="D4" i="6"/>
  <c r="H7" i="4"/>
  <c r="H11" i="4" s="1"/>
  <c r="H14" i="11" s="1"/>
  <c r="G11" i="4"/>
  <c r="G14" i="11" s="1"/>
  <c r="C20" i="19"/>
  <c r="C21" i="19"/>
  <c r="E6" i="14" l="1"/>
  <c r="E4" i="14" s="1"/>
  <c r="E15" i="11"/>
  <c r="E12" i="11" s="1"/>
  <c r="E16" i="11" s="1"/>
  <c r="B18" i="11"/>
  <c r="B25" i="11" s="1"/>
  <c r="B26" i="11" s="1"/>
  <c r="B28" i="11" s="1"/>
  <c r="G2" i="11"/>
  <c r="G2" i="13" s="1"/>
  <c r="G2" i="14" s="1"/>
  <c r="B8" i="15" s="1"/>
  <c r="E5" i="8"/>
  <c r="D6" i="14"/>
  <c r="D4" i="14" s="1"/>
  <c r="B5" i="6"/>
  <c r="B19" i="10"/>
  <c r="F4" i="6"/>
  <c r="B11" i="8"/>
  <c r="B12" i="8" s="1"/>
  <c r="B14" i="8" s="1"/>
  <c r="B15" i="8" s="1"/>
  <c r="B18" i="8" s="1"/>
  <c r="H2" i="8"/>
  <c r="H2" i="9" s="1"/>
  <c r="H2" i="10" s="1"/>
  <c r="H2" i="5"/>
  <c r="J7" i="3"/>
  <c r="I24" i="3"/>
  <c r="I31" i="3" s="1"/>
  <c r="Q7" i="7"/>
  <c r="H2" i="4"/>
  <c r="J2" i="3"/>
  <c r="E13" i="10"/>
  <c r="F13" i="10"/>
  <c r="D13" i="10"/>
  <c r="H13" i="10" s="1"/>
  <c r="B16" i="10"/>
  <c r="F18" i="4"/>
  <c r="O13" i="7"/>
  <c r="G4" i="8" s="1"/>
  <c r="F3" i="13"/>
  <c r="F5" i="13" s="1"/>
  <c r="P13" i="7"/>
  <c r="Q9" i="7"/>
  <c r="Q13" i="7" s="1"/>
  <c r="H4" i="8" s="1"/>
  <c r="D10" i="8"/>
  <c r="D21" i="4"/>
  <c r="D6" i="5"/>
  <c r="D3" i="5" s="1"/>
  <c r="D5" i="13"/>
  <c r="G13" i="10"/>
  <c r="C18" i="19"/>
  <c r="F6" i="8"/>
  <c r="F5" i="8" s="1"/>
  <c r="F14" i="9"/>
  <c r="G8" i="8"/>
  <c r="H13" i="12"/>
  <c r="H17" i="12" s="1"/>
  <c r="H8" i="8"/>
  <c r="B11" i="9"/>
  <c r="B19" i="9" s="1"/>
  <c r="D5" i="6"/>
  <c r="E5" i="6"/>
  <c r="E6" i="6"/>
  <c r="E7" i="6"/>
  <c r="E8" i="6"/>
  <c r="E9" i="6"/>
  <c r="C17" i="19"/>
  <c r="E6" i="5"/>
  <c r="E21" i="4"/>
  <c r="E5" i="13"/>
  <c r="H2" i="13" l="1"/>
  <c r="H2" i="14" s="1"/>
  <c r="B9" i="15" s="1"/>
  <c r="H2" i="11"/>
  <c r="F6" i="14"/>
  <c r="F4" i="14" s="1"/>
  <c r="F15" i="11"/>
  <c r="F12" i="11" s="1"/>
  <c r="F16" i="11" s="1"/>
  <c r="F6" i="13"/>
  <c r="F21" i="19" s="1"/>
  <c r="F5" i="11"/>
  <c r="F6" i="11" s="1"/>
  <c r="E6" i="13"/>
  <c r="E5" i="11"/>
  <c r="E6" i="11" s="1"/>
  <c r="E10" i="8"/>
  <c r="D21" i="10"/>
  <c r="D16" i="9"/>
  <c r="D22" i="11" s="1"/>
  <c r="C21" i="10"/>
  <c r="C16" i="9"/>
  <c r="C22" i="11" s="1"/>
  <c r="E21" i="10"/>
  <c r="E16" i="9"/>
  <c r="E22" i="11" s="1"/>
  <c r="G21" i="10"/>
  <c r="G16" i="9"/>
  <c r="G22" i="11" s="1"/>
  <c r="F21" i="10"/>
  <c r="F16" i="9"/>
  <c r="F22" i="11" s="1"/>
  <c r="C9" i="13"/>
  <c r="C11" i="8"/>
  <c r="F3" i="19"/>
  <c r="F7" i="13"/>
  <c r="F3" i="18" s="1"/>
  <c r="F5" i="6"/>
  <c r="H3" i="13"/>
  <c r="H5" i="13" s="1"/>
  <c r="H3" i="8"/>
  <c r="H4" i="11" s="1"/>
  <c r="G3" i="13"/>
  <c r="G3" i="8"/>
  <c r="G4" i="11" s="1"/>
  <c r="C19" i="19"/>
  <c r="D9" i="5"/>
  <c r="G14" i="9"/>
  <c r="G6" i="8"/>
  <c r="G5" i="8" s="1"/>
  <c r="G18" i="4"/>
  <c r="E3" i="5"/>
  <c r="E9" i="5"/>
  <c r="B21" i="9"/>
  <c r="F6" i="5"/>
  <c r="F21" i="4"/>
  <c r="D3" i="19"/>
  <c r="D7" i="13"/>
  <c r="D17" i="19" s="1"/>
  <c r="D20" i="19"/>
  <c r="D21" i="19"/>
  <c r="E3" i="19"/>
  <c r="E7" i="13"/>
  <c r="E3" i="18" s="1"/>
  <c r="E21" i="19"/>
  <c r="E20" i="19"/>
  <c r="F10" i="8"/>
  <c r="G5" i="6"/>
  <c r="G6" i="14" l="1"/>
  <c r="G4" i="14" s="1"/>
  <c r="G15" i="11"/>
  <c r="G12" i="11" s="1"/>
  <c r="G16" i="11" s="1"/>
  <c r="G6" i="13"/>
  <c r="G5" i="11"/>
  <c r="G6" i="11" s="1"/>
  <c r="F20" i="19"/>
  <c r="F17" i="19"/>
  <c r="F19" i="19" s="1"/>
  <c r="B6" i="6"/>
  <c r="D6" i="6" s="1"/>
  <c r="C19" i="10"/>
  <c r="F18" i="19"/>
  <c r="G4" i="19"/>
  <c r="G5" i="13"/>
  <c r="E17" i="19"/>
  <c r="D3" i="18"/>
  <c r="D18" i="19"/>
  <c r="D19" i="19" s="1"/>
  <c r="H6" i="8"/>
  <c r="H5" i="8" s="1"/>
  <c r="H14" i="9"/>
  <c r="H18" i="4"/>
  <c r="G6" i="5"/>
  <c r="G21" i="4"/>
  <c r="F3" i="5"/>
  <c r="F9" i="5"/>
  <c r="G10" i="8"/>
  <c r="G6" i="6"/>
  <c r="E18" i="19"/>
  <c r="H6" i="13" l="1"/>
  <c r="H7" i="13" s="1"/>
  <c r="H5" i="11"/>
  <c r="H6" i="11" s="1"/>
  <c r="H6" i="14"/>
  <c r="H4" i="14" s="1"/>
  <c r="H15" i="11"/>
  <c r="H12" i="11" s="1"/>
  <c r="H16" i="11" s="1"/>
  <c r="B7" i="6"/>
  <c r="D19" i="10"/>
  <c r="F6" i="6"/>
  <c r="D9" i="13"/>
  <c r="D11" i="8"/>
  <c r="G3" i="19"/>
  <c r="G21" i="19"/>
  <c r="G7" i="13"/>
  <c r="G20" i="19"/>
  <c r="E19" i="19"/>
  <c r="G7" i="6"/>
  <c r="D7" i="6"/>
  <c r="G3" i="5"/>
  <c r="G9" i="5"/>
  <c r="H6" i="5"/>
  <c r="H21" i="4"/>
  <c r="H10" i="8"/>
  <c r="B8" i="6" l="1"/>
  <c r="D8" i="6" s="1"/>
  <c r="E19" i="10"/>
  <c r="F7" i="6"/>
  <c r="E9" i="13"/>
  <c r="E11" i="8"/>
  <c r="G3" i="18"/>
  <c r="G17" i="19"/>
  <c r="G18" i="19"/>
  <c r="H9" i="5"/>
  <c r="H3" i="5"/>
  <c r="G8" i="6" l="1"/>
  <c r="B9" i="6" s="1"/>
  <c r="D9" i="6" s="1"/>
  <c r="F8" i="6"/>
  <c r="F9" i="13"/>
  <c r="F11" i="8"/>
  <c r="G19" i="19"/>
  <c r="F19" i="10" l="1"/>
  <c r="G9" i="6"/>
  <c r="G19" i="10" s="1"/>
  <c r="F9" i="6"/>
  <c r="G9" i="13"/>
  <c r="G11" i="8"/>
  <c r="C10" i="13"/>
  <c r="C14" i="13" s="1"/>
  <c r="B22" i="10"/>
  <c r="C16" i="8" l="1"/>
  <c r="C23" i="11" s="1"/>
  <c r="C12" i="8"/>
  <c r="C13" i="8" s="1"/>
  <c r="C12" i="19"/>
  <c r="B23" i="10"/>
  <c r="C11" i="19"/>
  <c r="C15" i="13"/>
  <c r="D10" i="13" l="1"/>
  <c r="D14" i="13" s="1"/>
  <c r="D6" i="12"/>
  <c r="D8" i="12" s="1"/>
  <c r="C14" i="8"/>
  <c r="C22" i="10"/>
  <c r="C16" i="13" l="1"/>
  <c r="C17" i="13" s="1"/>
  <c r="D16" i="8"/>
  <c r="D23" i="11" s="1"/>
  <c r="D12" i="8"/>
  <c r="C15" i="8"/>
  <c r="D15" i="13"/>
  <c r="D14" i="8" l="1"/>
  <c r="D16" i="13" s="1"/>
  <c r="D17" i="13" s="1"/>
  <c r="D13" i="8"/>
  <c r="E6" i="12" s="1"/>
  <c r="C4" i="9"/>
  <c r="C18" i="8"/>
  <c r="C3" i="14" s="1"/>
  <c r="C8" i="14" s="1"/>
  <c r="C4" i="15" s="1"/>
  <c r="E10" i="13"/>
  <c r="E14" i="13" s="1"/>
  <c r="D22" i="10"/>
  <c r="D4" i="15" l="1"/>
  <c r="E4" i="15" s="1"/>
  <c r="E15" i="13"/>
  <c r="E16" i="8"/>
  <c r="E23" i="11" s="1"/>
  <c r="E12" i="8"/>
  <c r="C18" i="9"/>
  <c r="C11" i="9"/>
  <c r="C19" i="9" s="1"/>
  <c r="D15" i="8"/>
  <c r="C21" i="9" l="1"/>
  <c r="D18" i="8"/>
  <c r="D3" i="14" s="1"/>
  <c r="D8" i="14" s="1"/>
  <c r="C5" i="15" s="1"/>
  <c r="C15" i="10"/>
  <c r="D4" i="9"/>
  <c r="F10" i="13"/>
  <c r="F14" i="13" s="1"/>
  <c r="E22" i="10"/>
  <c r="C24" i="11"/>
  <c r="E13" i="8"/>
  <c r="F6" i="12" s="1"/>
  <c r="E14" i="8"/>
  <c r="E16" i="13" s="1"/>
  <c r="E17" i="13" s="1"/>
  <c r="C21" i="11" l="1"/>
  <c r="C25" i="11" s="1"/>
  <c r="C26" i="11" s="1"/>
  <c r="C9" i="10"/>
  <c r="C10" i="10" s="1"/>
  <c r="C27" i="11"/>
  <c r="E15" i="8"/>
  <c r="F16" i="8"/>
  <c r="F23" i="11" s="1"/>
  <c r="F12" i="8"/>
  <c r="F15" i="13"/>
  <c r="D11" i="9"/>
  <c r="D18" i="9"/>
  <c r="D5" i="15"/>
  <c r="E5" i="15" s="1"/>
  <c r="C28" i="11" l="1"/>
  <c r="C14" i="10"/>
  <c r="C16" i="10" s="1"/>
  <c r="C4" i="19"/>
  <c r="C6" i="19"/>
  <c r="D12" i="19"/>
  <c r="D19" i="9"/>
  <c r="D21" i="9" s="1"/>
  <c r="F22" i="10"/>
  <c r="F14" i="8"/>
  <c r="F16" i="13" s="1"/>
  <c r="F17" i="13" s="1"/>
  <c r="F13" i="8"/>
  <c r="G6" i="12" s="1"/>
  <c r="E4" i="9"/>
  <c r="D15" i="10"/>
  <c r="E18" i="8"/>
  <c r="E3" i="14" s="1"/>
  <c r="G10" i="13"/>
  <c r="G14" i="13" s="1"/>
  <c r="D24" i="11"/>
  <c r="D21" i="11" l="1"/>
  <c r="D25" i="11" s="1"/>
  <c r="D26" i="11" s="1"/>
  <c r="E8" i="14"/>
  <c r="C6" i="15" s="1"/>
  <c r="D6" i="15" s="1"/>
  <c r="E6" i="15" s="1"/>
  <c r="D11" i="19"/>
  <c r="C5" i="19"/>
  <c r="C23" i="10"/>
  <c r="C10" i="19"/>
  <c r="D27" i="11"/>
  <c r="D9" i="10"/>
  <c r="D10" i="10" s="1"/>
  <c r="F15" i="8"/>
  <c r="E15" i="10" s="1"/>
  <c r="G16" i="8"/>
  <c r="G23" i="11" s="1"/>
  <c r="G12" i="8"/>
  <c r="E18" i="9"/>
  <c r="E11" i="9"/>
  <c r="G15" i="13"/>
  <c r="G6" i="19"/>
  <c r="D28" i="11" l="1"/>
  <c r="D6" i="19"/>
  <c r="D14" i="10"/>
  <c r="E19" i="9"/>
  <c r="E27" i="11" s="1"/>
  <c r="F18" i="8"/>
  <c r="F3" i="14" s="1"/>
  <c r="F8" i="14" s="1"/>
  <c r="C7" i="15" s="1"/>
  <c r="D7" i="15" s="1"/>
  <c r="E7" i="15" s="1"/>
  <c r="D4" i="19"/>
  <c r="D16" i="10"/>
  <c r="D5" i="19" s="1"/>
  <c r="E12" i="19"/>
  <c r="F4" i="9"/>
  <c r="F11" i="9" s="1"/>
  <c r="H10" i="13"/>
  <c r="H14" i="13" s="1"/>
  <c r="H22" i="10"/>
  <c r="E24" i="11"/>
  <c r="G13" i="8"/>
  <c r="G14" i="8"/>
  <c r="G22" i="10"/>
  <c r="E21" i="11" l="1"/>
  <c r="E25" i="11" s="1"/>
  <c r="E26" i="11" s="1"/>
  <c r="E28" i="11" s="1"/>
  <c r="G16" i="13"/>
  <c r="G15" i="8"/>
  <c r="G4" i="9" s="1"/>
  <c r="E9" i="10"/>
  <c r="E10" i="10" s="1"/>
  <c r="E14" i="10" s="1"/>
  <c r="E16" i="10" s="1"/>
  <c r="E21" i="9"/>
  <c r="D23" i="10"/>
  <c r="E11" i="19"/>
  <c r="D10" i="19"/>
  <c r="F18" i="9"/>
  <c r="H12" i="8"/>
  <c r="H15" i="13"/>
  <c r="G17" i="13" l="1"/>
  <c r="G5" i="19" s="1"/>
  <c r="F12" i="19"/>
  <c r="E6" i="19"/>
  <c r="E4" i="19"/>
  <c r="F24" i="11"/>
  <c r="F19" i="9"/>
  <c r="F21" i="9" s="1"/>
  <c r="G18" i="8"/>
  <c r="G3" i="14" s="1"/>
  <c r="G8" i="14" s="1"/>
  <c r="C8" i="15" s="1"/>
  <c r="D8" i="15" s="1"/>
  <c r="E8" i="15" s="1"/>
  <c r="F15" i="10"/>
  <c r="H13" i="8"/>
  <c r="H14" i="8"/>
  <c r="H16" i="13" s="1"/>
  <c r="H17" i="13" s="1"/>
  <c r="E10" i="19"/>
  <c r="F11" i="19"/>
  <c r="E5" i="19"/>
  <c r="E23" i="10"/>
  <c r="G18" i="9"/>
  <c r="G11" i="9"/>
  <c r="F21" i="11" l="1"/>
  <c r="F25" i="11" s="1"/>
  <c r="F26" i="11" s="1"/>
  <c r="F9" i="10"/>
  <c r="F10" i="10" s="1"/>
  <c r="F6" i="19" s="1"/>
  <c r="F27" i="11"/>
  <c r="G19" i="9"/>
  <c r="G27" i="11" s="1"/>
  <c r="H15" i="8"/>
  <c r="G15" i="10" s="1"/>
  <c r="G24" i="11"/>
  <c r="G21" i="11" l="1"/>
  <c r="G25" i="11" s="1"/>
  <c r="G26" i="11" s="1"/>
  <c r="G28" i="11" s="1"/>
  <c r="F28" i="11"/>
  <c r="F14" i="10"/>
  <c r="F16" i="10" s="1"/>
  <c r="F10" i="19" s="1"/>
  <c r="G12" i="19"/>
  <c r="F4" i="19"/>
  <c r="H4" i="9"/>
  <c r="H11" i="9" s="1"/>
  <c r="H18" i="8"/>
  <c r="H3" i="14" s="1"/>
  <c r="H8" i="14" s="1"/>
  <c r="C9" i="15" s="1"/>
  <c r="D9" i="15" s="1"/>
  <c r="E9" i="15" s="1"/>
  <c r="G9" i="10"/>
  <c r="G10" i="10" s="1"/>
  <c r="G14" i="10" s="1"/>
  <c r="G16" i="10" s="1"/>
  <c r="G23" i="10" s="1"/>
  <c r="G21" i="9"/>
  <c r="C10" i="15" l="1"/>
  <c r="C11" i="15" s="1"/>
  <c r="D9" i="17" s="1"/>
  <c r="C13" i="15"/>
  <c r="D10" i="17" s="1"/>
  <c r="H18" i="9"/>
  <c r="H19" i="9" s="1"/>
  <c r="H21" i="9" s="1"/>
  <c r="F23" i="10"/>
  <c r="F5" i="19"/>
  <c r="G11" i="19"/>
  <c r="C14" i="15" l="1"/>
  <c r="D11" i="17" s="1"/>
  <c r="D8" i="17"/>
  <c r="H24" i="11"/>
  <c r="H27" i="11"/>
  <c r="H9" i="10"/>
  <c r="H10" i="10" s="1"/>
  <c r="H14" i="10" s="1"/>
  <c r="H16" i="10" s="1"/>
  <c r="H23" i="10" s="1"/>
  <c r="H25" i="11" l="1"/>
  <c r="H26" i="11" s="1"/>
  <c r="H28" i="11" s="1"/>
  <c r="H21" i="11"/>
</calcChain>
</file>

<file path=xl/sharedStrings.xml><?xml version="1.0" encoding="utf-8"?>
<sst xmlns="http://schemas.openxmlformats.org/spreadsheetml/2006/main" count="385" uniqueCount="331">
  <si>
    <t>DESCRIÇÃO</t>
  </si>
  <si>
    <t>Quant</t>
  </si>
  <si>
    <t>Preço Unit</t>
  </si>
  <si>
    <t>Valores</t>
  </si>
  <si>
    <t>Contituição Legal da Empresa</t>
  </si>
  <si>
    <t>Sub-Total</t>
  </si>
  <si>
    <t>Legalização do Terreno</t>
  </si>
  <si>
    <t>Declaração da Administração</t>
  </si>
  <si>
    <t>Outros</t>
  </si>
  <si>
    <t>Total</t>
  </si>
  <si>
    <t>Equipamentos Basicos</t>
  </si>
  <si>
    <t>Sub-total</t>
  </si>
  <si>
    <t>Equipamentos de Carga e Transporte</t>
  </si>
  <si>
    <t>Equipamentos de Manutenção</t>
  </si>
  <si>
    <t>Nº Tr</t>
  </si>
  <si>
    <t>S. Base Mensal</t>
  </si>
  <si>
    <t>Descrição</t>
  </si>
  <si>
    <t>Taxas</t>
  </si>
  <si>
    <t>sub-total</t>
  </si>
  <si>
    <t>Retenções</t>
  </si>
  <si>
    <t>Colaboradores( IRT)</t>
  </si>
  <si>
    <t>Colaboradores( INSS)</t>
  </si>
  <si>
    <t>Encargo do Empregador</t>
  </si>
  <si>
    <t>Vencimento dos Colaboradores</t>
  </si>
  <si>
    <t>Activo não Corrente</t>
  </si>
  <si>
    <t>Imobilizados Corpóreos</t>
  </si>
  <si>
    <t xml:space="preserve">    11.3- Equipamentos de Transporte</t>
  </si>
  <si>
    <t xml:space="preserve">    11.4- Equipamentos Basicos</t>
  </si>
  <si>
    <t xml:space="preserve">    11.5-Equipamentos Administrativos</t>
  </si>
  <si>
    <t xml:space="preserve">    11-9-Outras Imobilizações Corporeas</t>
  </si>
  <si>
    <t>Total do Imobilizado Corpóreos</t>
  </si>
  <si>
    <t>Imobilizado Incorpóreos</t>
  </si>
  <si>
    <t xml:space="preserve">    12.9-Despesas de Constituição</t>
  </si>
  <si>
    <t>Total do Imobilizado incorpóreos</t>
  </si>
  <si>
    <t>Activo  Corrente</t>
  </si>
  <si>
    <t xml:space="preserve">     45.1-Fundo de Maneio</t>
  </si>
  <si>
    <t xml:space="preserve">   12.9- Despesas de Legalização do Terreno</t>
  </si>
  <si>
    <t>Mapa do Serviço da Divida</t>
  </si>
  <si>
    <t>Encargos Financeiros</t>
  </si>
  <si>
    <t>Prestações</t>
  </si>
  <si>
    <t>Divida á Pagar</t>
  </si>
  <si>
    <t>Prestação Suplementares</t>
  </si>
  <si>
    <t>Autofinanciameno</t>
  </si>
  <si>
    <t>Emprestimos de M/Prazo</t>
  </si>
  <si>
    <t>Capital Total do Projecto</t>
  </si>
  <si>
    <t>Fornecimento e Serviços Externos</t>
  </si>
  <si>
    <t>Proveitos Operacionais</t>
  </si>
  <si>
    <t>Custos Operacionais</t>
  </si>
  <si>
    <t xml:space="preserve">       Custos com o Pessoal</t>
  </si>
  <si>
    <t xml:space="preserve">       Amortização</t>
  </si>
  <si>
    <t>Resultados Operacionais</t>
  </si>
  <si>
    <t xml:space="preserve">       Encargos Financeiros</t>
  </si>
  <si>
    <t>Resultado Liquido de Exercicio</t>
  </si>
  <si>
    <t xml:space="preserve">        Encargos Financeiros</t>
  </si>
  <si>
    <t xml:space="preserve">        Amortizações</t>
  </si>
  <si>
    <t>Cash Flows de Exploração</t>
  </si>
  <si>
    <t>ORIGENS</t>
  </si>
  <si>
    <t>Resultados Liquidos dos Exercicios</t>
  </si>
  <si>
    <t>Amortizações</t>
  </si>
  <si>
    <t>Capital Próprio</t>
  </si>
  <si>
    <t>Capital Alheio</t>
  </si>
  <si>
    <t xml:space="preserve">      Emprestimo de M.L.Prazo</t>
  </si>
  <si>
    <t xml:space="preserve">      Emprestimo de Curto Prazo</t>
  </si>
  <si>
    <t>TOTAL DAS ORIGENS</t>
  </si>
  <si>
    <t>APLICAÇÕES</t>
  </si>
  <si>
    <t>Investimento Fixo</t>
  </si>
  <si>
    <t>Investimento Circulante</t>
  </si>
  <si>
    <t>Reembolsos</t>
  </si>
  <si>
    <t>TOTAL DAS APLICAÇÕES</t>
  </si>
  <si>
    <t>ACTIVO</t>
  </si>
  <si>
    <t>Imobilizado</t>
  </si>
  <si>
    <t xml:space="preserve">     11. Imobilizado Corporeo</t>
  </si>
  <si>
    <t xml:space="preserve">     11. Imobilizado Incorporeo</t>
  </si>
  <si>
    <t xml:space="preserve">     Amortizações (Acumuladas)</t>
  </si>
  <si>
    <t xml:space="preserve">     26- Existência</t>
  </si>
  <si>
    <t xml:space="preserve">     45-Disponibilidades</t>
  </si>
  <si>
    <t>Total do Activo</t>
  </si>
  <si>
    <t>Capital Proprio</t>
  </si>
  <si>
    <t xml:space="preserve">     55.Reservas Obigatorias</t>
  </si>
  <si>
    <t xml:space="preserve">     51.Capital Social</t>
  </si>
  <si>
    <t xml:space="preserve">     81.Resultados Transitados</t>
  </si>
  <si>
    <t xml:space="preserve">     88. Resultado Liquido de Exercicio</t>
  </si>
  <si>
    <t>Total do Capital Proprio</t>
  </si>
  <si>
    <t>PASSIVO</t>
  </si>
  <si>
    <t>Passivo não Corrente</t>
  </si>
  <si>
    <t xml:space="preserve">    33. Emprestimo de M.L.Prazo</t>
  </si>
  <si>
    <t>Pssivo Corrente</t>
  </si>
  <si>
    <t xml:space="preserve">   33. Emprestimo de Curto-Prazo</t>
  </si>
  <si>
    <t>Total do PASSIVO</t>
  </si>
  <si>
    <t>TOTAL DO PASSIVO E CAP-PROP</t>
  </si>
  <si>
    <t>Número de Meses</t>
  </si>
  <si>
    <t xml:space="preserve">Incremento Anual </t>
  </si>
  <si>
    <t>CUSTO COM O PESSOAL</t>
  </si>
  <si>
    <t>Hectares(Terreno)</t>
  </si>
  <si>
    <t xml:space="preserve">    11.Terreno</t>
  </si>
  <si>
    <t>Investimento Circulante e Inv.Stocks</t>
  </si>
  <si>
    <t>BFA</t>
  </si>
  <si>
    <t>TOTAL</t>
  </si>
  <si>
    <t xml:space="preserve">       R.A.I (RO-EF)</t>
  </si>
  <si>
    <t>MAPA DOS CUSTOS VARIÁVEIS</t>
  </si>
  <si>
    <t>ELEMENTOS</t>
  </si>
  <si>
    <t>ANOS</t>
  </si>
  <si>
    <t>Custos Variáveis</t>
  </si>
  <si>
    <t>Custo de M. Vendidas e Consumidas</t>
  </si>
  <si>
    <t xml:space="preserve">Imposto Directos </t>
  </si>
  <si>
    <t xml:space="preserve">Outros Gastos e Perdas </t>
  </si>
  <si>
    <t>MAPA DOS CUSTOS FIXOS</t>
  </si>
  <si>
    <t>Custos Fixos</t>
  </si>
  <si>
    <t>Custo com o Pessoal</t>
  </si>
  <si>
    <t>Amortização</t>
  </si>
  <si>
    <t>Provisões</t>
  </si>
  <si>
    <t>Impostos Indirectos</t>
  </si>
  <si>
    <t>Custos Variaveis</t>
  </si>
  <si>
    <t>Margem de Contribuição</t>
  </si>
  <si>
    <t>Proveitos Financeiros</t>
  </si>
  <si>
    <t>Custos Financeiros</t>
  </si>
  <si>
    <t>Resultados Correntes</t>
  </si>
  <si>
    <t>Proveitos extraordinarios</t>
  </si>
  <si>
    <t>Custos Extraordinarios</t>
  </si>
  <si>
    <t>Resultados Extraordinarios</t>
  </si>
  <si>
    <t>R.A.I</t>
  </si>
  <si>
    <t>Resultado Liquido do Exercicio</t>
  </si>
  <si>
    <t>Indicadores Economicos e Financeiros (%)</t>
  </si>
  <si>
    <t>Rendibilidade Bruta das Vendas</t>
  </si>
  <si>
    <t>Rotação do Activo</t>
  </si>
  <si>
    <t>Rendibilidade dos Capitais Proprios</t>
  </si>
  <si>
    <t>Rendibilidade do Activo</t>
  </si>
  <si>
    <t>Indicadores Financeiros (%)</t>
  </si>
  <si>
    <t>Autonomia Financeira</t>
  </si>
  <si>
    <t>Solvabilidade</t>
  </si>
  <si>
    <t>Endividamento</t>
  </si>
  <si>
    <t>Indicadores de Risco do Negócio</t>
  </si>
  <si>
    <t>Graú de Alavanca Operacional (G.A.O)</t>
  </si>
  <si>
    <t>Graú de Alavanca Financeira (G.A.F)</t>
  </si>
  <si>
    <t>Graú de Alavanca Corrente (G.A.C)</t>
  </si>
  <si>
    <t>Margem de Segurança</t>
  </si>
  <si>
    <t>Ponto Critico de Vendas</t>
  </si>
  <si>
    <t>END=(TOTAL PASSIVO/TOTAL ACTIVO)*100</t>
  </si>
  <si>
    <t>Ano</t>
  </si>
  <si>
    <t>Cash Flow`s Act</t>
  </si>
  <si>
    <t>Cash Flow`s Act.Ac</t>
  </si>
  <si>
    <t>Coc</t>
  </si>
  <si>
    <t>RENDIBILIDADE DE MERCADO</t>
  </si>
  <si>
    <t>BOLSA</t>
  </si>
  <si>
    <t>VARIAÇÃO</t>
  </si>
  <si>
    <t>SOMATÓRIO</t>
  </si>
  <si>
    <t>Nº DE DADOS</t>
  </si>
  <si>
    <t>RENDIBILIDADE DIÁRIA</t>
  </si>
  <si>
    <t>RENDIBILIDADE ANUAL</t>
  </si>
  <si>
    <t>*NA TI</t>
  </si>
  <si>
    <t>Parámetros a definir</t>
  </si>
  <si>
    <t>Parametros gerais</t>
  </si>
  <si>
    <t>Tx. De inflação</t>
  </si>
  <si>
    <t>Tx. De crescimento de salários</t>
  </si>
  <si>
    <t>Tx. De segurança Social</t>
  </si>
  <si>
    <t>Tx de juro de operações activas Longo prazo</t>
  </si>
  <si>
    <t>Tx de juro de operações passivas</t>
  </si>
  <si>
    <t>Rendebilidade média histórica bolsista</t>
  </si>
  <si>
    <t>Nível de risco-Beta</t>
  </si>
  <si>
    <t>Valor do parametro B para o projecto</t>
  </si>
  <si>
    <t>Valor do COC</t>
  </si>
  <si>
    <t>% Financiamento capitais próprios</t>
  </si>
  <si>
    <t>% Financiamento capitais alheios</t>
  </si>
  <si>
    <t>Valor CAPM</t>
  </si>
  <si>
    <t>Valor CMPC</t>
  </si>
  <si>
    <t xml:space="preserve">    11.2- Edificio e outras construções</t>
  </si>
  <si>
    <t>VAL</t>
  </si>
  <si>
    <t>P.R.I</t>
  </si>
  <si>
    <t>Vendas</t>
  </si>
  <si>
    <t>GAO</t>
  </si>
  <si>
    <t>GAO=MC/RO</t>
  </si>
  <si>
    <t>GAF</t>
  </si>
  <si>
    <t>ANO</t>
  </si>
  <si>
    <t>GAF=RO/RC</t>
  </si>
  <si>
    <t>a) Actividades operacionais</t>
  </si>
  <si>
    <t>1. Recebimentos de Exploração</t>
  </si>
  <si>
    <t>2. Pagamentos de Exploração</t>
  </si>
  <si>
    <t>3. Fluxo de Tesouraria da actividade Operacional (1-2)</t>
  </si>
  <si>
    <t>B) Actividade de Investimento</t>
  </si>
  <si>
    <t>4. Recebimentos provenientes de :</t>
  </si>
  <si>
    <t>4.1 .Investimentos financeiros</t>
  </si>
  <si>
    <t>4.2 .Activo fixo</t>
  </si>
  <si>
    <t>4.3 .Outros</t>
  </si>
  <si>
    <t>5. Pagamentos destinados À:</t>
  </si>
  <si>
    <t>5.1.  Investimentos financeiros</t>
  </si>
  <si>
    <t>5.2. Investimentos em Activo fixo</t>
  </si>
  <si>
    <t xml:space="preserve">5.3. Investimentos em Activos Circulantes (Correntes) </t>
  </si>
  <si>
    <t>C) Actividade de Financiamento</t>
  </si>
  <si>
    <t>7. Recebimentos provenientes de :</t>
  </si>
  <si>
    <t>7.1. Emprestimos obtidos (Capital Alheio)</t>
  </si>
  <si>
    <t>7.2. Aumento de Capital (Capital próprio)</t>
  </si>
  <si>
    <t>8. Pagamentos destinados À:</t>
  </si>
  <si>
    <t>6. Fluxo de Tesouraria da actividade de investimento (4-5)</t>
  </si>
  <si>
    <t>8.1. Emprestimos obtidos (Capital Alheio)</t>
  </si>
  <si>
    <t>8.2. Encargos Financeiros ( Juros da divida )</t>
  </si>
  <si>
    <t>8.3. Distribuição de Dividendos</t>
  </si>
  <si>
    <t>9. Fluxo de Tesouraria da actividade de Financiamento (7-8)</t>
  </si>
  <si>
    <t>10. Variação de Tesouraria (3+6+9)</t>
  </si>
  <si>
    <t>11. Disponibilidade no ínicio do período</t>
  </si>
  <si>
    <t>12. Disponibilidade no Fim do Período (10+11)</t>
  </si>
  <si>
    <t>Edificio da Empresa</t>
  </si>
  <si>
    <t xml:space="preserve">       Impostos(35%)</t>
  </si>
  <si>
    <t>Fundo de Maneio adicional</t>
  </si>
  <si>
    <t>Tx. De Imposto Industrial</t>
  </si>
  <si>
    <t>Tx. De IVA</t>
  </si>
  <si>
    <t>Designação</t>
  </si>
  <si>
    <t>Preço</t>
  </si>
  <si>
    <t>QTD</t>
  </si>
  <si>
    <t xml:space="preserve">= = = = = </t>
  </si>
  <si>
    <t xml:space="preserve">       Prestação de Serviços e vendas</t>
  </si>
  <si>
    <t>Outros Imobilizados incorporeos</t>
  </si>
  <si>
    <t>12.2 Despesas de Investig. e Desenv</t>
  </si>
  <si>
    <t>12.9.1 Instalação de Internet</t>
  </si>
  <si>
    <t>12.9.2 Software de Gestão(Primavera)</t>
  </si>
  <si>
    <t xml:space="preserve">    11-9-Outras Imobilizações incorporeos</t>
  </si>
  <si>
    <t xml:space="preserve"> Fundo de Maneio (Disponibilidade)</t>
  </si>
  <si>
    <t>Banco BAI</t>
  </si>
  <si>
    <t>Emprestimo de curto prazo</t>
  </si>
  <si>
    <t>Emprestimo de Curto Prazo</t>
  </si>
  <si>
    <t>Distribuição de dividendos</t>
  </si>
  <si>
    <t>Tx. Risk free (Ot´s 7 anos)</t>
  </si>
  <si>
    <t xml:space="preserve">     45.1-Investimentos circulante</t>
  </si>
  <si>
    <t>Caixa Angola</t>
  </si>
  <si>
    <t>Banco Bic</t>
  </si>
  <si>
    <t>Bancos</t>
  </si>
  <si>
    <t xml:space="preserve">Juros </t>
  </si>
  <si>
    <t>Capital Inicial * 7%</t>
  </si>
  <si>
    <t>Prestação</t>
  </si>
  <si>
    <t>Capital Final</t>
  </si>
  <si>
    <t>C. Inicial - Amortização</t>
  </si>
  <si>
    <t>Amort = C. inicial/Ano</t>
  </si>
  <si>
    <t>Impostos(35%)</t>
  </si>
  <si>
    <t>Periodo</t>
  </si>
  <si>
    <t>15Anos</t>
  </si>
  <si>
    <t xml:space="preserve">Capital em divida </t>
  </si>
  <si>
    <t>Taxa de juro</t>
  </si>
  <si>
    <t>Amortização do Exercício</t>
  </si>
  <si>
    <t>Cash Flow de Exploração</t>
  </si>
  <si>
    <t>Cash Flow de Investimento</t>
  </si>
  <si>
    <t>Valor Residual</t>
  </si>
  <si>
    <t>Cash Flow Líquido</t>
  </si>
  <si>
    <t>Taxa de distribuição de Resultados</t>
  </si>
  <si>
    <t>Taxa de crescimento dos preços</t>
  </si>
  <si>
    <t>TIR</t>
  </si>
  <si>
    <t>IR</t>
  </si>
  <si>
    <t>Cenário</t>
  </si>
  <si>
    <t>Optimista</t>
  </si>
  <si>
    <t>Pessimista</t>
  </si>
  <si>
    <t>Taxa de Crescimento do Preços</t>
  </si>
  <si>
    <t xml:space="preserve">VAL </t>
  </si>
  <si>
    <t>Meses</t>
  </si>
  <si>
    <t>BALANÇO PREVISIONAL</t>
  </si>
  <si>
    <t>IVA (14%)</t>
  </si>
  <si>
    <t>PRI</t>
  </si>
  <si>
    <t>MAPA DE PRESSUPOSTOS</t>
  </si>
  <si>
    <t xml:space="preserve">  MAPA DE FINANCIAMENTO</t>
  </si>
  <si>
    <t>MAPA DE INVESTIMENTO</t>
  </si>
  <si>
    <t>MAPA RESUMO DE CUSTO COM O PESSOAL</t>
  </si>
  <si>
    <t>RETENÇÕES</t>
  </si>
  <si>
    <t xml:space="preserve"> MAPA DOS EQUIPAMENTOS</t>
  </si>
  <si>
    <t>TWENDA - PROTEÇÃO E SERVIÇOS DOMÉSTICOS,LDA.</t>
  </si>
  <si>
    <t>Serviços de Cuidados Limpeza e Segurança</t>
  </si>
  <si>
    <t>MAPA DE EXPLORAÇÃO PREVISIONAL</t>
  </si>
  <si>
    <t>MAPA DE ORIGEM E APLICAÇÃO DE FUNDOS (AOA)</t>
  </si>
  <si>
    <t>MAPA DE ORÇAMENTO E TESOURARIA</t>
  </si>
  <si>
    <t>Realista</t>
  </si>
  <si>
    <t>Diretor Geral</t>
  </si>
  <si>
    <t>Diretor de Operações</t>
  </si>
  <si>
    <t>Diretor de Tecnologia</t>
  </si>
  <si>
    <t>Diretor de Marketing e Vendas</t>
  </si>
  <si>
    <t>Gerente de Recursos Humanos</t>
  </si>
  <si>
    <t>Gerente Financeiro</t>
  </si>
  <si>
    <t>Especialistas em Cuidados de Idosos e Crianças</t>
  </si>
  <si>
    <t>Especialistas em Limpeza</t>
  </si>
  <si>
    <t xml:space="preserve">Especialistas em Vigilância </t>
  </si>
  <si>
    <t>Técnicos de Cuidados de Idosos e Crianças</t>
  </si>
  <si>
    <t>Técnicos de Limpeza</t>
  </si>
  <si>
    <t>Técnicos de Vigilância</t>
  </si>
  <si>
    <t>Equipe Administrativa</t>
  </si>
  <si>
    <t>Motorizada - Baldex - 150</t>
  </si>
  <si>
    <t>Total Equipamentos</t>
  </si>
  <si>
    <r>
      <t xml:space="preserve">Máquinas de Limpeza a Vapor - </t>
    </r>
    <r>
      <rPr>
        <b/>
        <sz val="12"/>
        <rFont val="Times New Roman"/>
        <family val="1"/>
      </rPr>
      <t>McCulloch e/ou Dupray</t>
    </r>
  </si>
  <si>
    <r>
      <t xml:space="preserve">Polidores de Piso - </t>
    </r>
    <r>
      <rPr>
        <b/>
        <sz val="12"/>
        <rFont val="Times New Roman"/>
        <family val="1"/>
      </rPr>
      <t>Oreck e/ou Bissell</t>
    </r>
  </si>
  <si>
    <r>
      <t xml:space="preserve">Sistema de Limpeza com Microfibra - </t>
    </r>
    <r>
      <rPr>
        <b/>
        <sz val="12"/>
        <rFont val="Times New Roman"/>
        <family val="1"/>
      </rPr>
      <t>3M  e/ou Rubbermaid</t>
    </r>
  </si>
  <si>
    <r>
      <t xml:space="preserve">Sopradores e Secadores de Carpete - </t>
    </r>
    <r>
      <rPr>
        <b/>
        <sz val="12"/>
        <rFont val="Times New Roman"/>
        <family val="1"/>
      </rPr>
      <t>B-Air e/ou Phoenix</t>
    </r>
  </si>
  <si>
    <r>
      <t xml:space="preserve">Câmeras de Vigilância IP - </t>
    </r>
    <r>
      <rPr>
        <b/>
        <sz val="12"/>
        <rFont val="Times New Roman"/>
        <family val="1"/>
      </rPr>
      <t>Arlo  e/ou Hikvision</t>
    </r>
  </si>
  <si>
    <r>
      <t xml:space="preserve">Sistemas de Alarme Residenciais  </t>
    </r>
    <r>
      <rPr>
        <b/>
        <sz val="12"/>
        <rFont val="Times New Roman"/>
        <family val="1"/>
      </rPr>
      <t>Ring e/ou ADT</t>
    </r>
  </si>
  <si>
    <r>
      <t xml:space="preserve">Sensores de Incêndio e Gás - </t>
    </r>
    <r>
      <rPr>
        <b/>
        <sz val="12"/>
        <rFont val="Times New Roman"/>
        <family val="1"/>
      </rPr>
      <t>Nest e/ou Kidde</t>
    </r>
  </si>
  <si>
    <t xml:space="preserve">Fechaduras Inteligentes </t>
  </si>
  <si>
    <t>Sistema de Controle de Acesso</t>
  </si>
  <si>
    <t xml:space="preserve">Rastreadores de Segurança </t>
  </si>
  <si>
    <t>Outros equipamentos ou Produtos</t>
  </si>
  <si>
    <t>Mitsubishi L 200 2023 (Diesel)</t>
  </si>
  <si>
    <t>Alvara Comercial, NIF, Registro Comercial, Publicação no DR</t>
  </si>
  <si>
    <t>Equipamentos Administrativos</t>
  </si>
  <si>
    <t>Computador HP Core I5</t>
  </si>
  <si>
    <t>Impressoras HP DESKJET ADVANCE 2720 E-AIO</t>
  </si>
  <si>
    <t>Mesas de Escritório</t>
  </si>
  <si>
    <t>Cadeiras para Escritório</t>
  </si>
  <si>
    <t>Armário para escritório</t>
  </si>
  <si>
    <t>Outros equipamentos</t>
  </si>
  <si>
    <t>Cuidados de Crianças</t>
  </si>
  <si>
    <t>Cuidados de Idosos</t>
  </si>
  <si>
    <t>Limpeza Doméstica</t>
  </si>
  <si>
    <t>Vigilância Residencial</t>
  </si>
  <si>
    <t>Outros (Arrendamento)</t>
  </si>
  <si>
    <t>MAPA DE FORNECIMENTO E SERVIÇOS EXTERNOS</t>
  </si>
  <si>
    <t>Qtd.</t>
  </si>
  <si>
    <t>P.U</t>
  </si>
  <si>
    <t>Valor</t>
  </si>
  <si>
    <t>Água (m3)</t>
  </si>
  <si>
    <t>Todo Consumo</t>
  </si>
  <si>
    <t>Comunicação</t>
  </si>
  <si>
    <t>Energia</t>
  </si>
  <si>
    <t>Combustível (Diesel - 2000lt e Gasolina - 1233lt)</t>
  </si>
  <si>
    <t>3233 litros</t>
  </si>
  <si>
    <t>Publicidade</t>
  </si>
  <si>
    <t>Reformas e Mobiliário de Escritório</t>
  </si>
  <si>
    <r>
      <t xml:space="preserve">Aspiradores de Pó Profissinais - </t>
    </r>
    <r>
      <rPr>
        <b/>
        <sz val="12"/>
        <rFont val="Times New Roman"/>
        <family val="1"/>
      </rPr>
      <t>Karcher e/ou Dyson</t>
    </r>
  </si>
  <si>
    <r>
      <t xml:space="preserve">Lavadoras de Pisos Automáticas - </t>
    </r>
    <r>
      <rPr>
        <b/>
        <sz val="12"/>
        <rFont val="Times New Roman"/>
        <family val="1"/>
      </rPr>
      <t>Nilfisk e/ou Tennant</t>
    </r>
  </si>
  <si>
    <t>Custos de Arrendamento</t>
  </si>
  <si>
    <t>Standard Bank</t>
  </si>
  <si>
    <t>Planos de Seguro</t>
  </si>
  <si>
    <t xml:space="preserve">Capital Social </t>
  </si>
  <si>
    <t>Capitais Alheios (40%)</t>
  </si>
  <si>
    <t>Capitais Próprios (60%)</t>
  </si>
  <si>
    <t xml:space="preserve">MAPA DE PRESTAÇÃO DE SERVIÇOS E VENDAS </t>
  </si>
  <si>
    <t>MAPA DE DEMONSTRAÇÕES DE RESULTADOS</t>
  </si>
  <si>
    <t>MAPA DE CASH FLOWS LIQUIDOS</t>
  </si>
  <si>
    <t>MAPA DE INDICADORES FINANCEIROS</t>
  </si>
  <si>
    <t>MAPA DE CENÁRIOS ( ANALISE DE SENSIBILIDADE)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</si>
</sst>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K_z_-;\-* #,##0\ _K_z_-;_-* &quot;-&quot;\ _K_z_-;_-@_-"/>
    <numFmt numFmtId="165" formatCode="_-* #,##0.00\ _K_z_-;\-* #,##0.00\ _K_z_-;_-* &quot;-&quot;??\ _K_z_-;_-@_-"/>
    <numFmt numFmtId="166" formatCode="_-* #,##0.00\ _€_-;\-* #,##0.00\ _€_-;_-* &quot;-&quot;??\ _€_-;_-@_-"/>
    <numFmt numFmtId="167" formatCode="&quot;$&quot;#,##0.00"/>
    <numFmt numFmtId="168" formatCode="_(* #,##0.00_);_(* \(#,##0.00\);_(* &quot;-&quot;??_);_(@_)"/>
    <numFmt numFmtId="169" formatCode="_([$AOA]\ * #,##0.00_);_([$AOA]\ * \(#,##0.00\);_([$AOA]\ * &quot;-&quot;??_);_(@_)"/>
    <numFmt numFmtId="170" formatCode="_-* #,##0.00\ [$AOA]_-;\-* #,##0.00\ [$AOA]_-;_-* &quot;-&quot;??\ [$AOA]_-;_-@_-"/>
    <numFmt numFmtId="171" formatCode="#,##0_ ;\-#,##0\ "/>
    <numFmt numFmtId="172" formatCode="_(&quot;$&quot;* #,##0.00_);_(&quot;$&quot;* \(#,##0.00\);_(&quot;$&quot;* &quot;-&quot;??_);_(@_)"/>
  </numFmts>
  <fonts count="38" x14ac:knownFonts="1">
    <font>
      <sz val="11"/>
      <name val="Calibri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2"/>
      <name val="Times New Roman"/>
      <family val="1"/>
    </font>
    <font>
      <sz val="12"/>
      <color rgb="FF3F3F3F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5C9BD5"/>
      <name val="Times New Roman"/>
      <family val="1"/>
    </font>
    <font>
      <sz val="12"/>
      <color rgb="FFFF0000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000000"/>
      <name val="Calibri"/>
      <family val="2"/>
    </font>
    <font>
      <b/>
      <sz val="12"/>
      <color rgb="FFFF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4"/>
      <color rgb="FF000000"/>
      <name val="Times New Roman"/>
      <family val="1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4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166" fontId="24" fillId="0" borderId="0">
      <protection locked="0"/>
    </xf>
    <xf numFmtId="172" fontId="24" fillId="0" borderId="0">
      <protection locked="0"/>
    </xf>
    <xf numFmtId="0" fontId="25" fillId="11" borderId="41">
      <protection locked="0"/>
    </xf>
    <xf numFmtId="9" fontId="24" fillId="0" borderId="0">
      <protection locked="0"/>
    </xf>
  </cellStyleXfs>
  <cellXfs count="468">
    <xf numFmtId="0" fontId="0" fillId="0" borderId="0" xfId="0">
      <alignment vertical="center"/>
    </xf>
    <xf numFmtId="0" fontId="2" fillId="0" borderId="3" xfId="0" applyFont="1" applyBorder="1" applyAlignment="1"/>
    <xf numFmtId="0" fontId="3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4" fillId="0" borderId="3" xfId="0" applyFont="1" applyBorder="1" applyAlignment="1"/>
    <xf numFmtId="10" fontId="2" fillId="0" borderId="3" xfId="0" applyNumberFormat="1" applyFont="1" applyBorder="1" applyAlignment="1"/>
    <xf numFmtId="10" fontId="5" fillId="0" borderId="3" xfId="0" applyNumberFormat="1" applyFont="1" applyBorder="1" applyAlignment="1"/>
    <xf numFmtId="0" fontId="6" fillId="0" borderId="3" xfId="0" applyFont="1" applyBorder="1" applyAlignment="1"/>
    <xf numFmtId="9" fontId="2" fillId="0" borderId="3" xfId="0" applyNumberFormat="1" applyFont="1" applyBorder="1" applyAlignment="1"/>
    <xf numFmtId="0" fontId="7" fillId="0" borderId="0" xfId="0" applyFont="1" applyAlignment="1"/>
    <xf numFmtId="0" fontId="4" fillId="0" borderId="0" xfId="0" applyFont="1" applyAlignment="1">
      <alignment horizontal="center"/>
    </xf>
    <xf numFmtId="167" fontId="4" fillId="0" borderId="0" xfId="0" applyNumberFormat="1" applyFont="1" applyAlignment="1"/>
    <xf numFmtId="0" fontId="2" fillId="3" borderId="3" xfId="0" applyFont="1" applyFill="1" applyBorder="1" applyAlignment="1"/>
    <xf numFmtId="9" fontId="11" fillId="3" borderId="3" xfId="0" applyNumberFormat="1" applyFont="1" applyFill="1" applyBorder="1" applyAlignment="1"/>
    <xf numFmtId="0" fontId="2" fillId="3" borderId="27" xfId="0" applyFont="1" applyFill="1" applyBorder="1" applyAlignment="1"/>
    <xf numFmtId="0" fontId="2" fillId="3" borderId="28" xfId="0" applyFont="1" applyFill="1" applyBorder="1" applyAlignment="1"/>
    <xf numFmtId="9" fontId="11" fillId="3" borderId="28" xfId="0" applyNumberFormat="1" applyFont="1" applyFill="1" applyBorder="1" applyAlignment="1"/>
    <xf numFmtId="9" fontId="12" fillId="3" borderId="28" xfId="0" applyNumberFormat="1" applyFont="1" applyFill="1" applyBorder="1" applyAlignment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3" borderId="3" xfId="0" applyNumberFormat="1" applyFont="1" applyFill="1" applyBorder="1" applyAlignment="1"/>
    <xf numFmtId="0" fontId="5" fillId="0" borderId="3" xfId="0" applyFont="1" applyBorder="1" applyAlignment="1">
      <alignment vertical="center" wrapText="1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/>
    <xf numFmtId="4" fontId="3" fillId="3" borderId="28" xfId="0" applyNumberFormat="1" applyFont="1" applyFill="1" applyBorder="1" applyAlignment="1"/>
    <xf numFmtId="4" fontId="2" fillId="3" borderId="28" xfId="0" applyNumberFormat="1" applyFont="1" applyFill="1" applyBorder="1" applyAlignment="1"/>
    <xf numFmtId="4" fontId="3" fillId="3" borderId="32" xfId="0" applyNumberFormat="1" applyFont="1" applyFill="1" applyBorder="1" applyAlignment="1"/>
    <xf numFmtId="4" fontId="3" fillId="3" borderId="0" xfId="0" applyNumberFormat="1" applyFont="1" applyFill="1" applyBorder="1" applyAlignment="1"/>
    <xf numFmtId="0" fontId="10" fillId="3" borderId="3" xfId="0" applyFont="1" applyFill="1" applyBorder="1" applyAlignment="1"/>
    <xf numFmtId="9" fontId="2" fillId="3" borderId="3" xfId="0" applyNumberFormat="1" applyFont="1" applyFill="1" applyBorder="1" applyAlignment="1"/>
    <xf numFmtId="165" fontId="2" fillId="3" borderId="3" xfId="0" applyNumberFormat="1" applyFont="1" applyFill="1" applyBorder="1" applyAlignment="1"/>
    <xf numFmtId="4" fontId="3" fillId="3" borderId="3" xfId="0" applyNumberFormat="1" applyFont="1" applyFill="1" applyBorder="1" applyAlignment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3" xfId="0" applyFont="1" applyFill="1" applyBorder="1" applyAlignment="1"/>
    <xf numFmtId="0" fontId="2" fillId="3" borderId="3" xfId="0" applyFont="1" applyFill="1" applyBorder="1" applyAlignment="1"/>
    <xf numFmtId="0" fontId="2" fillId="3" borderId="3" xfId="0" applyFont="1" applyFill="1" applyBorder="1">
      <alignment vertical="center"/>
    </xf>
    <xf numFmtId="169" fontId="2" fillId="3" borderId="3" xfId="0" applyNumberFormat="1" applyFont="1" applyFill="1" applyBorder="1" applyAlignment="1"/>
    <xf numFmtId="0" fontId="4" fillId="0" borderId="0" xfId="0" applyFont="1" applyAlignment="1"/>
    <xf numFmtId="0" fontId="2" fillId="3" borderId="3" xfId="0" applyFont="1" applyFill="1" applyBorder="1" applyAlignment="1">
      <alignment vertical="top"/>
    </xf>
    <xf numFmtId="169" fontId="2" fillId="3" borderId="3" xfId="1" applyNumberFormat="1" applyFont="1" applyFill="1" applyBorder="1" applyAlignment="1" applyProtection="1"/>
    <xf numFmtId="0" fontId="3" fillId="5" borderId="3" xfId="0" applyFont="1" applyFill="1" applyBorder="1" applyAlignment="1">
      <alignment horizontal="left" vertical="top"/>
    </xf>
    <xf numFmtId="169" fontId="3" fillId="5" borderId="3" xfId="1" applyNumberFormat="1" applyFont="1" applyFill="1" applyBorder="1" applyAlignment="1" applyProtection="1"/>
    <xf numFmtId="0" fontId="13" fillId="3" borderId="3" xfId="0" applyFont="1" applyFill="1" applyBorder="1" applyAlignment="1">
      <alignment horizontal="left" vertical="top"/>
    </xf>
    <xf numFmtId="169" fontId="3" fillId="3" borderId="3" xfId="0" applyNumberFormat="1" applyFont="1" applyFill="1" applyBorder="1" applyAlignment="1"/>
    <xf numFmtId="0" fontId="2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top"/>
    </xf>
    <xf numFmtId="169" fontId="3" fillId="3" borderId="3" xfId="1" applyNumberFormat="1" applyFont="1" applyFill="1" applyBorder="1" applyAlignment="1" applyProtection="1"/>
    <xf numFmtId="0" fontId="3" fillId="3" borderId="3" xfId="0" applyFont="1" applyFill="1" applyBorder="1" applyAlignment="1">
      <alignment horizontal="left" vertical="top"/>
    </xf>
    <xf numFmtId="169" fontId="2" fillId="3" borderId="3" xfId="0" applyNumberFormat="1" applyFont="1" applyFill="1" applyBorder="1" applyAlignment="1">
      <alignment horizontal="center"/>
    </xf>
    <xf numFmtId="169" fontId="4" fillId="0" borderId="0" xfId="0" applyNumberFormat="1" applyFont="1" applyAlignment="1"/>
    <xf numFmtId="166" fontId="2" fillId="3" borderId="3" xfId="1" applyFont="1" applyFill="1" applyBorder="1" applyAlignment="1" applyProtection="1"/>
    <xf numFmtId="164" fontId="2" fillId="0" borderId="3" xfId="0" applyNumberFormat="1" applyFont="1" applyBorder="1" applyAlignment="1">
      <alignment horizontal="center" vertical="center"/>
    </xf>
    <xf numFmtId="165" fontId="2" fillId="3" borderId="3" xfId="1" applyNumberFormat="1" applyFont="1" applyFill="1" applyBorder="1" applyAlignment="1" applyProtection="1"/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/>
    <xf numFmtId="0" fontId="6" fillId="0" borderId="0" xfId="0" applyFont="1" applyAlignment="1"/>
    <xf numFmtId="0" fontId="14" fillId="0" borderId="0" xfId="0" applyFont="1" applyAlignment="1"/>
    <xf numFmtId="0" fontId="2" fillId="0" borderId="3" xfId="0" applyFont="1" applyBorder="1" applyAlignment="1">
      <alignment shrinkToFit="1"/>
    </xf>
    <xf numFmtId="169" fontId="9" fillId="0" borderId="3" xfId="1" applyNumberFormat="1" applyFont="1" applyBorder="1" applyAlignment="1" applyProtection="1">
      <alignment shrinkToFit="1"/>
    </xf>
    <xf numFmtId="169" fontId="2" fillId="0" borderId="3" xfId="0" applyNumberFormat="1" applyFont="1" applyBorder="1" applyAlignment="1">
      <alignment shrinkToFit="1"/>
    </xf>
    <xf numFmtId="0" fontId="16" fillId="0" borderId="0" xfId="0" applyFont="1" applyBorder="1" applyAlignment="1">
      <alignment horizontal="center"/>
    </xf>
    <xf numFmtId="0" fontId="7" fillId="0" borderId="3" xfId="0" applyFont="1" applyBorder="1" applyAlignment="1"/>
    <xf numFmtId="9" fontId="7" fillId="0" borderId="3" xfId="0" applyNumberFormat="1" applyFont="1" applyBorder="1" applyAlignment="1"/>
    <xf numFmtId="10" fontId="7" fillId="0" borderId="0" xfId="0" applyNumberFormat="1" applyFont="1" applyBorder="1" applyAlignment="1"/>
    <xf numFmtId="0" fontId="2" fillId="0" borderId="3" xfId="0" applyFont="1" applyBorder="1" applyAlignment="1">
      <alignment horizontal="left"/>
    </xf>
    <xf numFmtId="0" fontId="17" fillId="0" borderId="3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2" fillId="3" borderId="3" xfId="0" applyNumberFormat="1" applyFont="1" applyFill="1" applyBorder="1" applyAlignment="1"/>
    <xf numFmtId="10" fontId="2" fillId="3" borderId="0" xfId="0" applyNumberFormat="1" applyFont="1" applyFill="1" applyBorder="1" applyAlignment="1"/>
    <xf numFmtId="9" fontId="2" fillId="3" borderId="3" xfId="0" applyNumberFormat="1" applyFont="1" applyFill="1" applyBorder="1" applyAlignment="1"/>
    <xf numFmtId="9" fontId="2" fillId="3" borderId="0" xfId="0" applyNumberFormat="1" applyFont="1" applyFill="1" applyBorder="1" applyAlignment="1"/>
    <xf numFmtId="10" fontId="3" fillId="0" borderId="3" xfId="0" applyNumberFormat="1" applyFont="1" applyBorder="1" applyAlignment="1"/>
    <xf numFmtId="10" fontId="3" fillId="0" borderId="0" xfId="0" applyNumberFormat="1" applyFont="1" applyBorder="1" applyAlignment="1"/>
    <xf numFmtId="10" fontId="2" fillId="0" borderId="3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6" fillId="3" borderId="3" xfId="3" applyFont="1" applyFill="1" applyBorder="1" applyAlignment="1" applyProtection="1">
      <alignment horizontal="center"/>
    </xf>
    <xf numFmtId="166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169" fontId="7" fillId="0" borderId="0" xfId="0" applyNumberFormat="1" applyFont="1" applyAlignment="1"/>
    <xf numFmtId="0" fontId="2" fillId="0" borderId="0" xfId="0" applyFont="1" applyBorder="1" applyAlignment="1"/>
    <xf numFmtId="0" fontId="19" fillId="7" borderId="3" xfId="0" applyFont="1" applyFill="1" applyBorder="1" applyAlignment="1">
      <alignment horizontal="center"/>
    </xf>
    <xf numFmtId="0" fontId="20" fillId="0" borderId="3" xfId="0" applyFont="1" applyBorder="1" applyAlignment="1"/>
    <xf numFmtId="166" fontId="20" fillId="0" borderId="3" xfId="1" applyFont="1" applyBorder="1" applyAlignment="1" applyProtection="1"/>
    <xf numFmtId="2" fontId="20" fillId="0" borderId="3" xfId="1" applyNumberFormat="1" applyFont="1" applyBorder="1" applyAlignment="1" applyProtection="1"/>
    <xf numFmtId="166" fontId="19" fillId="7" borderId="3" xfId="1" applyFont="1" applyFill="1" applyBorder="1" applyAlignment="1" applyProtection="1">
      <alignment horizontal="center"/>
    </xf>
    <xf numFmtId="0" fontId="20" fillId="0" borderId="0" xfId="0" applyFont="1" applyAlignment="1"/>
    <xf numFmtId="169" fontId="9" fillId="0" borderId="0" xfId="1" applyNumberFormat="1" applyFont="1" applyAlignment="1" applyProtection="1">
      <alignment shrinkToFit="1"/>
    </xf>
    <xf numFmtId="170" fontId="4" fillId="0" borderId="0" xfId="0" applyNumberFormat="1" applyFont="1" applyAlignment="1"/>
    <xf numFmtId="0" fontId="2" fillId="0" borderId="49" xfId="0" applyFont="1" applyBorder="1" applyAlignment="1">
      <alignment shrinkToFit="1"/>
    </xf>
    <xf numFmtId="169" fontId="2" fillId="0" borderId="50" xfId="0" applyNumberFormat="1" applyFont="1" applyBorder="1" applyAlignment="1">
      <alignment shrinkToFit="1"/>
    </xf>
    <xf numFmtId="166" fontId="4" fillId="0" borderId="0" xfId="1" applyFont="1" applyAlignment="1" applyProtection="1"/>
    <xf numFmtId="0" fontId="22" fillId="0" borderId="0" xfId="0" applyFont="1" applyAlignment="1"/>
    <xf numFmtId="0" fontId="2" fillId="0" borderId="51" xfId="0" applyFont="1" applyBorder="1" applyAlignment="1">
      <alignment shrinkToFit="1"/>
    </xf>
    <xf numFmtId="169" fontId="2" fillId="0" borderId="4" xfId="0" applyNumberFormat="1" applyFont="1" applyBorder="1" applyAlignment="1">
      <alignment shrinkToFit="1"/>
    </xf>
    <xf numFmtId="0" fontId="2" fillId="0" borderId="0" xfId="0" applyFont="1" applyBorder="1" applyAlignment="1">
      <alignment vertical="center" shrinkToFit="1"/>
    </xf>
    <xf numFmtId="0" fontId="4" fillId="0" borderId="0" xfId="0" applyFont="1" applyBorder="1" applyAlignment="1"/>
    <xf numFmtId="171" fontId="2" fillId="0" borderId="0" xfId="0" applyNumberFormat="1" applyFont="1" applyBorder="1" applyAlignment="1">
      <alignment vertical="center" shrinkToFit="1"/>
    </xf>
    <xf numFmtId="1" fontId="2" fillId="0" borderId="0" xfId="0" applyNumberFormat="1" applyFont="1" applyBorder="1" applyAlignment="1">
      <alignment vertical="center" shrinkToFit="1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/>
    <xf numFmtId="0" fontId="2" fillId="8" borderId="47" xfId="0" applyFont="1" applyFill="1" applyBorder="1" applyAlignment="1">
      <alignment horizontal="center" shrinkToFit="1"/>
    </xf>
    <xf numFmtId="0" fontId="2" fillId="9" borderId="47" xfId="0" applyFont="1" applyFill="1" applyBorder="1" applyAlignment="1">
      <alignment horizontal="center" shrinkToFit="1"/>
    </xf>
    <xf numFmtId="0" fontId="2" fillId="10" borderId="48" xfId="0" applyFont="1" applyFill="1" applyBorder="1" applyAlignment="1">
      <alignment horizontal="center" shrinkToFit="1"/>
    </xf>
    <xf numFmtId="0" fontId="2" fillId="0" borderId="49" xfId="0" applyFont="1" applyBorder="1" applyAlignment="1">
      <alignment horizontal="center" shrinkToFit="1"/>
    </xf>
    <xf numFmtId="10" fontId="23" fillId="0" borderId="3" xfId="4" applyNumberFormat="1" applyFont="1" applyBorder="1" applyAlignment="1" applyProtection="1">
      <alignment horizontal="center" shrinkToFit="1"/>
    </xf>
    <xf numFmtId="169" fontId="23" fillId="0" borderId="3" xfId="0" applyNumberFormat="1" applyFont="1" applyBorder="1" applyAlignment="1">
      <alignment horizontal="left" vertical="center" shrinkToFit="1"/>
    </xf>
    <xf numFmtId="0" fontId="2" fillId="3" borderId="52" xfId="0" applyFont="1" applyFill="1" applyBorder="1" applyAlignment="1">
      <alignment horizontal="center" shrinkToFit="1"/>
    </xf>
    <xf numFmtId="10" fontId="3" fillId="0" borderId="45" xfId="0" applyNumberFormat="1" applyFont="1" applyBorder="1" applyAlignment="1">
      <alignment horizontal="center" vertical="center" shrinkToFit="1"/>
    </xf>
    <xf numFmtId="0" fontId="2" fillId="3" borderId="53" xfId="0" applyFont="1" applyFill="1" applyBorder="1" applyAlignment="1">
      <alignment horizontal="center" shrinkToFit="1"/>
    </xf>
    <xf numFmtId="10" fontId="3" fillId="0" borderId="54" xfId="0" applyNumberFormat="1" applyFont="1" applyBorder="1" applyAlignment="1">
      <alignment horizontal="center" vertical="center" shrinkToFit="1"/>
    </xf>
    <xf numFmtId="10" fontId="3" fillId="0" borderId="0" xfId="0" applyNumberFormat="1" applyFont="1" applyBorder="1" applyAlignment="1">
      <alignment vertical="center" shrinkToFit="1"/>
    </xf>
    <xf numFmtId="9" fontId="4" fillId="0" borderId="3" xfId="4" applyFont="1" applyBorder="1" applyAlignment="1" applyProtection="1"/>
    <xf numFmtId="2" fontId="20" fillId="0" borderId="3" xfId="0" applyNumberFormat="1" applyFont="1" applyBorder="1" applyAlignment="1"/>
    <xf numFmtId="166" fontId="20" fillId="0" borderId="0" xfId="0" applyNumberFormat="1" applyFont="1" applyAlignment="1"/>
    <xf numFmtId="0" fontId="20" fillId="0" borderId="3" xfId="0" applyNumberFormat="1" applyFont="1" applyBorder="1" applyAlignment="1"/>
    <xf numFmtId="4" fontId="20" fillId="0" borderId="3" xfId="0" applyNumberFormat="1" applyFont="1" applyBorder="1" applyAlignment="1"/>
    <xf numFmtId="0" fontId="3" fillId="12" borderId="3" xfId="0" applyFont="1" applyFill="1" applyBorder="1" applyAlignment="1"/>
    <xf numFmtId="0" fontId="2" fillId="12" borderId="3" xfId="0" applyFont="1" applyFill="1" applyBorder="1" applyAlignment="1"/>
    <xf numFmtId="0" fontId="10" fillId="12" borderId="3" xfId="0" applyFont="1" applyFill="1" applyBorder="1" applyAlignment="1"/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3" xfId="0" applyFont="1" applyFill="1" applyBorder="1" applyAlignment="1"/>
    <xf numFmtId="4" fontId="3" fillId="13" borderId="3" xfId="0" applyNumberFormat="1" applyFont="1" applyFill="1" applyBorder="1" applyAlignment="1"/>
    <xf numFmtId="4" fontId="3" fillId="12" borderId="3" xfId="0" applyNumberFormat="1" applyFont="1" applyFill="1" applyBorder="1" applyAlignment="1"/>
    <xf numFmtId="0" fontId="3" fillId="14" borderId="3" xfId="0" applyFont="1" applyFill="1" applyBorder="1" applyAlignment="1">
      <alignment horizontal="center"/>
    </xf>
    <xf numFmtId="0" fontId="2" fillId="14" borderId="3" xfId="0" applyFont="1" applyFill="1" applyBorder="1" applyAlignment="1"/>
    <xf numFmtId="4" fontId="3" fillId="14" borderId="3" xfId="0" applyNumberFormat="1" applyFont="1" applyFill="1" applyBorder="1" applyAlignment="1"/>
    <xf numFmtId="0" fontId="3" fillId="15" borderId="3" xfId="0" applyFont="1" applyFill="1" applyBorder="1" applyAlignment="1">
      <alignment horizontal="center"/>
    </xf>
    <xf numFmtId="169" fontId="3" fillId="13" borderId="3" xfId="1" applyNumberFormat="1" applyFont="1" applyFill="1" applyBorder="1" applyAlignment="1" applyProtection="1"/>
    <xf numFmtId="0" fontId="7" fillId="15" borderId="0" xfId="0" applyFont="1" applyFill="1" applyAlignment="1"/>
    <xf numFmtId="0" fontId="3" fillId="15" borderId="3" xfId="0" applyFont="1" applyFill="1" applyBorder="1" applyAlignment="1">
      <alignment horizontal="center" shrinkToFit="1"/>
    </xf>
    <xf numFmtId="0" fontId="13" fillId="15" borderId="3" xfId="3" applyFont="1" applyFill="1" applyBorder="1" applyAlignment="1" applyProtection="1">
      <alignment horizontal="center" shrinkToFit="1"/>
    </xf>
    <xf numFmtId="0" fontId="29" fillId="15" borderId="3" xfId="3" applyFont="1" applyFill="1" applyBorder="1" applyAlignment="1" applyProtection="1">
      <alignment horizontal="center" vertical="center"/>
    </xf>
    <xf numFmtId="0" fontId="29" fillId="13" borderId="3" xfId="3" applyFont="1" applyFill="1" applyBorder="1" applyAlignment="1" applyProtection="1"/>
    <xf numFmtId="169" fontId="29" fillId="13" borderId="3" xfId="3" applyNumberFormat="1" applyFont="1" applyFill="1" applyBorder="1" applyAlignment="1" applyProtection="1">
      <alignment horizontal="right" wrapText="1"/>
    </xf>
    <xf numFmtId="169" fontId="29" fillId="13" borderId="3" xfId="0" applyNumberFormat="1" applyFont="1" applyFill="1" applyBorder="1" applyAlignment="1">
      <alignment horizontal="right"/>
    </xf>
    <xf numFmtId="0" fontId="30" fillId="3" borderId="3" xfId="3" applyFont="1" applyFill="1" applyBorder="1" applyAlignment="1" applyProtection="1">
      <alignment horizontal="left"/>
    </xf>
    <xf numFmtId="169" fontId="30" fillId="3" borderId="3" xfId="3" applyNumberFormat="1" applyFont="1" applyFill="1" applyBorder="1" applyAlignment="1" applyProtection="1">
      <alignment horizontal="right" wrapText="1"/>
    </xf>
    <xf numFmtId="0" fontId="30" fillId="3" borderId="3" xfId="3" applyFont="1" applyFill="1" applyBorder="1" applyAlignment="1" applyProtection="1"/>
    <xf numFmtId="169" fontId="30" fillId="3" borderId="3" xfId="0" applyNumberFormat="1" applyFont="1" applyFill="1" applyBorder="1" applyAlignment="1">
      <alignment horizontal="center"/>
    </xf>
    <xf numFmtId="169" fontId="30" fillId="3" borderId="3" xfId="3" applyNumberFormat="1" applyFont="1" applyFill="1" applyBorder="1" applyAlignment="1" applyProtection="1"/>
    <xf numFmtId="169" fontId="30" fillId="3" borderId="3" xfId="3" applyNumberFormat="1" applyFont="1" applyFill="1" applyBorder="1" applyAlignment="1" applyProtection="1">
      <alignment horizontal="right"/>
    </xf>
    <xf numFmtId="169" fontId="29" fillId="13" borderId="3" xfId="3" applyNumberFormat="1" applyFont="1" applyFill="1" applyBorder="1" applyAlignment="1" applyProtection="1">
      <alignment horizontal="right"/>
    </xf>
    <xf numFmtId="169" fontId="29" fillId="13" borderId="3" xfId="1" applyNumberFormat="1" applyFont="1" applyFill="1" applyBorder="1" applyAlignment="1" applyProtection="1">
      <alignment horizontal="right"/>
    </xf>
    <xf numFmtId="0" fontId="30" fillId="3" borderId="3" xfId="3" applyFont="1" applyFill="1" applyBorder="1" applyAlignment="1" applyProtection="1">
      <alignment horizontal="center"/>
    </xf>
    <xf numFmtId="169" fontId="30" fillId="3" borderId="3" xfId="1" applyNumberFormat="1" applyFont="1" applyFill="1" applyBorder="1" applyAlignment="1" applyProtection="1">
      <alignment horizontal="right"/>
    </xf>
    <xf numFmtId="0" fontId="29" fillId="13" borderId="3" xfId="3" applyFont="1" applyFill="1" applyBorder="1" applyAlignment="1" applyProtection="1">
      <alignment horizontal="left"/>
    </xf>
    <xf numFmtId="0" fontId="29" fillId="13" borderId="3" xfId="3" applyFont="1" applyFill="1" applyBorder="1" applyAlignment="1" applyProtection="1">
      <alignment horizontal="center"/>
    </xf>
    <xf numFmtId="169" fontId="29" fillId="13" borderId="3" xfId="1" applyNumberFormat="1" applyFont="1" applyFill="1" applyBorder="1" applyAlignment="1" applyProtection="1"/>
    <xf numFmtId="0" fontId="30" fillId="0" borderId="0" xfId="0" applyFont="1" applyAlignment="1"/>
    <xf numFmtId="0" fontId="27" fillId="0" borderId="0" xfId="0" applyFont="1">
      <alignment vertical="center"/>
    </xf>
    <xf numFmtId="0" fontId="30" fillId="0" borderId="13" xfId="0" applyFont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4" fontId="30" fillId="0" borderId="16" xfId="0" applyNumberFormat="1" applyFont="1" applyBorder="1" applyAlignment="1">
      <alignment horizontal="center" vertical="center" wrapText="1"/>
    </xf>
    <xf numFmtId="3" fontId="30" fillId="0" borderId="35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4" fontId="30" fillId="0" borderId="35" xfId="0" applyNumberFormat="1" applyFont="1" applyBorder="1" applyAlignment="1">
      <alignment horizontal="center" vertical="center" wrapText="1"/>
    </xf>
    <xf numFmtId="168" fontId="30" fillId="0" borderId="36" xfId="0" applyNumberFormat="1" applyFont="1" applyBorder="1" applyAlignment="1"/>
    <xf numFmtId="2" fontId="30" fillId="0" borderId="35" xfId="0" applyNumberFormat="1" applyFont="1" applyBorder="1" applyAlignment="1">
      <alignment horizontal="center" vertical="center" wrapText="1"/>
    </xf>
    <xf numFmtId="168" fontId="30" fillId="0" borderId="35" xfId="0" applyNumberFormat="1" applyFont="1" applyBorder="1" applyAlignment="1"/>
    <xf numFmtId="3" fontId="30" fillId="0" borderId="37" xfId="0" applyNumberFormat="1" applyFont="1" applyBorder="1" applyAlignment="1">
      <alignment horizontal="center" vertical="center" wrapText="1"/>
    </xf>
    <xf numFmtId="168" fontId="30" fillId="0" borderId="13" xfId="0" applyNumberFormat="1" applyFont="1" applyBorder="1" applyAlignment="1"/>
    <xf numFmtId="0" fontId="29" fillId="13" borderId="8" xfId="0" applyFont="1" applyFill="1" applyBorder="1" applyAlignment="1">
      <alignment vertical="center" wrapText="1"/>
    </xf>
    <xf numFmtId="0" fontId="30" fillId="13" borderId="13" xfId="0" applyFont="1" applyFill="1" applyBorder="1" applyAlignment="1">
      <alignment vertical="center" wrapText="1"/>
    </xf>
    <xf numFmtId="3" fontId="29" fillId="13" borderId="38" xfId="0" applyNumberFormat="1" applyFont="1" applyFill="1" applyBorder="1" applyAlignment="1">
      <alignment horizontal="center" vertical="center" wrapText="1"/>
    </xf>
    <xf numFmtId="4" fontId="29" fillId="13" borderId="5" xfId="0" applyNumberFormat="1" applyFont="1" applyFill="1" applyBorder="1" applyAlignment="1">
      <alignment horizontal="center" vertical="center" wrapText="1"/>
    </xf>
    <xf numFmtId="3" fontId="29" fillId="13" borderId="39" xfId="0" applyNumberFormat="1" applyFont="1" applyFill="1" applyBorder="1" applyAlignment="1">
      <alignment horizontal="center" vertical="center" wrapText="1"/>
    </xf>
    <xf numFmtId="4" fontId="29" fillId="13" borderId="39" xfId="0" applyNumberFormat="1" applyFont="1" applyFill="1" applyBorder="1" applyAlignment="1">
      <alignment horizontal="center" vertical="center" wrapText="1"/>
    </xf>
    <xf numFmtId="4" fontId="29" fillId="13" borderId="13" xfId="0" applyNumberFormat="1" applyFont="1" applyFill="1" applyBorder="1" applyAlignment="1">
      <alignment horizontal="center" vertical="center" wrapText="1"/>
    </xf>
    <xf numFmtId="0" fontId="29" fillId="15" borderId="40" xfId="3" applyFont="1" applyFill="1" applyBorder="1" applyAlignment="1" applyProtection="1">
      <alignment horizontal="center"/>
    </xf>
    <xf numFmtId="0" fontId="29" fillId="3" borderId="41" xfId="3" applyFont="1" applyFill="1" applyAlignment="1" applyProtection="1"/>
    <xf numFmtId="0" fontId="29" fillId="3" borderId="42" xfId="3" applyFont="1" applyFill="1" applyBorder="1" applyAlignment="1" applyProtection="1"/>
    <xf numFmtId="0" fontId="29" fillId="3" borderId="3" xfId="3" applyFont="1" applyFill="1" applyBorder="1" applyAlignment="1" applyProtection="1"/>
    <xf numFmtId="0" fontId="31" fillId="0" borderId="3" xfId="0" applyFont="1" applyBorder="1" applyAlignment="1"/>
    <xf numFmtId="0" fontId="30" fillId="3" borderId="41" xfId="3" applyFont="1" applyFill="1" applyAlignment="1" applyProtection="1"/>
    <xf numFmtId="169" fontId="30" fillId="3" borderId="41" xfId="3" applyNumberFormat="1" applyFont="1" applyFill="1" applyAlignment="1" applyProtection="1">
      <alignment horizontal="right" wrapText="1"/>
    </xf>
    <xf numFmtId="169" fontId="30" fillId="3" borderId="41" xfId="1" applyNumberFormat="1" applyFont="1" applyFill="1" applyBorder="1" applyAlignment="1" applyProtection="1">
      <alignment wrapText="1"/>
    </xf>
    <xf numFmtId="169" fontId="30" fillId="3" borderId="42" xfId="1" applyNumberFormat="1" applyFont="1" applyFill="1" applyBorder="1" applyAlignment="1" applyProtection="1">
      <alignment wrapText="1"/>
    </xf>
    <xf numFmtId="169" fontId="30" fillId="3" borderId="3" xfId="1" applyNumberFormat="1" applyFont="1" applyFill="1" applyBorder="1" applyAlignment="1" applyProtection="1">
      <alignment wrapText="1"/>
    </xf>
    <xf numFmtId="169" fontId="30" fillId="3" borderId="41" xfId="3" applyNumberFormat="1" applyFont="1" applyFill="1" applyAlignment="1" applyProtection="1">
      <alignment horizontal="left" wrapText="1" indent="12"/>
    </xf>
    <xf numFmtId="169" fontId="30" fillId="3" borderId="41" xfId="3" applyNumberFormat="1" applyFont="1" applyFill="1" applyAlignment="1" applyProtection="1">
      <alignment horizontal="center" wrapText="1"/>
    </xf>
    <xf numFmtId="169" fontId="30" fillId="3" borderId="42" xfId="3" applyNumberFormat="1" applyFont="1" applyFill="1" applyBorder="1" applyAlignment="1" applyProtection="1">
      <alignment horizontal="left" wrapText="1" indent="12"/>
    </xf>
    <xf numFmtId="169" fontId="30" fillId="3" borderId="3" xfId="3" applyNumberFormat="1" applyFont="1" applyFill="1" applyBorder="1" applyAlignment="1" applyProtection="1">
      <alignment horizontal="left" wrapText="1" indent="12"/>
    </xf>
    <xf numFmtId="169" fontId="30" fillId="3" borderId="3" xfId="3" applyNumberFormat="1" applyFont="1" applyFill="1" applyBorder="1" applyAlignment="1" applyProtection="1">
      <alignment horizontal="center" wrapText="1"/>
    </xf>
    <xf numFmtId="4" fontId="29" fillId="3" borderId="41" xfId="3" applyNumberFormat="1" applyFont="1" applyFill="1" applyAlignment="1" applyProtection="1">
      <alignment horizontal="right" wrapText="1"/>
    </xf>
    <xf numFmtId="2" fontId="29" fillId="3" borderId="41" xfId="3" applyNumberFormat="1" applyFont="1" applyFill="1" applyAlignment="1" applyProtection="1"/>
    <xf numFmtId="2" fontId="32" fillId="0" borderId="0" xfId="0" applyNumberFormat="1" applyFont="1" applyAlignment="1"/>
    <xf numFmtId="2" fontId="29" fillId="3" borderId="42" xfId="3" applyNumberFormat="1" applyFont="1" applyFill="1" applyBorder="1" applyAlignment="1" applyProtection="1"/>
    <xf numFmtId="2" fontId="29" fillId="3" borderId="3" xfId="3" applyNumberFormat="1" applyFont="1" applyFill="1" applyBorder="1" applyAlignment="1" applyProtection="1"/>
    <xf numFmtId="169" fontId="30" fillId="3" borderId="41" xfId="3" applyNumberFormat="1" applyFont="1" applyFill="1" applyAlignment="1" applyProtection="1"/>
    <xf numFmtId="169" fontId="30" fillId="3" borderId="42" xfId="3" applyNumberFormat="1" applyFont="1" applyFill="1" applyBorder="1" applyAlignment="1" applyProtection="1"/>
    <xf numFmtId="0" fontId="30" fillId="0" borderId="3" xfId="0" applyFont="1" applyBorder="1" applyAlignment="1"/>
    <xf numFmtId="166" fontId="29" fillId="3" borderId="43" xfId="3" applyNumberFormat="1" applyFont="1" applyFill="1" applyBorder="1" applyAlignment="1" applyProtection="1">
      <alignment horizontal="right" wrapText="1"/>
    </xf>
    <xf numFmtId="0" fontId="30" fillId="3" borderId="43" xfId="3" applyFont="1" applyFill="1" applyBorder="1" applyAlignment="1" applyProtection="1"/>
    <xf numFmtId="0" fontId="30" fillId="3" borderId="44" xfId="3" applyFont="1" applyFill="1" applyBorder="1" applyAlignment="1" applyProtection="1"/>
    <xf numFmtId="0" fontId="30" fillId="3" borderId="42" xfId="3" applyFont="1" applyFill="1" applyBorder="1" applyAlignment="1" applyProtection="1"/>
    <xf numFmtId="170" fontId="30" fillId="3" borderId="3" xfId="1" applyNumberFormat="1" applyFont="1" applyFill="1" applyBorder="1" applyAlignment="1" applyProtection="1">
      <alignment horizontal="right" wrapText="1"/>
    </xf>
    <xf numFmtId="170" fontId="30" fillId="3" borderId="3" xfId="3" applyNumberFormat="1" applyFont="1" applyFill="1" applyBorder="1" applyAlignment="1" applyProtection="1">
      <alignment horizontal="right" vertical="center"/>
    </xf>
    <xf numFmtId="170" fontId="30" fillId="3" borderId="3" xfId="3" applyNumberFormat="1" applyFont="1" applyFill="1" applyBorder="1" applyAlignment="1" applyProtection="1">
      <alignment horizontal="center"/>
    </xf>
    <xf numFmtId="170" fontId="30" fillId="0" borderId="3" xfId="1" applyNumberFormat="1" applyFont="1" applyBorder="1" applyAlignment="1" applyProtection="1">
      <alignment horizontal="right" wrapText="1"/>
    </xf>
    <xf numFmtId="170" fontId="30" fillId="0" borderId="3" xfId="1" applyNumberFormat="1" applyFont="1" applyBorder="1" applyAlignment="1" applyProtection="1">
      <alignment horizontal="center" wrapText="1"/>
    </xf>
    <xf numFmtId="166" fontId="30" fillId="3" borderId="3" xfId="1" applyFont="1" applyFill="1" applyBorder="1" applyAlignment="1" applyProtection="1">
      <alignment horizontal="right" wrapText="1"/>
    </xf>
    <xf numFmtId="2" fontId="30" fillId="3" borderId="3" xfId="3" applyNumberFormat="1" applyFont="1" applyFill="1" applyBorder="1" applyAlignment="1" applyProtection="1"/>
    <xf numFmtId="0" fontId="30" fillId="3" borderId="29" xfId="3" applyFont="1" applyFill="1" applyBorder="1" applyAlignment="1" applyProtection="1"/>
    <xf numFmtId="169" fontId="30" fillId="3" borderId="40" xfId="1" applyNumberFormat="1" applyFont="1" applyFill="1" applyBorder="1" applyAlignment="1" applyProtection="1">
      <alignment horizontal="right" wrapText="1"/>
    </xf>
    <xf numFmtId="169" fontId="30" fillId="3" borderId="40" xfId="1" applyNumberFormat="1" applyFont="1" applyFill="1" applyBorder="1" applyAlignment="1" applyProtection="1"/>
    <xf numFmtId="169" fontId="30" fillId="3" borderId="42" xfId="3" applyNumberFormat="1" applyFont="1" applyFill="1" applyBorder="1" applyAlignment="1" applyProtection="1">
      <alignment horizontal="center" wrapText="1"/>
    </xf>
    <xf numFmtId="0" fontId="29" fillId="13" borderId="41" xfId="3" applyFont="1" applyFill="1" applyAlignment="1" applyProtection="1"/>
    <xf numFmtId="169" fontId="29" fillId="13" borderId="41" xfId="1" applyNumberFormat="1" applyFont="1" applyFill="1" applyBorder="1" applyAlignment="1" applyProtection="1">
      <alignment horizontal="right" wrapText="1"/>
    </xf>
    <xf numFmtId="169" fontId="29" fillId="13" borderId="41" xfId="1" applyNumberFormat="1" applyFont="1" applyFill="1" applyBorder="1" applyAlignment="1" applyProtection="1"/>
    <xf numFmtId="169" fontId="29" fillId="13" borderId="41" xfId="3" applyNumberFormat="1" applyFont="1" applyFill="1" applyAlignment="1" applyProtection="1">
      <alignment horizontal="right" wrapText="1"/>
    </xf>
    <xf numFmtId="0" fontId="29" fillId="0" borderId="3" xfId="0" applyFont="1" applyBorder="1" applyAlignment="1">
      <alignment horizontal="left" shrinkToFit="1"/>
    </xf>
    <xf numFmtId="0" fontId="30" fillId="0" borderId="3" xfId="0" applyFont="1" applyBorder="1" applyAlignment="1">
      <alignment shrinkToFit="1"/>
    </xf>
    <xf numFmtId="169" fontId="30" fillId="0" borderId="3" xfId="0" applyNumberFormat="1" applyFont="1" applyBorder="1" applyAlignment="1">
      <alignment shrinkToFit="1"/>
    </xf>
    <xf numFmtId="0" fontId="29" fillId="0" borderId="3" xfId="0" applyFont="1" applyBorder="1" applyAlignment="1">
      <alignment shrinkToFit="1"/>
    </xf>
    <xf numFmtId="169" fontId="29" fillId="0" borderId="3" xfId="0" applyNumberFormat="1" applyFont="1" applyBorder="1" applyAlignment="1">
      <alignment shrinkToFit="1"/>
    </xf>
    <xf numFmtId="165" fontId="29" fillId="13" borderId="3" xfId="0" applyNumberFormat="1" applyFont="1" applyFill="1" applyBorder="1" applyAlignment="1">
      <alignment horizontal="right" vertical="center" shrinkToFit="1"/>
    </xf>
    <xf numFmtId="0" fontId="27" fillId="16" borderId="0" xfId="0" applyFont="1" applyFill="1">
      <alignment vertical="center"/>
    </xf>
    <xf numFmtId="0" fontId="30" fillId="16" borderId="3" xfId="0" applyFont="1" applyFill="1" applyBorder="1" applyAlignment="1">
      <alignment shrinkToFit="1"/>
    </xf>
    <xf numFmtId="0" fontId="29" fillId="13" borderId="3" xfId="0" applyFont="1" applyFill="1" applyBorder="1" applyAlignment="1">
      <alignment shrinkToFit="1"/>
    </xf>
    <xf numFmtId="0" fontId="30" fillId="13" borderId="3" xfId="0" applyFont="1" applyFill="1" applyBorder="1" applyAlignment="1">
      <alignment shrinkToFit="1"/>
    </xf>
    <xf numFmtId="0" fontId="30" fillId="18" borderId="3" xfId="0" applyFont="1" applyFill="1" applyBorder="1" applyAlignment="1">
      <alignment shrinkToFit="1"/>
    </xf>
    <xf numFmtId="169" fontId="30" fillId="18" borderId="3" xfId="0" applyNumberFormat="1" applyFont="1" applyFill="1" applyBorder="1" applyAlignment="1">
      <alignment shrinkToFit="1"/>
    </xf>
    <xf numFmtId="169" fontId="30" fillId="13" borderId="3" xfId="0" applyNumberFormat="1" applyFont="1" applyFill="1" applyBorder="1" applyAlignment="1">
      <alignment shrinkToFit="1"/>
    </xf>
    <xf numFmtId="169" fontId="29" fillId="13" borderId="3" xfId="0" applyNumberFormat="1" applyFont="1" applyFill="1" applyBorder="1" applyAlignment="1">
      <alignment shrinkToFit="1"/>
    </xf>
    <xf numFmtId="0" fontId="3" fillId="17" borderId="3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3" fillId="17" borderId="3" xfId="0" applyFont="1" applyFill="1" applyBorder="1" applyAlignment="1"/>
    <xf numFmtId="0" fontId="3" fillId="16" borderId="3" xfId="0" applyFont="1" applyFill="1" applyBorder="1" applyAlignment="1">
      <alignment horizontal="center" shrinkToFit="1"/>
    </xf>
    <xf numFmtId="0" fontId="2" fillId="16" borderId="3" xfId="0" applyFont="1" applyFill="1" applyBorder="1" applyAlignment="1">
      <alignment shrinkToFit="1"/>
    </xf>
    <xf numFmtId="0" fontId="2" fillId="13" borderId="3" xfId="0" applyFont="1" applyFill="1" applyBorder="1" applyAlignment="1">
      <alignment shrinkToFit="1"/>
    </xf>
    <xf numFmtId="169" fontId="2" fillId="13" borderId="3" xfId="0" applyNumberFormat="1" applyFont="1" applyFill="1" applyBorder="1" applyAlignment="1">
      <alignment shrinkToFit="1"/>
    </xf>
    <xf numFmtId="0" fontId="3" fillId="15" borderId="49" xfId="0" applyFont="1" applyFill="1" applyBorder="1" applyAlignment="1">
      <alignment horizontal="center" shrinkToFit="1"/>
    </xf>
    <xf numFmtId="0" fontId="3" fillId="15" borderId="50" xfId="0" applyFont="1" applyFill="1" applyBorder="1" applyAlignment="1">
      <alignment horizontal="center" shrinkToFit="1"/>
    </xf>
    <xf numFmtId="0" fontId="3" fillId="15" borderId="3" xfId="0" applyFont="1" applyFill="1" applyBorder="1" applyAlignment="1">
      <alignment shrinkToFit="1"/>
    </xf>
    <xf numFmtId="0" fontId="23" fillId="15" borderId="3" xfId="0" applyFont="1" applyFill="1" applyBorder="1" applyAlignment="1">
      <alignment shrinkToFit="1"/>
    </xf>
    <xf numFmtId="169" fontId="23" fillId="13" borderId="3" xfId="0" applyNumberFormat="1" applyFont="1" applyFill="1" applyBorder="1" applyAlignment="1">
      <alignment vertical="center" shrinkToFit="1"/>
    </xf>
    <xf numFmtId="1" fontId="3" fillId="13" borderId="3" xfId="0" applyNumberFormat="1" applyFont="1" applyFill="1" applyBorder="1" applyAlignment="1">
      <alignment horizontal="center" vertical="center" shrinkToFit="1"/>
    </xf>
    <xf numFmtId="10" fontId="3" fillId="13" borderId="3" xfId="0" applyNumberFormat="1" applyFont="1" applyFill="1" applyBorder="1" applyAlignment="1">
      <alignment vertical="center" shrinkToFit="1"/>
    </xf>
    <xf numFmtId="0" fontId="3" fillId="15" borderId="46" xfId="0" applyFont="1" applyFill="1" applyBorder="1" applyAlignment="1">
      <alignment horizontal="center" shrinkToFit="1"/>
    </xf>
    <xf numFmtId="0" fontId="34" fillId="0" borderId="37" xfId="0" applyFont="1" applyBorder="1">
      <alignment vertical="center"/>
    </xf>
    <xf numFmtId="0" fontId="34" fillId="0" borderId="55" xfId="0" applyFont="1" applyBorder="1">
      <alignment vertical="center"/>
    </xf>
    <xf numFmtId="0" fontId="34" fillId="0" borderId="56" xfId="0" applyFont="1" applyBorder="1">
      <alignment vertical="center"/>
    </xf>
    <xf numFmtId="172" fontId="30" fillId="0" borderId="3" xfId="2" applyFont="1" applyBorder="1" applyAlignment="1" applyProtection="1">
      <alignment horizontal="left"/>
    </xf>
    <xf numFmtId="0" fontId="35" fillId="0" borderId="8" xfId="0" applyFont="1" applyBorder="1">
      <alignment vertical="center"/>
    </xf>
    <xf numFmtId="0" fontId="35" fillId="0" borderId="13" xfId="0" applyFont="1" applyBorder="1">
      <alignment vertical="center"/>
    </xf>
    <xf numFmtId="0" fontId="34" fillId="0" borderId="13" xfId="0" applyFont="1" applyBorder="1">
      <alignment vertical="center"/>
    </xf>
    <xf numFmtId="0" fontId="30" fillId="0" borderId="3" xfId="2" quotePrefix="1" applyNumberFormat="1" applyFont="1" applyBorder="1" applyAlignment="1" applyProtection="1">
      <alignment horizontal="left"/>
    </xf>
    <xf numFmtId="172" fontId="29" fillId="13" borderId="3" xfId="2" applyFont="1" applyFill="1" applyBorder="1" applyAlignment="1" applyProtection="1">
      <alignment horizontal="center"/>
    </xf>
    <xf numFmtId="0" fontId="29" fillId="13" borderId="3" xfId="2" applyNumberFormat="1" applyFont="1" applyFill="1" applyBorder="1" applyAlignment="1" applyProtection="1">
      <alignment horizontal="center"/>
    </xf>
    <xf numFmtId="0" fontId="35" fillId="13" borderId="8" xfId="0" applyFont="1" applyFill="1" applyBorder="1" applyAlignment="1">
      <alignment horizontal="center" vertical="center"/>
    </xf>
    <xf numFmtId="0" fontId="35" fillId="13" borderId="9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7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justify" vertical="center"/>
    </xf>
    <xf numFmtId="0" fontId="34" fillId="3" borderId="13" xfId="0" applyFont="1" applyFill="1" applyBorder="1" applyAlignment="1">
      <alignment horizontal="center" vertical="center"/>
    </xf>
    <xf numFmtId="166" fontId="34" fillId="3" borderId="7" xfId="1" applyFont="1" applyFill="1" applyBorder="1" applyAlignment="1" applyProtection="1"/>
    <xf numFmtId="0" fontId="35" fillId="3" borderId="8" xfId="0" applyFont="1" applyFill="1" applyBorder="1" applyAlignment="1">
      <alignment horizontal="justify" vertical="center"/>
    </xf>
    <xf numFmtId="166" fontId="35" fillId="3" borderId="9" xfId="1" applyFont="1" applyFill="1" applyBorder="1" applyAlignment="1" applyProtection="1"/>
    <xf numFmtId="0" fontId="34" fillId="3" borderId="8" xfId="0" applyFont="1" applyFill="1" applyBorder="1" applyAlignment="1">
      <alignment horizontal="justify" vertical="center"/>
    </xf>
    <xf numFmtId="0" fontId="34" fillId="3" borderId="9" xfId="0" applyFont="1" applyFill="1" applyBorder="1" applyAlignment="1">
      <alignment horizontal="center" vertical="center"/>
    </xf>
    <xf numFmtId="166" fontId="34" fillId="3" borderId="9" xfId="1" applyFont="1" applyFill="1" applyBorder="1" applyAlignment="1" applyProtection="1">
      <alignment horizontal="center" vertical="center"/>
    </xf>
    <xf numFmtId="166" fontId="35" fillId="3" borderId="9" xfId="0" applyNumberFormat="1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justify" vertical="center"/>
    </xf>
    <xf numFmtId="0" fontId="34" fillId="3" borderId="5" xfId="0" applyFont="1" applyFill="1" applyBorder="1" applyAlignment="1">
      <alignment horizontal="center" vertical="center"/>
    </xf>
    <xf numFmtId="166" fontId="34" fillId="3" borderId="7" xfId="1" applyFont="1" applyFill="1" applyBorder="1" applyAlignment="1" applyProtection="1">
      <alignment horizontal="justify" vertical="center"/>
    </xf>
    <xf numFmtId="0" fontId="34" fillId="3" borderId="15" xfId="0" applyFont="1" applyFill="1" applyBorder="1" applyAlignment="1">
      <alignment horizontal="center" vertical="center"/>
    </xf>
    <xf numFmtId="166" fontId="35" fillId="3" borderId="9" xfId="0" applyNumberFormat="1" applyFont="1" applyFill="1" applyBorder="1" applyAlignment="1">
      <alignment horizontal="justify" vertical="center"/>
    </xf>
    <xf numFmtId="0" fontId="34" fillId="0" borderId="35" xfId="0" applyFont="1" applyBorder="1" applyAlignment="1"/>
    <xf numFmtId="0" fontId="34" fillId="3" borderId="7" xfId="0" applyFont="1" applyFill="1" applyBorder="1" applyAlignment="1">
      <alignment horizontal="center" vertical="center"/>
    </xf>
    <xf numFmtId="166" fontId="34" fillId="3" borderId="7" xfId="1" applyFont="1" applyFill="1" applyBorder="1" applyAlignment="1" applyProtection="1">
      <alignment horizontal="right"/>
    </xf>
    <xf numFmtId="0" fontId="34" fillId="0" borderId="37" xfId="0" applyFont="1" applyBorder="1" applyAlignment="1"/>
    <xf numFmtId="0" fontId="35" fillId="3" borderId="15" xfId="0" applyFont="1" applyFill="1" applyBorder="1" applyAlignment="1">
      <alignment horizontal="justify" vertical="center"/>
    </xf>
    <xf numFmtId="0" fontId="34" fillId="3" borderId="8" xfId="0" applyFont="1" applyFill="1" applyBorder="1" applyAlignment="1">
      <alignment horizontal="center" vertical="center"/>
    </xf>
    <xf numFmtId="166" fontId="35" fillId="3" borderId="7" xfId="1" applyFont="1" applyFill="1" applyBorder="1" applyAlignment="1" applyProtection="1">
      <alignment horizontal="right"/>
    </xf>
    <xf numFmtId="0" fontId="35" fillId="0" borderId="10" xfId="0" applyFont="1" applyBorder="1" applyAlignment="1">
      <alignment vertical="center" wrapText="1"/>
    </xf>
    <xf numFmtId="0" fontId="34" fillId="3" borderId="21" xfId="0" applyFont="1" applyFill="1" applyBorder="1" applyAlignment="1">
      <alignment horizontal="center" vertical="center"/>
    </xf>
    <xf numFmtId="168" fontId="35" fillId="3" borderId="22" xfId="0" applyNumberFormat="1" applyFont="1" applyFill="1" applyBorder="1" applyAlignment="1">
      <alignment horizontal="justify" vertical="center"/>
    </xf>
    <xf numFmtId="0" fontId="34" fillId="0" borderId="5" xfId="0" applyFont="1" applyBorder="1" applyAlignment="1">
      <alignment vertical="center" wrapText="1"/>
    </xf>
    <xf numFmtId="0" fontId="34" fillId="3" borderId="23" xfId="2" applyNumberFormat="1" applyFont="1" applyFill="1" applyBorder="1" applyAlignment="1" applyProtection="1">
      <alignment horizontal="center" vertical="center"/>
    </xf>
    <xf numFmtId="168" fontId="34" fillId="3" borderId="7" xfId="2" applyNumberFormat="1" applyFont="1" applyFill="1" applyBorder="1" applyAlignment="1" applyProtection="1">
      <alignment horizontal="justify" vertical="center"/>
    </xf>
    <xf numFmtId="0" fontId="34" fillId="3" borderId="23" xfId="0" applyFont="1" applyFill="1" applyBorder="1" applyAlignment="1">
      <alignment horizontal="center" vertical="center"/>
    </xf>
    <xf numFmtId="166" fontId="35" fillId="3" borderId="9" xfId="1" applyFont="1" applyFill="1" applyBorder="1" applyAlignment="1" applyProtection="1">
      <alignment horizontal="right" vertical="top"/>
    </xf>
    <xf numFmtId="0" fontId="34" fillId="0" borderId="13" xfId="0" applyFont="1" applyBorder="1" applyAlignment="1"/>
    <xf numFmtId="166" fontId="34" fillId="3" borderId="7" xfId="1" applyFont="1" applyFill="1" applyBorder="1" applyAlignment="1" applyProtection="1">
      <alignment horizontal="center"/>
    </xf>
    <xf numFmtId="172" fontId="34" fillId="0" borderId="3" xfId="2" applyFont="1" applyBorder="1" applyAlignment="1" applyProtection="1">
      <alignment horizontal="left"/>
    </xf>
    <xf numFmtId="166" fontId="34" fillId="3" borderId="9" xfId="1" applyFont="1" applyFill="1" applyBorder="1" applyAlignment="1" applyProtection="1">
      <alignment horizontal="center"/>
    </xf>
    <xf numFmtId="0" fontId="35" fillId="3" borderId="26" xfId="0" applyFont="1" applyFill="1" applyBorder="1" applyAlignment="1">
      <alignment horizontal="justify" vertical="center"/>
    </xf>
    <xf numFmtId="166" fontId="35" fillId="3" borderId="9" xfId="1" applyFont="1" applyFill="1" applyBorder="1" applyAlignment="1" applyProtection="1">
      <alignment horizontal="center" vertical="center"/>
    </xf>
    <xf numFmtId="172" fontId="34" fillId="0" borderId="35" xfId="2" applyFont="1" applyBorder="1" applyAlignment="1" applyProtection="1">
      <alignment horizontal="left"/>
    </xf>
    <xf numFmtId="172" fontId="34" fillId="0" borderId="37" xfId="2" applyFont="1" applyBorder="1" applyAlignment="1" applyProtection="1">
      <alignment horizontal="left"/>
    </xf>
    <xf numFmtId="172" fontId="34" fillId="0" borderId="55" xfId="2" applyFont="1" applyBorder="1" applyAlignment="1" applyProtection="1">
      <alignment horizontal="left"/>
    </xf>
    <xf numFmtId="0" fontId="34" fillId="3" borderId="9" xfId="0" applyFont="1" applyFill="1" applyBorder="1" applyAlignment="1">
      <alignment horizontal="justify" vertical="center"/>
    </xf>
    <xf numFmtId="166" fontId="35" fillId="3" borderId="9" xfId="1" applyFont="1" applyFill="1" applyBorder="1" applyAlignment="1" applyProtection="1">
      <alignment horizontal="justify" vertical="center"/>
    </xf>
    <xf numFmtId="166" fontId="35" fillId="13" borderId="8" xfId="1" applyFont="1" applyFill="1" applyBorder="1" applyAlignment="1" applyProtection="1">
      <alignment horizontal="justify" vertical="center"/>
    </xf>
    <xf numFmtId="166" fontId="34" fillId="13" borderId="9" xfId="1" applyFont="1" applyFill="1" applyBorder="1" applyAlignment="1" applyProtection="1">
      <alignment horizontal="justify" vertical="center"/>
    </xf>
    <xf numFmtId="166" fontId="35" fillId="13" borderId="9" xfId="1" applyFont="1" applyFill="1" applyBorder="1" applyAlignment="1" applyProtection="1">
      <alignment horizontal="center" vertical="center"/>
    </xf>
    <xf numFmtId="2" fontId="3" fillId="0" borderId="3" xfId="0" applyNumberFormat="1" applyFont="1" applyBorder="1" applyAlignment="1">
      <alignment horizontal="center" shrinkToFit="1"/>
    </xf>
    <xf numFmtId="165" fontId="30" fillId="0" borderId="3" xfId="2" applyNumberFormat="1" applyFont="1" applyBorder="1" applyAlignment="1" applyProtection="1">
      <alignment horizontal="right"/>
    </xf>
    <xf numFmtId="165" fontId="30" fillId="0" borderId="3" xfId="2" quotePrefix="1" applyNumberFormat="1" applyFont="1" applyBorder="1" applyAlignment="1" applyProtection="1">
      <alignment horizontal="right"/>
    </xf>
    <xf numFmtId="165" fontId="30" fillId="0" borderId="0" xfId="2" quotePrefix="1" applyNumberFormat="1" applyFont="1" applyAlignment="1" applyProtection="1">
      <alignment horizontal="right"/>
    </xf>
    <xf numFmtId="165" fontId="30" fillId="0" borderId="3" xfId="0" applyNumberFormat="1" applyFont="1" applyBorder="1" applyAlignment="1">
      <alignment horizontal="right"/>
    </xf>
    <xf numFmtId="165" fontId="29" fillId="19" borderId="3" xfId="0" applyNumberFormat="1" applyFont="1" applyFill="1" applyBorder="1" applyAlignment="1">
      <alignment horizontal="left"/>
    </xf>
    <xf numFmtId="0" fontId="30" fillId="0" borderId="3" xfId="2" applyNumberFormat="1" applyFont="1" applyBorder="1" applyAlignment="1" applyProtection="1">
      <alignment horizontal="center"/>
    </xf>
    <xf numFmtId="166" fontId="3" fillId="17" borderId="3" xfId="1" applyFont="1" applyFill="1" applyBorder="1" applyAlignment="1" applyProtection="1"/>
    <xf numFmtId="164" fontId="3" fillId="17" borderId="3" xfId="1" applyNumberFormat="1" applyFont="1" applyFill="1" applyBorder="1" applyAlignment="1" applyProtection="1">
      <alignment horizontal="center" vertical="center"/>
    </xf>
    <xf numFmtId="166" fontId="3" fillId="17" borderId="3" xfId="0" applyNumberFormat="1" applyFont="1" applyFill="1" applyBorder="1" applyAlignment="1"/>
    <xf numFmtId="164" fontId="3" fillId="17" borderId="3" xfId="0" applyNumberFormat="1" applyFont="1" applyFill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shrinkToFit="1"/>
    </xf>
    <xf numFmtId="0" fontId="33" fillId="12" borderId="45" xfId="0" applyFont="1" applyFill="1" applyBorder="1" applyAlignment="1">
      <alignment horizontal="right" shrinkToFit="1"/>
    </xf>
    <xf numFmtId="165" fontId="29" fillId="13" borderId="3" xfId="0" applyNumberFormat="1" applyFont="1" applyFill="1" applyBorder="1" applyAlignment="1">
      <alignment horizontal="right" shrinkToFit="1"/>
    </xf>
    <xf numFmtId="0" fontId="29" fillId="12" borderId="45" xfId="0" applyFont="1" applyFill="1" applyBorder="1" applyAlignment="1">
      <alignment horizontal="left" shrinkToFit="1"/>
    </xf>
    <xf numFmtId="0" fontId="29" fillId="3" borderId="3" xfId="0" applyFont="1" applyFill="1" applyBorder="1" applyAlignment="1">
      <alignment horizontal="left" shrinkToFit="1"/>
    </xf>
    <xf numFmtId="0" fontId="30" fillId="0" borderId="3" xfId="0" applyFont="1" applyBorder="1" applyAlignment="1">
      <alignment horizontal="left" shrinkToFit="1"/>
    </xf>
    <xf numFmtId="0" fontId="29" fillId="6" borderId="3" xfId="0" applyFont="1" applyFill="1" applyBorder="1" applyAlignment="1">
      <alignment horizontal="left" shrinkToFit="1"/>
    </xf>
    <xf numFmtId="0" fontId="29" fillId="13" borderId="3" xfId="0" applyFont="1" applyFill="1" applyBorder="1" applyAlignment="1">
      <alignment horizontal="left" shrinkToFit="1"/>
    </xf>
    <xf numFmtId="169" fontId="30" fillId="0" borderId="3" xfId="0" applyNumberFormat="1" applyFont="1" applyBorder="1" applyAlignment="1">
      <alignment horizontal="left" shrinkToFit="1"/>
    </xf>
    <xf numFmtId="169" fontId="30" fillId="0" borderId="3" xfId="1" applyNumberFormat="1" applyFont="1" applyBorder="1" applyAlignment="1" applyProtection="1">
      <alignment horizontal="left" shrinkToFit="1"/>
    </xf>
    <xf numFmtId="165" fontId="29" fillId="6" borderId="3" xfId="0" applyNumberFormat="1" applyFont="1" applyFill="1" applyBorder="1" applyAlignment="1">
      <alignment horizontal="left" shrinkToFit="1"/>
    </xf>
    <xf numFmtId="165" fontId="29" fillId="6" borderId="3" xfId="1" applyNumberFormat="1" applyFont="1" applyFill="1" applyBorder="1" applyAlignment="1" applyProtection="1">
      <alignment horizontal="left" shrinkToFit="1"/>
    </xf>
    <xf numFmtId="166" fontId="30" fillId="3" borderId="3" xfId="0" applyNumberFormat="1" applyFont="1" applyFill="1" applyBorder="1" applyAlignment="1">
      <alignment horizontal="left" shrinkToFit="1"/>
    </xf>
    <xf numFmtId="166" fontId="30" fillId="3" borderId="3" xfId="1" applyFont="1" applyFill="1" applyBorder="1" applyAlignment="1" applyProtection="1">
      <alignment horizontal="left" shrinkToFit="1"/>
    </xf>
    <xf numFmtId="4" fontId="30" fillId="3" borderId="3" xfId="0" applyNumberFormat="1" applyFont="1" applyFill="1" applyBorder="1" applyAlignment="1">
      <alignment horizontal="left" shrinkToFit="1"/>
    </xf>
    <xf numFmtId="166" fontId="30" fillId="0" borderId="3" xfId="1" applyFont="1" applyBorder="1" applyAlignment="1" applyProtection="1">
      <alignment horizontal="left" shrinkToFit="1"/>
    </xf>
    <xf numFmtId="169" fontId="29" fillId="0" borderId="3" xfId="0" applyNumberFormat="1" applyFont="1" applyBorder="1" applyAlignment="1">
      <alignment horizontal="left" shrinkToFit="1"/>
    </xf>
    <xf numFmtId="169" fontId="29" fillId="0" borderId="3" xfId="1" applyNumberFormat="1" applyFont="1" applyBorder="1" applyAlignment="1" applyProtection="1">
      <alignment horizontal="left" shrinkToFit="1"/>
    </xf>
    <xf numFmtId="0" fontId="3" fillId="15" borderId="45" xfId="0" applyFont="1" applyFill="1" applyBorder="1" applyAlignment="1">
      <alignment horizontal="center"/>
    </xf>
    <xf numFmtId="0" fontId="10" fillId="15" borderId="45" xfId="0" applyFont="1" applyFill="1" applyBorder="1" applyAlignment="1"/>
    <xf numFmtId="170" fontId="2" fillId="0" borderId="3" xfId="0" applyNumberFormat="1" applyFont="1" applyBorder="1" applyAlignment="1">
      <alignment shrinkToFit="1"/>
    </xf>
    <xf numFmtId="170" fontId="3" fillId="17" borderId="3" xfId="0" applyNumberFormat="1" applyFont="1" applyFill="1" applyBorder="1" applyAlignment="1">
      <alignment shrinkToFit="1"/>
    </xf>
    <xf numFmtId="170" fontId="2" fillId="3" borderId="3" xfId="0" applyNumberFormat="1" applyFont="1" applyFill="1" applyBorder="1" applyAlignment="1">
      <alignment shrinkToFit="1"/>
    </xf>
    <xf numFmtId="170" fontId="2" fillId="17" borderId="3" xfId="1" applyNumberFormat="1" applyFont="1" applyFill="1" applyBorder="1" applyAlignment="1" applyProtection="1">
      <alignment shrinkToFit="1"/>
    </xf>
    <xf numFmtId="170" fontId="6" fillId="3" borderId="3" xfId="1" applyNumberFormat="1" applyFont="1" applyFill="1" applyBorder="1" applyAlignment="1" applyProtection="1"/>
    <xf numFmtId="170" fontId="2" fillId="0" borderId="3" xfId="1" applyNumberFormat="1" applyFont="1" applyBorder="1" applyAlignment="1" applyProtection="1">
      <alignment shrinkToFit="1"/>
    </xf>
    <xf numFmtId="170" fontId="2" fillId="0" borderId="3" xfId="0" applyNumberFormat="1" applyFont="1" applyBorder="1" applyAlignment="1">
      <alignment horizontal="right"/>
    </xf>
    <xf numFmtId="170" fontId="3" fillId="17" borderId="3" xfId="0" applyNumberFormat="1" applyFont="1" applyFill="1" applyBorder="1" applyAlignment="1">
      <alignment horizontal="right"/>
    </xf>
    <xf numFmtId="170" fontId="2" fillId="3" borderId="3" xfId="0" applyNumberFormat="1" applyFont="1" applyFill="1" applyBorder="1" applyAlignment="1">
      <alignment horizontal="right"/>
    </xf>
    <xf numFmtId="170" fontId="2" fillId="17" borderId="3" xfId="0" applyNumberFormat="1" applyFont="1" applyFill="1" applyBorder="1" applyAlignment="1">
      <alignment horizontal="right"/>
    </xf>
    <xf numFmtId="170" fontId="6" fillId="3" borderId="3" xfId="3" applyNumberFormat="1" applyFont="1" applyFill="1" applyBorder="1" applyAlignment="1" applyProtection="1">
      <alignment horizontal="right"/>
    </xf>
    <xf numFmtId="10" fontId="23" fillId="0" borderId="50" xfId="4" applyNumberFormat="1" applyFont="1" applyBorder="1" applyAlignment="1" applyProtection="1">
      <alignment horizontal="center" shrinkToFit="1"/>
    </xf>
    <xf numFmtId="169" fontId="23" fillId="0" borderId="50" xfId="0" applyNumberFormat="1" applyFont="1" applyBorder="1" applyAlignment="1">
      <alignment horizontal="left" vertical="center" shrinkToFit="1"/>
    </xf>
    <xf numFmtId="2" fontId="3" fillId="0" borderId="50" xfId="0" applyNumberFormat="1" applyFont="1" applyBorder="1" applyAlignment="1">
      <alignment horizontal="center" shrinkToFit="1"/>
    </xf>
    <xf numFmtId="10" fontId="3" fillId="0" borderId="50" xfId="0" applyNumberFormat="1" applyFont="1" applyBorder="1" applyAlignment="1">
      <alignment horizontal="center" shrinkToFit="1"/>
    </xf>
    <xf numFmtId="10" fontId="3" fillId="0" borderId="57" xfId="0" applyNumberFormat="1" applyFont="1" applyBorder="1" applyAlignment="1">
      <alignment horizontal="center" vertical="center" shrinkToFit="1"/>
    </xf>
    <xf numFmtId="10" fontId="3" fillId="0" borderId="58" xfId="0" applyNumberFormat="1" applyFont="1" applyBorder="1" applyAlignment="1">
      <alignment horizontal="center" shrinkToFi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34" fillId="3" borderId="5" xfId="1" applyNumberFormat="1" applyFont="1" applyFill="1" applyBorder="1" applyAlignment="1" applyProtection="1">
      <alignment horizontal="center" vertical="center"/>
    </xf>
    <xf numFmtId="165" fontId="34" fillId="3" borderId="7" xfId="1" applyNumberFormat="1" applyFont="1" applyFill="1" applyBorder="1" applyAlignment="1" applyProtection="1">
      <alignment horizontal="center" vertical="center"/>
    </xf>
    <xf numFmtId="166" fontId="34" fillId="3" borderId="5" xfId="1" applyFont="1" applyFill="1" applyBorder="1" applyAlignment="1" applyProtection="1">
      <alignment horizontal="center" vertical="center"/>
    </xf>
    <xf numFmtId="166" fontId="34" fillId="3" borderId="7" xfId="1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>
      <alignment horizontal="justify" vertical="center"/>
    </xf>
    <xf numFmtId="0" fontId="9" fillId="3" borderId="6" xfId="0" applyFont="1" applyFill="1" applyBorder="1" applyAlignment="1">
      <alignment horizontal="justify" vertical="center"/>
    </xf>
    <xf numFmtId="0" fontId="9" fillId="3" borderId="7" xfId="0" applyFont="1" applyFill="1" applyBorder="1" applyAlignment="1">
      <alignment horizontal="justify" vertical="center"/>
    </xf>
    <xf numFmtId="0" fontId="35" fillId="13" borderId="5" xfId="0" applyFont="1" applyFill="1" applyBorder="1" applyAlignment="1">
      <alignment horizontal="justify" vertical="center"/>
    </xf>
    <xf numFmtId="0" fontId="35" fillId="13" borderId="6" xfId="0" applyFont="1" applyFill="1" applyBorder="1" applyAlignment="1">
      <alignment horizontal="justify" vertical="center"/>
    </xf>
    <xf numFmtId="0" fontId="35" fillId="13" borderId="18" xfId="0" applyFont="1" applyFill="1" applyBorder="1" applyAlignment="1">
      <alignment horizontal="justify" vertical="center"/>
    </xf>
    <xf numFmtId="0" fontId="34" fillId="3" borderId="5" xfId="0" applyFont="1" applyFill="1" applyBorder="1" applyAlignment="1"/>
    <xf numFmtId="0" fontId="34" fillId="3" borderId="7" xfId="0" applyFont="1" applyFill="1" applyBorder="1" applyAlignment="1"/>
    <xf numFmtId="0" fontId="35" fillId="13" borderId="15" xfId="0" applyFont="1" applyFill="1" applyBorder="1" applyAlignment="1">
      <alignment horizontal="justify" vertical="center"/>
    </xf>
    <xf numFmtId="0" fontId="35" fillId="13" borderId="16" xfId="0" applyFont="1" applyFill="1" applyBorder="1" applyAlignment="1">
      <alignment horizontal="justify" vertical="center"/>
    </xf>
    <xf numFmtId="0" fontId="35" fillId="13" borderId="17" xfId="0" applyFont="1" applyFill="1" applyBorder="1" applyAlignment="1">
      <alignment horizontal="justify" vertical="center"/>
    </xf>
    <xf numFmtId="166" fontId="35" fillId="3" borderId="2" xfId="1" applyFont="1" applyFill="1" applyBorder="1" applyAlignment="1" applyProtection="1">
      <alignment horizontal="right"/>
    </xf>
    <xf numFmtId="166" fontId="35" fillId="3" borderId="14" xfId="1" applyFont="1" applyFill="1" applyBorder="1" applyAlignment="1" applyProtection="1">
      <alignment horizontal="right"/>
    </xf>
    <xf numFmtId="165" fontId="34" fillId="3" borderId="5" xfId="0" applyNumberFormat="1" applyFont="1" applyFill="1" applyBorder="1" applyAlignment="1">
      <alignment horizontal="center" vertical="center"/>
    </xf>
    <xf numFmtId="165" fontId="34" fillId="3" borderId="7" xfId="0" applyNumberFormat="1" applyFont="1" applyFill="1" applyBorder="1" applyAlignment="1">
      <alignment horizontal="center" vertical="center"/>
    </xf>
    <xf numFmtId="166" fontId="34" fillId="13" borderId="5" xfId="1" applyFont="1" applyFill="1" applyBorder="1" applyAlignment="1" applyProtection="1">
      <alignment horizontal="justify" vertical="center"/>
    </xf>
    <xf numFmtId="166" fontId="34" fillId="13" borderId="7" xfId="1" applyFont="1" applyFill="1" applyBorder="1" applyAlignment="1" applyProtection="1">
      <alignment horizontal="justify" vertical="center"/>
    </xf>
    <xf numFmtId="0" fontId="35" fillId="13" borderId="19" xfId="0" applyFont="1" applyFill="1" applyBorder="1" applyAlignment="1">
      <alignment horizontal="justify" vertical="center"/>
    </xf>
    <xf numFmtId="0" fontId="35" fillId="13" borderId="0" xfId="0" applyFont="1" applyFill="1" applyBorder="1" applyAlignment="1">
      <alignment horizontal="justify" vertical="center"/>
    </xf>
    <xf numFmtId="0" fontId="35" fillId="13" borderId="20" xfId="0" applyFont="1" applyFill="1" applyBorder="1" applyAlignment="1">
      <alignment horizontal="justify" vertical="center"/>
    </xf>
    <xf numFmtId="165" fontId="35" fillId="3" borderId="10" xfId="0" applyNumberFormat="1" applyFont="1" applyFill="1" applyBorder="1" applyAlignment="1">
      <alignment horizontal="center" vertical="center"/>
    </xf>
    <xf numFmtId="165" fontId="35" fillId="3" borderId="22" xfId="0" applyNumberFormat="1" applyFont="1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165" fontId="34" fillId="3" borderId="5" xfId="2" applyNumberFormat="1" applyFont="1" applyFill="1" applyBorder="1" applyAlignment="1" applyProtection="1">
      <alignment horizontal="center" vertical="center"/>
    </xf>
    <xf numFmtId="165" fontId="34" fillId="3" borderId="7" xfId="2" applyNumberFormat="1" applyFont="1" applyFill="1" applyBorder="1" applyAlignment="1" applyProtection="1">
      <alignment horizontal="center" vertical="center"/>
    </xf>
    <xf numFmtId="0" fontId="34" fillId="3" borderId="5" xfId="0" applyFont="1" applyFill="1" applyBorder="1" applyAlignment="1">
      <alignment horizontal="justify" vertical="center"/>
    </xf>
    <xf numFmtId="0" fontId="34" fillId="3" borderId="7" xfId="0" applyFont="1" applyFill="1" applyBorder="1" applyAlignment="1">
      <alignment horizontal="justify" vertical="center"/>
    </xf>
    <xf numFmtId="0" fontId="34" fillId="3" borderId="15" xfId="0" applyFont="1" applyFill="1" applyBorder="1" applyAlignment="1">
      <alignment horizontal="center"/>
    </xf>
    <xf numFmtId="0" fontId="34" fillId="3" borderId="9" xfId="0" applyFont="1" applyFill="1" applyBorder="1" applyAlignment="1">
      <alignment horizontal="center"/>
    </xf>
    <xf numFmtId="165" fontId="34" fillId="3" borderId="5" xfId="1" applyNumberFormat="1" applyFont="1" applyFill="1" applyBorder="1" applyAlignment="1" applyProtection="1">
      <alignment horizontal="right" vertical="center"/>
    </xf>
    <xf numFmtId="165" fontId="34" fillId="3" borderId="7" xfId="1" applyNumberFormat="1" applyFont="1" applyFill="1" applyBorder="1" applyAlignment="1" applyProtection="1">
      <alignment horizontal="right" vertical="center"/>
    </xf>
    <xf numFmtId="166" fontId="34" fillId="3" borderId="5" xfId="1" applyFont="1" applyFill="1" applyBorder="1" applyAlignment="1" applyProtection="1">
      <alignment vertical="center"/>
    </xf>
    <xf numFmtId="166" fontId="34" fillId="3" borderId="7" xfId="1" applyFont="1" applyFill="1" applyBorder="1" applyAlignment="1" applyProtection="1">
      <alignment vertical="center"/>
    </xf>
    <xf numFmtId="0" fontId="35" fillId="13" borderId="24" xfId="0" applyFont="1" applyFill="1" applyBorder="1" applyAlignment="1">
      <alignment horizontal="justify" vertical="center"/>
    </xf>
    <xf numFmtId="0" fontId="35" fillId="13" borderId="25" xfId="0" applyFont="1" applyFill="1" applyBorder="1" applyAlignment="1">
      <alignment horizontal="justify" vertical="center"/>
    </xf>
    <xf numFmtId="0" fontId="1" fillId="12" borderId="4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horizontal="center" vertical="center"/>
    </xf>
    <xf numFmtId="0" fontId="35" fillId="13" borderId="11" xfId="0" applyFont="1" applyFill="1" applyBorder="1" applyAlignment="1">
      <alignment horizontal="center" vertical="center"/>
    </xf>
    <xf numFmtId="0" fontId="35" fillId="13" borderId="12" xfId="0" applyFont="1" applyFill="1" applyBorder="1" applyAlignment="1">
      <alignment horizontal="center" vertical="center"/>
    </xf>
    <xf numFmtId="165" fontId="34" fillId="3" borderId="5" xfId="2" applyNumberFormat="1" applyFont="1" applyFill="1" applyBorder="1" applyAlignment="1" applyProtection="1">
      <alignment horizontal="right" vertical="center"/>
    </xf>
    <xf numFmtId="165" fontId="34" fillId="3" borderId="7" xfId="2" applyNumberFormat="1" applyFont="1" applyFill="1" applyBorder="1" applyAlignment="1" applyProtection="1">
      <alignment horizontal="right" vertical="center"/>
    </xf>
    <xf numFmtId="0" fontId="1" fillId="15" borderId="2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1" fillId="12" borderId="31" xfId="0" applyFont="1" applyFill="1" applyBorder="1" applyAlignment="1">
      <alignment horizontal="center"/>
    </xf>
    <xf numFmtId="172" fontId="36" fillId="15" borderId="3" xfId="2" applyFont="1" applyFill="1" applyBorder="1" applyAlignment="1" applyProtection="1">
      <alignment horizontal="center"/>
    </xf>
    <xf numFmtId="172" fontId="29" fillId="13" borderId="3" xfId="2" applyFont="1" applyFill="1" applyBorder="1" applyAlignment="1" applyProtection="1">
      <alignment horizontal="center"/>
    </xf>
    <xf numFmtId="0" fontId="1" fillId="15" borderId="29" xfId="0" applyFont="1" applyFill="1" applyBorder="1" applyAlignment="1">
      <alignment horizontal="center"/>
    </xf>
    <xf numFmtId="0" fontId="1" fillId="15" borderId="30" xfId="0" applyFont="1" applyFill="1" applyBorder="1" applyAlignment="1">
      <alignment horizontal="center"/>
    </xf>
    <xf numFmtId="0" fontId="1" fillId="15" borderId="31" xfId="0" applyFont="1" applyFill="1" applyBorder="1" applyAlignment="1">
      <alignment horizontal="center"/>
    </xf>
    <xf numFmtId="0" fontId="26" fillId="15" borderId="29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15" borderId="3" xfId="0" applyFont="1" applyFill="1" applyBorder="1" applyAlignment="1">
      <alignment horizontal="center" shrinkToFit="1"/>
    </xf>
    <xf numFmtId="0" fontId="29" fillId="0" borderId="3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 wrapText="1"/>
    </xf>
    <xf numFmtId="0" fontId="29" fillId="15" borderId="6" xfId="0" applyFont="1" applyFill="1" applyBorder="1" applyAlignment="1">
      <alignment horizontal="center" vertical="center" wrapText="1"/>
    </xf>
    <xf numFmtId="0" fontId="29" fillId="15" borderId="7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29" fillId="0" borderId="34" xfId="0" applyFont="1" applyBorder="1" applyAlignment="1">
      <alignment horizontal="center" vertical="center" wrapText="1"/>
    </xf>
    <xf numFmtId="0" fontId="28" fillId="15" borderId="3" xfId="3" applyFont="1" applyFill="1" applyBorder="1" applyAlignment="1" applyProtection="1">
      <alignment horizontal="center" vertical="center"/>
    </xf>
    <xf numFmtId="0" fontId="28" fillId="15" borderId="29" xfId="3" applyFont="1" applyFill="1" applyBorder="1" applyAlignment="1" applyProtection="1">
      <alignment horizontal="center"/>
    </xf>
    <xf numFmtId="0" fontId="28" fillId="15" borderId="30" xfId="3" applyFont="1" applyFill="1" applyBorder="1" applyAlignment="1" applyProtection="1">
      <alignment horizontal="center"/>
    </xf>
    <xf numFmtId="0" fontId="28" fillId="15" borderId="31" xfId="3" applyFont="1" applyFill="1" applyBorder="1" applyAlignment="1" applyProtection="1">
      <alignment horizontal="center"/>
    </xf>
    <xf numFmtId="0" fontId="28" fillId="12" borderId="5" xfId="0" applyFont="1" applyFill="1" applyBorder="1" applyAlignment="1">
      <alignment horizontal="center" shrinkToFit="1"/>
    </xf>
    <xf numFmtId="0" fontId="28" fillId="12" borderId="6" xfId="0" applyFont="1" applyFill="1" applyBorder="1" applyAlignment="1">
      <alignment horizontal="center" shrinkToFit="1"/>
    </xf>
    <xf numFmtId="0" fontId="28" fillId="12" borderId="7" xfId="0" applyFont="1" applyFill="1" applyBorder="1" applyAlignment="1">
      <alignment horizontal="center" shrinkToFit="1"/>
    </xf>
    <xf numFmtId="0" fontId="28" fillId="16" borderId="29" xfId="0" applyFont="1" applyFill="1" applyBorder="1" applyAlignment="1">
      <alignment horizontal="center" shrinkToFit="1"/>
    </xf>
    <xf numFmtId="0" fontId="28" fillId="16" borderId="30" xfId="0" applyFont="1" applyFill="1" applyBorder="1" applyAlignment="1">
      <alignment horizontal="center" shrinkToFit="1"/>
    </xf>
    <xf numFmtId="0" fontId="18" fillId="0" borderId="3" xfId="0" applyFont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5" borderId="6" xfId="0" applyFont="1" applyFill="1" applyBorder="1" applyAlignment="1">
      <alignment horizontal="center" vertical="center"/>
    </xf>
    <xf numFmtId="0" fontId="37" fillId="15" borderId="7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shrinkToFit="1"/>
    </xf>
    <xf numFmtId="0" fontId="1" fillId="16" borderId="2" xfId="0" applyFont="1" applyFill="1" applyBorder="1" applyAlignment="1">
      <alignment horizontal="center" shrinkToFit="1"/>
    </xf>
    <xf numFmtId="0" fontId="1" fillId="15" borderId="46" xfId="0" applyFont="1" applyFill="1" applyBorder="1" applyAlignment="1">
      <alignment horizontal="center" shrinkToFit="1"/>
    </xf>
    <xf numFmtId="0" fontId="1" fillId="15" borderId="47" xfId="0" applyFont="1" applyFill="1" applyBorder="1" applyAlignment="1">
      <alignment horizontal="center" shrinkToFit="1"/>
    </xf>
    <xf numFmtId="0" fontId="1" fillId="15" borderId="48" xfId="0" applyFont="1" applyFill="1" applyBorder="1" applyAlignment="1">
      <alignment horizontal="center" shrinkToFit="1"/>
    </xf>
    <xf numFmtId="0" fontId="4" fillId="0" borderId="0" xfId="0" applyFont="1" applyAlignment="1">
      <alignment horizontal="center"/>
    </xf>
    <xf numFmtId="0" fontId="1" fillId="15" borderId="5" xfId="0" applyFont="1" applyFill="1" applyBorder="1" applyAlignment="1">
      <alignment horizontal="center" shrinkToFit="1"/>
    </xf>
    <xf numFmtId="0" fontId="1" fillId="15" borderId="6" xfId="0" applyFont="1" applyFill="1" applyBorder="1" applyAlignment="1">
      <alignment horizontal="center" shrinkToFit="1"/>
    </xf>
    <xf numFmtId="0" fontId="1" fillId="15" borderId="7" xfId="0" applyFont="1" applyFill="1" applyBorder="1" applyAlignment="1">
      <alignment horizontal="center" shrinkToFit="1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">
    <cellStyle name="Estilo 1" xfId="3" xr:uid="{00000000-0005-0000-0000-000000000000}"/>
    <cellStyle name="Moeda" xfId="2" builtinId="4"/>
    <cellStyle name="Normal" xfId="0" builtinId="0"/>
    <cellStyle name="Porcentagem" xfId="4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Twenda%20-%20Prote&#231;&#227;o%20e%20Servi&#231;os%20Dom&#233;sticos,%20Lda\Optimista%20Twenda%20-%20Prote&#231;&#227;o%20e%20Servi&#231;os%20Dom&#233;sticos,%20Lda%20-%20Copia.xlsx" TargetMode="External"/><Relationship Id="rId1" Type="http://schemas.openxmlformats.org/officeDocument/2006/relationships/externalLinkPath" Target="file:///D:\Documentos\Twenda%20-%20Prote&#231;&#227;o%20e%20Servi&#231;os%20Dom&#233;sticos,%20Lda\Optimista%20Twenda%20-%20Prote&#231;&#227;o%20e%20Servi&#231;os%20Dom&#233;sticos,%20Lda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Twenda%20-%20Prote&#231;&#227;o%20e%20Servi&#231;os%20Dom&#233;sticos,%20Lda\Pessinista%20Twenda%20-%20Prote&#231;&#227;o%20e%20Servi&#231;os%20Dom&#233;sticos,%20Ld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ssupostos"/>
      <sheetName val="Mapa de Quantidade"/>
      <sheetName val="Mapa custo com pessoal"/>
      <sheetName val="Custos Variáveis "/>
      <sheetName val="Mapa de Investimento"/>
      <sheetName val="Mapa de Fto"/>
      <sheetName val="Mapa Serviço da Dívida"/>
      <sheetName val="Mapa de Vendas"/>
      <sheetName val="Mapa de Exploração"/>
      <sheetName val="MOAF"/>
      <sheetName val="B.Previsional"/>
      <sheetName val="Mapa de orçamento de tesouraria"/>
      <sheetName val="Mapa do custos F &amp; V"/>
      <sheetName val="D.RESULTADOS"/>
      <sheetName val="Cash Flow Liquido"/>
      <sheetName val="VAL E PB"/>
      <sheetName val="RM"/>
      <sheetName val="Mapa de Cenários"/>
      <sheetName val="ANALISE"/>
      <sheetName val="RÁCIOS"/>
    </sheetNames>
    <sheetDataSet>
      <sheetData sheetId="0">
        <row r="7">
          <cell r="B7">
            <v>2.5000000000000001E-2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C10">
            <v>188985109.3518742</v>
          </cell>
        </row>
        <row r="11">
          <cell r="C11">
            <v>2.277188832901877</v>
          </cell>
        </row>
        <row r="12">
          <cell r="C12">
            <v>0.23</v>
          </cell>
        </row>
        <row r="14">
          <cell r="C14">
            <v>2.4781555030637188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supostos"/>
      <sheetName val="Mapa de Quantidade"/>
      <sheetName val="Mapa custo com pessoal"/>
      <sheetName val="Custos Variáveis "/>
      <sheetName val="Mapa de Investimento"/>
      <sheetName val="Mapa de Fto"/>
      <sheetName val="Mapa Serviço da Dívida"/>
      <sheetName val="Mapa de Vendas"/>
      <sheetName val="Mapa de Exploração"/>
      <sheetName val="MOAF"/>
      <sheetName val="B.Previsional"/>
      <sheetName val="Mapa de orçamento de tesouraria"/>
      <sheetName val="Mapa do custos F &amp; V"/>
      <sheetName val="D.RESULTADOS"/>
      <sheetName val="Cash Flow Liquido"/>
      <sheetName val="VAL E PB"/>
      <sheetName val="RM"/>
      <sheetName val="Mapa de Cenários"/>
      <sheetName val="ANALISE"/>
      <sheetName val="RÁCIOS"/>
    </sheetNames>
    <sheetDataSet>
      <sheetData sheetId="0">
        <row r="7">
          <cell r="B7">
            <v>-2.5000000000000001E-2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C10">
            <v>172382114.18073162</v>
          </cell>
        </row>
        <row r="11">
          <cell r="C11">
            <v>2.3038030449128191</v>
          </cell>
        </row>
        <row r="13">
          <cell r="C13">
            <v>0.64648713788463774</v>
          </cell>
        </row>
        <row r="14">
          <cell r="C14">
            <v>2.3482944321902988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4" zoomScale="91" zoomScaleNormal="91" workbookViewId="0">
      <selection activeCell="B12" sqref="B12"/>
    </sheetView>
  </sheetViews>
  <sheetFormatPr defaultColWidth="9" defaultRowHeight="15" x14ac:dyDescent="0.25"/>
  <cols>
    <col min="1" max="1" width="46.28515625" customWidth="1"/>
    <col min="2" max="2" width="12.5703125" customWidth="1"/>
    <col min="3" max="256" width="10" customWidth="1"/>
  </cols>
  <sheetData>
    <row r="1" spans="1:8" ht="18.75" x14ac:dyDescent="0.3">
      <c r="A1" s="361" t="s">
        <v>254</v>
      </c>
      <c r="B1" s="362"/>
      <c r="C1" s="362"/>
      <c r="D1" s="362"/>
      <c r="E1" s="362"/>
      <c r="F1" s="362"/>
      <c r="G1" s="362"/>
      <c r="H1" s="362"/>
    </row>
    <row r="2" spans="1:8" ht="15.75" x14ac:dyDescent="0.25">
      <c r="A2" s="1"/>
      <c r="B2" s="1"/>
      <c r="C2" s="1"/>
      <c r="D2" s="1"/>
      <c r="E2" s="1"/>
      <c r="F2" s="1"/>
      <c r="G2" s="1"/>
      <c r="H2" s="1"/>
    </row>
    <row r="3" spans="1:8" ht="15.75" x14ac:dyDescent="0.25">
      <c r="A3" s="2" t="s">
        <v>150</v>
      </c>
      <c r="B3" s="3">
        <v>2025</v>
      </c>
      <c r="C3" s="4">
        <f t="shared" ref="C3:H3" si="0">B3+1</f>
        <v>2026</v>
      </c>
      <c r="D3" s="4">
        <f t="shared" si="0"/>
        <v>2027</v>
      </c>
      <c r="E3" s="4">
        <f t="shared" si="0"/>
        <v>2028</v>
      </c>
      <c r="F3" s="4">
        <f t="shared" si="0"/>
        <v>2029</v>
      </c>
      <c r="G3" s="4">
        <f t="shared" si="0"/>
        <v>2030</v>
      </c>
      <c r="H3" s="4">
        <f t="shared" si="0"/>
        <v>2031</v>
      </c>
    </row>
    <row r="4" spans="1:8" ht="15.75" x14ac:dyDescent="0.25">
      <c r="A4" s="5" t="s">
        <v>151</v>
      </c>
      <c r="B4" s="1"/>
      <c r="C4" s="1"/>
      <c r="D4" s="1"/>
      <c r="E4" s="1"/>
      <c r="F4" s="6"/>
      <c r="G4" s="1"/>
      <c r="H4" s="6"/>
    </row>
    <row r="5" spans="1:8" ht="15.75" x14ac:dyDescent="0.25">
      <c r="A5" s="1" t="s">
        <v>152</v>
      </c>
      <c r="B5" s="7">
        <v>0.23400000000000001</v>
      </c>
      <c r="C5" s="7">
        <f t="shared" ref="C5:H13" si="1">B5</f>
        <v>0.23400000000000001</v>
      </c>
      <c r="D5" s="7">
        <f t="shared" si="1"/>
        <v>0.23400000000000001</v>
      </c>
      <c r="E5" s="7">
        <f t="shared" si="1"/>
        <v>0.23400000000000001</v>
      </c>
      <c r="F5" s="7">
        <f t="shared" si="1"/>
        <v>0.23400000000000001</v>
      </c>
      <c r="G5" s="7">
        <f t="shared" si="1"/>
        <v>0.23400000000000001</v>
      </c>
      <c r="H5" s="7">
        <f t="shared" si="1"/>
        <v>0.23400000000000001</v>
      </c>
    </row>
    <row r="6" spans="1:8" ht="15.75" x14ac:dyDescent="0.25">
      <c r="A6" s="1" t="s">
        <v>241</v>
      </c>
      <c r="B6" s="7">
        <v>0</v>
      </c>
      <c r="C6" s="7">
        <f t="shared" si="1"/>
        <v>0</v>
      </c>
      <c r="D6" s="7">
        <v>0.1</v>
      </c>
      <c r="E6" s="7">
        <f t="shared" si="1"/>
        <v>0.1</v>
      </c>
      <c r="F6" s="7">
        <f t="shared" si="1"/>
        <v>0.1</v>
      </c>
      <c r="G6" s="7">
        <f t="shared" si="1"/>
        <v>0.1</v>
      </c>
      <c r="H6" s="7">
        <f t="shared" si="1"/>
        <v>0.1</v>
      </c>
    </row>
    <row r="7" spans="1:8" ht="15.75" x14ac:dyDescent="0.25">
      <c r="A7" s="1" t="s">
        <v>242</v>
      </c>
      <c r="B7" s="7">
        <v>0</v>
      </c>
      <c r="C7" s="7">
        <f t="shared" si="1"/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</row>
    <row r="8" spans="1:8" ht="15.75" x14ac:dyDescent="0.25">
      <c r="A8" s="1" t="s">
        <v>153</v>
      </c>
      <c r="B8" s="7">
        <v>0</v>
      </c>
      <c r="C8" s="7">
        <f t="shared" si="1"/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</row>
    <row r="9" spans="1:8" ht="15.75" x14ac:dyDescent="0.25">
      <c r="A9" s="1" t="s">
        <v>204</v>
      </c>
      <c r="B9" s="7">
        <v>0.14000000000000001</v>
      </c>
      <c r="C9" s="7">
        <f t="shared" si="1"/>
        <v>0.14000000000000001</v>
      </c>
      <c r="D9" s="7">
        <f t="shared" si="1"/>
        <v>0.14000000000000001</v>
      </c>
      <c r="E9" s="7">
        <f t="shared" si="1"/>
        <v>0.14000000000000001</v>
      </c>
      <c r="F9" s="7">
        <f t="shared" si="1"/>
        <v>0.14000000000000001</v>
      </c>
      <c r="G9" s="7">
        <f t="shared" si="1"/>
        <v>0.14000000000000001</v>
      </c>
      <c r="H9" s="7">
        <f t="shared" si="1"/>
        <v>0.14000000000000001</v>
      </c>
    </row>
    <row r="10" spans="1:8" ht="15.75" x14ac:dyDescent="0.25">
      <c r="A10" s="1" t="s">
        <v>203</v>
      </c>
      <c r="B10" s="7">
        <v>0.25</v>
      </c>
      <c r="C10" s="7">
        <f t="shared" si="1"/>
        <v>0.25</v>
      </c>
      <c r="D10" s="7">
        <f t="shared" si="1"/>
        <v>0.25</v>
      </c>
      <c r="E10" s="7">
        <f t="shared" si="1"/>
        <v>0.25</v>
      </c>
      <c r="F10" s="7">
        <f t="shared" si="1"/>
        <v>0.25</v>
      </c>
      <c r="G10" s="7">
        <f t="shared" si="1"/>
        <v>0.25</v>
      </c>
      <c r="H10" s="7">
        <f t="shared" si="1"/>
        <v>0.25</v>
      </c>
    </row>
    <row r="11" spans="1:8" ht="15.75" x14ac:dyDescent="0.25">
      <c r="A11" s="1" t="s">
        <v>154</v>
      </c>
      <c r="B11" s="8">
        <v>0.08</v>
      </c>
      <c r="C11" s="7">
        <f t="shared" si="1"/>
        <v>0.08</v>
      </c>
      <c r="D11" s="7">
        <f t="shared" si="1"/>
        <v>0.08</v>
      </c>
      <c r="E11" s="7">
        <f t="shared" si="1"/>
        <v>0.08</v>
      </c>
      <c r="F11" s="7">
        <f t="shared" si="1"/>
        <v>0.08</v>
      </c>
      <c r="G11" s="7">
        <f t="shared" si="1"/>
        <v>0.08</v>
      </c>
      <c r="H11" s="7">
        <f t="shared" si="1"/>
        <v>0.08</v>
      </c>
    </row>
    <row r="12" spans="1:8" ht="15.75" x14ac:dyDescent="0.25">
      <c r="A12" s="1" t="s">
        <v>220</v>
      </c>
      <c r="B12" s="8">
        <v>0.21</v>
      </c>
      <c r="C12" s="7">
        <f t="shared" si="1"/>
        <v>0.21</v>
      </c>
      <c r="D12" s="7">
        <f t="shared" si="1"/>
        <v>0.21</v>
      </c>
      <c r="E12" s="7">
        <f t="shared" si="1"/>
        <v>0.21</v>
      </c>
      <c r="F12" s="7">
        <f t="shared" si="1"/>
        <v>0.21</v>
      </c>
      <c r="G12" s="7">
        <f t="shared" si="1"/>
        <v>0.21</v>
      </c>
      <c r="H12" s="7">
        <f t="shared" si="1"/>
        <v>0.21</v>
      </c>
    </row>
    <row r="13" spans="1:8" ht="15.75" x14ac:dyDescent="0.25">
      <c r="A13" s="1" t="s">
        <v>155</v>
      </c>
      <c r="B13" s="7">
        <v>0.27129999999999999</v>
      </c>
      <c r="C13" s="7">
        <f t="shared" si="1"/>
        <v>0.27129999999999999</v>
      </c>
      <c r="D13" s="7">
        <f t="shared" si="1"/>
        <v>0.27129999999999999</v>
      </c>
      <c r="E13" s="7">
        <f t="shared" si="1"/>
        <v>0.27129999999999999</v>
      </c>
      <c r="F13" s="7">
        <f t="shared" si="1"/>
        <v>0.27129999999999999</v>
      </c>
      <c r="G13" s="7">
        <f t="shared" si="1"/>
        <v>0.27129999999999999</v>
      </c>
      <c r="H13" s="7">
        <f t="shared" si="1"/>
        <v>0.27129999999999999</v>
      </c>
    </row>
    <row r="14" spans="1:8" ht="15.75" x14ac:dyDescent="0.25">
      <c r="A14" s="9" t="s">
        <v>156</v>
      </c>
      <c r="B14" s="1">
        <v>0</v>
      </c>
      <c r="C14" s="1"/>
      <c r="D14" s="1"/>
      <c r="E14" s="1"/>
      <c r="F14" s="1"/>
      <c r="G14" s="1"/>
      <c r="H14" s="1"/>
    </row>
    <row r="15" spans="1:8" ht="15.75" x14ac:dyDescent="0.25">
      <c r="A15" s="1" t="s">
        <v>157</v>
      </c>
      <c r="B15" s="7">
        <v>0.23</v>
      </c>
      <c r="C15" s="7">
        <f t="shared" ref="C15:H15" si="2">B15</f>
        <v>0.23</v>
      </c>
      <c r="D15" s="7">
        <f t="shared" si="2"/>
        <v>0.23</v>
      </c>
      <c r="E15" s="7">
        <f t="shared" si="2"/>
        <v>0.23</v>
      </c>
      <c r="F15" s="7">
        <f t="shared" si="2"/>
        <v>0.23</v>
      </c>
      <c r="G15" s="7">
        <f t="shared" si="2"/>
        <v>0.23</v>
      </c>
      <c r="H15" s="7">
        <f t="shared" si="2"/>
        <v>0.23</v>
      </c>
    </row>
    <row r="16" spans="1:8" ht="15.75" x14ac:dyDescent="0.25">
      <c r="A16" s="5" t="s">
        <v>158</v>
      </c>
      <c r="B16" s="1"/>
      <c r="C16" s="1"/>
      <c r="D16" s="1"/>
      <c r="E16" s="1"/>
      <c r="F16" s="1"/>
      <c r="G16" s="1"/>
      <c r="H16" s="1"/>
    </row>
    <row r="17" spans="1:8" ht="15.75" x14ac:dyDescent="0.25">
      <c r="A17" s="1" t="s">
        <v>159</v>
      </c>
      <c r="B17" s="10">
        <v>1</v>
      </c>
      <c r="C17" s="7">
        <f>B17</f>
        <v>1</v>
      </c>
      <c r="D17" s="7">
        <f t="shared" ref="C17:H20" si="3">C17</f>
        <v>1</v>
      </c>
      <c r="E17" s="7">
        <f t="shared" si="3"/>
        <v>1</v>
      </c>
      <c r="F17" s="7">
        <f t="shared" si="3"/>
        <v>1</v>
      </c>
      <c r="G17" s="7">
        <f t="shared" si="3"/>
        <v>1</v>
      </c>
      <c r="H17" s="7">
        <f t="shared" si="3"/>
        <v>1</v>
      </c>
    </row>
    <row r="18" spans="1:8" ht="15.75" x14ac:dyDescent="0.25">
      <c r="A18" s="1" t="s">
        <v>160</v>
      </c>
      <c r="B18" s="7">
        <f>B12+B17*(B15-B12)</f>
        <v>0.23</v>
      </c>
      <c r="C18" s="7">
        <f>B18</f>
        <v>0.23</v>
      </c>
      <c r="D18" s="7">
        <f>C18</f>
        <v>0.23</v>
      </c>
      <c r="E18" s="7">
        <f t="shared" si="3"/>
        <v>0.23</v>
      </c>
      <c r="F18" s="7">
        <f t="shared" si="3"/>
        <v>0.23</v>
      </c>
      <c r="G18" s="7">
        <f t="shared" si="3"/>
        <v>0.23</v>
      </c>
      <c r="H18" s="7">
        <f t="shared" si="3"/>
        <v>0.23</v>
      </c>
    </row>
    <row r="19" spans="1:8" ht="15.75" x14ac:dyDescent="0.25">
      <c r="A19" s="1" t="s">
        <v>161</v>
      </c>
      <c r="B19" s="7">
        <v>0.6</v>
      </c>
      <c r="C19" s="7">
        <f t="shared" si="3"/>
        <v>0.6</v>
      </c>
      <c r="D19" s="7">
        <f t="shared" si="3"/>
        <v>0.6</v>
      </c>
      <c r="E19" s="7">
        <f t="shared" si="3"/>
        <v>0.6</v>
      </c>
      <c r="F19" s="7">
        <f t="shared" si="3"/>
        <v>0.6</v>
      </c>
      <c r="G19" s="7">
        <f t="shared" si="3"/>
        <v>0.6</v>
      </c>
      <c r="H19" s="7">
        <f t="shared" si="3"/>
        <v>0.6</v>
      </c>
    </row>
    <row r="20" spans="1:8" ht="15.75" x14ac:dyDescent="0.25">
      <c r="A20" s="1" t="s">
        <v>162</v>
      </c>
      <c r="B20" s="7">
        <v>0.4</v>
      </c>
      <c r="C20" s="7">
        <f t="shared" si="3"/>
        <v>0.4</v>
      </c>
      <c r="D20" s="7">
        <f t="shared" si="3"/>
        <v>0.4</v>
      </c>
      <c r="E20" s="7">
        <f t="shared" si="3"/>
        <v>0.4</v>
      </c>
      <c r="F20" s="7">
        <f t="shared" si="3"/>
        <v>0.4</v>
      </c>
      <c r="G20" s="7">
        <f t="shared" si="3"/>
        <v>0.4</v>
      </c>
      <c r="H20" s="7">
        <f t="shared" si="3"/>
        <v>0.4</v>
      </c>
    </row>
    <row r="21" spans="1:8" ht="15.75" x14ac:dyDescent="0.25">
      <c r="A21" s="1" t="s">
        <v>163</v>
      </c>
      <c r="B21" s="7">
        <f t="shared" ref="B21:H21" si="4">B12+1*(B15-B12)</f>
        <v>0.23</v>
      </c>
      <c r="C21" s="7">
        <f t="shared" si="4"/>
        <v>0.23</v>
      </c>
      <c r="D21" s="7">
        <f t="shared" si="4"/>
        <v>0.23</v>
      </c>
      <c r="E21" s="7">
        <f t="shared" si="4"/>
        <v>0.23</v>
      </c>
      <c r="F21" s="7">
        <f t="shared" si="4"/>
        <v>0.23</v>
      </c>
      <c r="G21" s="7">
        <f t="shared" si="4"/>
        <v>0.23</v>
      </c>
      <c r="H21" s="7">
        <f t="shared" si="4"/>
        <v>0.23</v>
      </c>
    </row>
    <row r="22" spans="1:8" ht="15.75" x14ac:dyDescent="0.25">
      <c r="A22" s="1" t="s">
        <v>164</v>
      </c>
      <c r="B22" s="7">
        <f>B18</f>
        <v>0.23</v>
      </c>
      <c r="C22" s="7">
        <f>C18</f>
        <v>0.23</v>
      </c>
      <c r="D22" s="7">
        <f t="shared" ref="D22:H22" si="5">D18</f>
        <v>0.23</v>
      </c>
      <c r="E22" s="7">
        <f t="shared" si="5"/>
        <v>0.23</v>
      </c>
      <c r="F22" s="7">
        <f t="shared" si="5"/>
        <v>0.23</v>
      </c>
      <c r="G22" s="7">
        <f t="shared" si="5"/>
        <v>0.23</v>
      </c>
      <c r="H22" s="7">
        <f t="shared" si="5"/>
        <v>0.23</v>
      </c>
    </row>
    <row r="48" spans="10:10" x14ac:dyDescent="0.25">
      <c r="J48" s="11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55911"/>
  </sheetPr>
  <dimension ref="A1:J46"/>
  <sheetViews>
    <sheetView zoomScale="68" zoomScaleNormal="68" workbookViewId="0">
      <selection sqref="A1:H21"/>
    </sheetView>
  </sheetViews>
  <sheetFormatPr defaultColWidth="9" defaultRowHeight="15" x14ac:dyDescent="0.25"/>
  <cols>
    <col min="1" max="1" width="34" customWidth="1"/>
    <col min="2" max="2" width="24.5703125" customWidth="1"/>
    <col min="3" max="3" width="26.42578125" customWidth="1"/>
    <col min="4" max="4" width="24.140625" bestFit="1" customWidth="1"/>
    <col min="5" max="6" width="25.7109375" customWidth="1"/>
    <col min="7" max="8" width="24.5703125" customWidth="1"/>
    <col min="9" max="256" width="10" customWidth="1"/>
  </cols>
  <sheetData>
    <row r="1" spans="1:8" ht="18.75" x14ac:dyDescent="0.3">
      <c r="A1" s="436" t="s">
        <v>263</v>
      </c>
      <c r="B1" s="437"/>
      <c r="C1" s="437"/>
      <c r="D1" s="437"/>
      <c r="E1" s="437"/>
      <c r="F1" s="437"/>
      <c r="G1" s="437"/>
      <c r="H1" s="438"/>
    </row>
    <row r="2" spans="1:8" ht="15.75" x14ac:dyDescent="0.25">
      <c r="A2" s="185" t="s">
        <v>0</v>
      </c>
      <c r="B2" s="185">
        <f>'Mapa de Exploração'!B2</f>
        <v>2025</v>
      </c>
      <c r="C2" s="185">
        <f>'Mapa de Exploração'!C2</f>
        <v>2026</v>
      </c>
      <c r="D2" s="185">
        <f>'Mapa de Exploração'!D2</f>
        <v>2027</v>
      </c>
      <c r="E2" s="185">
        <f>'Mapa de Exploração'!E2</f>
        <v>2028</v>
      </c>
      <c r="F2" s="185">
        <f>'Mapa de Exploração'!F2</f>
        <v>2029</v>
      </c>
      <c r="G2" s="185">
        <f>'Mapa de Exploração'!G2</f>
        <v>2030</v>
      </c>
      <c r="H2" s="185">
        <f>'Mapa de Exploração'!H2</f>
        <v>2031</v>
      </c>
    </row>
    <row r="3" spans="1:8" ht="15.75" x14ac:dyDescent="0.25">
      <c r="A3" s="186" t="s">
        <v>56</v>
      </c>
      <c r="B3" s="186"/>
      <c r="C3" s="186"/>
      <c r="D3" s="186"/>
      <c r="E3" s="187"/>
      <c r="F3" s="188"/>
      <c r="G3" s="189"/>
      <c r="H3" s="189"/>
    </row>
    <row r="4" spans="1:8" ht="15.75" x14ac:dyDescent="0.25">
      <c r="A4" s="190" t="s">
        <v>57</v>
      </c>
      <c r="B4" s="191"/>
      <c r="C4" s="192">
        <f>'Mapa de Exploração'!C15</f>
        <v>35064246.320698917</v>
      </c>
      <c r="D4" s="192">
        <f>'Mapa de Exploração'!D15</f>
        <v>54672634.952559166</v>
      </c>
      <c r="E4" s="193">
        <f>'Mapa de Exploração'!E15</f>
        <v>76072593.584419385</v>
      </c>
      <c r="F4" s="194">
        <f>'Mapa de Exploração'!F15</f>
        <v>99443279.216279596</v>
      </c>
      <c r="G4" s="194">
        <f>'Mapa de Exploração'!G15</f>
        <v>124981764.54813978</v>
      </c>
      <c r="H4" s="194">
        <f>'Mapa de Exploração'!H15</f>
        <v>152904829.55000001</v>
      </c>
    </row>
    <row r="5" spans="1:8" ht="15.75" x14ac:dyDescent="0.25">
      <c r="A5" s="190" t="s">
        <v>58</v>
      </c>
      <c r="B5" s="191"/>
      <c r="C5" s="192">
        <f>'Mapa de Exploração'!C9</f>
        <v>23128732</v>
      </c>
      <c r="D5" s="192">
        <f>'Mapa de Exploração'!D9</f>
        <v>23128732</v>
      </c>
      <c r="E5" s="193">
        <f>'Mapa de Exploração'!E9</f>
        <v>23128732</v>
      </c>
      <c r="F5" s="194">
        <f>'Mapa de Exploração'!F9</f>
        <v>23128732</v>
      </c>
      <c r="G5" s="194">
        <f>'Mapa de Exploração'!G9</f>
        <v>23128732</v>
      </c>
      <c r="H5" s="194">
        <f>'Mapa de Exploração'!H9</f>
        <v>23128732</v>
      </c>
    </row>
    <row r="6" spans="1:8" ht="15.75" x14ac:dyDescent="0.25">
      <c r="A6" s="190" t="s">
        <v>59</v>
      </c>
      <c r="B6" s="191">
        <f>'Mapa de Fto'!B3</f>
        <v>76711188.623999998</v>
      </c>
      <c r="C6" s="195">
        <v>0</v>
      </c>
      <c r="D6" s="196">
        <v>0</v>
      </c>
      <c r="E6" s="197">
        <v>0</v>
      </c>
      <c r="F6" s="198">
        <v>0</v>
      </c>
      <c r="G6" s="199"/>
      <c r="H6" s="199"/>
    </row>
    <row r="7" spans="1:8" ht="15.75" x14ac:dyDescent="0.25">
      <c r="A7" s="186" t="s">
        <v>60</v>
      </c>
      <c r="B7" s="200"/>
      <c r="C7" s="201"/>
      <c r="D7" s="202"/>
      <c r="E7" s="203"/>
      <c r="F7" s="204"/>
      <c r="G7" s="189"/>
      <c r="H7" s="189"/>
    </row>
    <row r="8" spans="1:8" ht="15.75" x14ac:dyDescent="0.25">
      <c r="A8" s="190" t="s">
        <v>61</v>
      </c>
      <c r="B8" s="191">
        <f>'Mapa de Fto'!B7</f>
        <v>51140792.416000001</v>
      </c>
      <c r="C8" s="205">
        <v>0</v>
      </c>
      <c r="D8" s="205">
        <v>0</v>
      </c>
      <c r="E8" s="206">
        <v>0</v>
      </c>
      <c r="F8" s="156">
        <v>0</v>
      </c>
      <c r="G8" s="156">
        <v>0</v>
      </c>
      <c r="H8" s="156">
        <v>0</v>
      </c>
    </row>
    <row r="9" spans="1:8" ht="15.75" x14ac:dyDescent="0.25">
      <c r="A9" s="190" t="s">
        <v>217</v>
      </c>
      <c r="B9" s="191"/>
      <c r="C9" s="205">
        <v>0</v>
      </c>
      <c r="D9" s="205">
        <v>0</v>
      </c>
      <c r="E9" s="206">
        <v>0</v>
      </c>
      <c r="F9" s="156">
        <v>0</v>
      </c>
      <c r="G9" s="156">
        <v>0</v>
      </c>
      <c r="H9" s="156">
        <v>0</v>
      </c>
    </row>
    <row r="10" spans="1:8" ht="15.75" x14ac:dyDescent="0.25">
      <c r="A10" s="190" t="s">
        <v>62</v>
      </c>
      <c r="B10" s="196">
        <v>0</v>
      </c>
      <c r="C10" s="205"/>
      <c r="D10" s="205"/>
      <c r="E10" s="206"/>
      <c r="F10" s="156"/>
      <c r="G10" s="156"/>
      <c r="H10" s="207"/>
    </row>
    <row r="11" spans="1:8" ht="15.75" x14ac:dyDescent="0.25">
      <c r="A11" s="223" t="s">
        <v>63</v>
      </c>
      <c r="B11" s="224">
        <f>B8+B6</f>
        <v>127851981.03999999</v>
      </c>
      <c r="C11" s="225">
        <f>C4+C5+C6+C8+C9+C10</f>
        <v>58192978.320698917</v>
      </c>
      <c r="D11" s="225">
        <f>D4+D5+D6+D8+D9+D10</f>
        <v>77801366.952559173</v>
      </c>
      <c r="E11" s="225">
        <f t="shared" ref="E11:H11" si="0">E4+E5+E6+E8+E9+E10</f>
        <v>99201325.584419385</v>
      </c>
      <c r="F11" s="225">
        <f t="shared" si="0"/>
        <v>122572011.2162796</v>
      </c>
      <c r="G11" s="225">
        <f t="shared" si="0"/>
        <v>148110496.54813978</v>
      </c>
      <c r="H11" s="225">
        <f t="shared" si="0"/>
        <v>176033561.55000001</v>
      </c>
    </row>
    <row r="12" spans="1:8" ht="15.75" x14ac:dyDescent="0.25">
      <c r="A12" s="186" t="s">
        <v>64</v>
      </c>
      <c r="B12" s="208"/>
      <c r="C12" s="209"/>
      <c r="D12" s="209"/>
      <c r="E12" s="210"/>
      <c r="F12" s="154"/>
      <c r="G12" s="189"/>
      <c r="H12" s="189"/>
    </row>
    <row r="13" spans="1:8" ht="15.75" x14ac:dyDescent="0.25">
      <c r="A13" s="211" t="s">
        <v>65</v>
      </c>
      <c r="B13" s="212">
        <f>'Mapa de Investimento'!B11+'Mapa de Investimento'!B16</f>
        <v>119163660</v>
      </c>
      <c r="C13" s="213">
        <v>0</v>
      </c>
      <c r="D13" s="214">
        <v>0</v>
      </c>
      <c r="E13" s="213">
        <v>0</v>
      </c>
      <c r="F13" s="213">
        <v>0</v>
      </c>
      <c r="G13" s="213">
        <v>0</v>
      </c>
      <c r="H13" s="213">
        <v>0</v>
      </c>
    </row>
    <row r="14" spans="1:8" ht="15.75" x14ac:dyDescent="0.25">
      <c r="A14" s="211" t="s">
        <v>66</v>
      </c>
      <c r="B14" s="215">
        <v>0</v>
      </c>
      <c r="C14" s="216">
        <f>'Mapa de Investimento'!C19</f>
        <v>3600000</v>
      </c>
      <c r="D14" s="216">
        <f>'Mapa de Investimento'!D19</f>
        <v>3600000</v>
      </c>
      <c r="E14" s="216">
        <f>'Mapa de Investimento'!E19</f>
        <v>3600000</v>
      </c>
      <c r="F14" s="216">
        <f>'Mapa de Investimento'!F19</f>
        <v>3600000</v>
      </c>
      <c r="G14" s="216">
        <f>'Mapa de Investimento'!G19</f>
        <v>3600000</v>
      </c>
      <c r="H14" s="216">
        <f>'Mapa de Investimento'!H19</f>
        <v>3600000</v>
      </c>
    </row>
    <row r="15" spans="1:8" ht="15.75" x14ac:dyDescent="0.25">
      <c r="A15" s="187" t="s">
        <v>67</v>
      </c>
      <c r="B15" s="217"/>
      <c r="C15" s="218"/>
      <c r="D15" s="154"/>
      <c r="E15" s="219"/>
      <c r="F15" s="154"/>
      <c r="G15" s="189"/>
      <c r="H15" s="189"/>
    </row>
    <row r="16" spans="1:8" ht="15.75" x14ac:dyDescent="0.25">
      <c r="A16" s="190" t="s">
        <v>61</v>
      </c>
      <c r="B16" s="220">
        <v>0</v>
      </c>
      <c r="C16" s="221">
        <f>'Mapa Serviço da Dívida'!E5</f>
        <v>10228158.483200001</v>
      </c>
      <c r="D16" s="221">
        <f>'Mapa Serviço da Dívida'!E6</f>
        <v>10228158.483200001</v>
      </c>
      <c r="E16" s="221">
        <f>'Mapa Serviço da Dívida'!E7</f>
        <v>10228158.483200001</v>
      </c>
      <c r="F16" s="221">
        <f>'Mapa Serviço da Dívida'!E8</f>
        <v>10228158.483200001</v>
      </c>
      <c r="G16" s="221">
        <f>'Mapa Serviço da Dívida'!E9</f>
        <v>10228158.483200001</v>
      </c>
      <c r="H16" s="221">
        <f>'Mapa Serviço da Dívida'!E10</f>
        <v>0</v>
      </c>
    </row>
    <row r="17" spans="1:8" ht="21" customHeight="1" x14ac:dyDescent="0.25">
      <c r="A17" s="190" t="s">
        <v>218</v>
      </c>
      <c r="B17" s="191">
        <v>0</v>
      </c>
      <c r="C17" s="205">
        <v>0</v>
      </c>
      <c r="D17" s="205">
        <f>C9</f>
        <v>0</v>
      </c>
      <c r="E17" s="205">
        <f t="shared" ref="E17:H17" si="1">D9</f>
        <v>0</v>
      </c>
      <c r="F17" s="205">
        <f t="shared" si="1"/>
        <v>0</v>
      </c>
      <c r="G17" s="205">
        <f t="shared" si="1"/>
        <v>0</v>
      </c>
      <c r="H17" s="205">
        <f t="shared" si="1"/>
        <v>0</v>
      </c>
    </row>
    <row r="18" spans="1:8" ht="21" customHeight="1" x14ac:dyDescent="0.25">
      <c r="A18" s="190" t="s">
        <v>219</v>
      </c>
      <c r="B18" s="191">
        <f>B4*Pressupostos!B6</f>
        <v>0</v>
      </c>
      <c r="C18" s="191">
        <f>C4*Pressupostos!C6</f>
        <v>0</v>
      </c>
      <c r="D18" s="191">
        <f>D4*Pressupostos!D6</f>
        <v>5467263.4952559173</v>
      </c>
      <c r="E18" s="191">
        <f>E4*Pressupostos!E6</f>
        <v>7607259.3584419386</v>
      </c>
      <c r="F18" s="191">
        <f>F4*Pressupostos!F6</f>
        <v>9944327.9216279592</v>
      </c>
      <c r="G18" s="191">
        <f>G4*Pressupostos!G6</f>
        <v>12498176.45481398</v>
      </c>
      <c r="H18" s="191">
        <f>H4*Pressupostos!H6</f>
        <v>15290482.955000002</v>
      </c>
    </row>
    <row r="19" spans="1:8" ht="15.75" x14ac:dyDescent="0.25">
      <c r="A19" s="190" t="s">
        <v>215</v>
      </c>
      <c r="B19" s="191">
        <f>B11-B13</f>
        <v>8688321.0399999917</v>
      </c>
      <c r="C19" s="191">
        <f>C11-C12-C13-C14-C15-C16-C17-C18</f>
        <v>44364819.837498918</v>
      </c>
      <c r="D19" s="191">
        <f>D11-D12-D13-D14-D15-D16-D17-D18</f>
        <v>58505944.974103257</v>
      </c>
      <c r="E19" s="191">
        <f t="shared" ref="E19:H19" si="2">E11-E12-E13-E14-E15-E16-E17-E18</f>
        <v>77765907.742777452</v>
      </c>
      <c r="F19" s="191">
        <f t="shared" si="2"/>
        <v>98799524.811451644</v>
      </c>
      <c r="G19" s="191">
        <f t="shared" si="2"/>
        <v>121784161.61012578</v>
      </c>
      <c r="H19" s="191">
        <f t="shared" si="2"/>
        <v>157143078.595</v>
      </c>
    </row>
    <row r="20" spans="1:8" ht="15.75" x14ac:dyDescent="0.25">
      <c r="A20" s="190" t="s">
        <v>202</v>
      </c>
      <c r="B20" s="191">
        <v>0</v>
      </c>
      <c r="C20" s="196">
        <v>0</v>
      </c>
      <c r="D20" s="196">
        <v>0</v>
      </c>
      <c r="E20" s="222">
        <v>0</v>
      </c>
      <c r="F20" s="199">
        <v>0</v>
      </c>
      <c r="G20" s="189"/>
      <c r="H20" s="189"/>
    </row>
    <row r="21" spans="1:8" ht="15.75" x14ac:dyDescent="0.25">
      <c r="A21" s="223" t="s">
        <v>68</v>
      </c>
      <c r="B21" s="226">
        <f>B13+B14+B19</f>
        <v>127851981.03999999</v>
      </c>
      <c r="C21" s="225">
        <f t="shared" ref="C21:H21" si="3">C13+C14+C16+C17+C18+C19+C20</f>
        <v>58192978.320698917</v>
      </c>
      <c r="D21" s="225">
        <f t="shared" si="3"/>
        <v>77801366.952559173</v>
      </c>
      <c r="E21" s="225">
        <f t="shared" si="3"/>
        <v>99201325.584419399</v>
      </c>
      <c r="F21" s="225">
        <f t="shared" si="3"/>
        <v>122572011.2162796</v>
      </c>
      <c r="G21" s="225">
        <f t="shared" si="3"/>
        <v>148110496.54813975</v>
      </c>
      <c r="H21" s="225">
        <f t="shared" si="3"/>
        <v>176033561.55000001</v>
      </c>
    </row>
    <row r="23" spans="1:8" x14ac:dyDescent="0.25">
      <c r="B23" s="91"/>
      <c r="C23" s="54"/>
      <c r="D23" s="54"/>
      <c r="E23" s="54"/>
      <c r="F23" s="54"/>
      <c r="G23" s="54"/>
      <c r="H23" s="54"/>
    </row>
    <row r="26" spans="1:8" x14ac:dyDescent="0.25">
      <c r="E26" s="92"/>
    </row>
    <row r="27" spans="1:8" x14ac:dyDescent="0.25">
      <c r="D27" s="54"/>
      <c r="E27" s="54"/>
    </row>
    <row r="46" spans="10:10" x14ac:dyDescent="0.25">
      <c r="J46" s="11"/>
    </row>
  </sheetData>
  <mergeCells count="1">
    <mergeCell ref="A1:H1"/>
  </mergeCells>
  <conditionalFormatting sqref="A2:B2">
    <cfRule type="dataBar" priority="20">
      <dataBar>
        <cfvo type="min"/>
        <cfvo type="max"/>
        <color rgb="FF008AEF"/>
      </dataBar>
    </cfRule>
  </conditionalFormatting>
  <conditionalFormatting sqref="B2">
    <cfRule type="dataBar" priority="15">
      <dataBar>
        <cfvo type="min"/>
        <cfvo type="max"/>
        <color rgb="FFFF555A"/>
      </dataBar>
    </cfRule>
  </conditionalFormatting>
  <conditionalFormatting sqref="B2:H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{AF8A6CEC-F769-4B63-AE69-75EAC3ADC196}</x14:id>
        </ext>
      </extLst>
    </cfRule>
  </conditionalFormatting>
  <conditionalFormatting sqref="C2">
    <cfRule type="dataBar" priority="3">
      <dataBar>
        <cfvo type="min"/>
        <cfvo type="max"/>
        <color rgb="FFFF555A"/>
      </dataBar>
    </cfRule>
    <cfRule type="dataBar" priority="13">
      <dataBar>
        <cfvo type="min"/>
        <cfvo type="max"/>
        <color rgb="FF008AEF"/>
      </dataBar>
    </cfRule>
  </conditionalFormatting>
  <conditionalFormatting sqref="D2">
    <cfRule type="dataBar" priority="19">
      <dataBar>
        <cfvo type="min"/>
        <cfvo type="max"/>
        <color rgb="FF008AEF"/>
      </dataBar>
    </cfRule>
    <cfRule type="dataBar" priority="19">
      <dataBar>
        <cfvo type="min"/>
        <cfvo type="max"/>
        <color rgb="FFFF555A"/>
      </dataBar>
    </cfRule>
  </conditionalFormatting>
  <conditionalFormatting sqref="E2">
    <cfRule type="dataBar" priority="17">
      <dataBar>
        <cfvo type="min"/>
        <cfvo type="max"/>
        <color rgb="FF008AEF"/>
      </dataBar>
    </cfRule>
    <cfRule type="dataBar" priority="17">
      <dataBar>
        <cfvo type="min"/>
        <cfvo type="max"/>
        <color rgb="FFFF555A"/>
      </dataBar>
    </cfRule>
  </conditionalFormatting>
  <conditionalFormatting sqref="F2">
    <cfRule type="dataBar" priority="18">
      <dataBar>
        <cfvo type="min"/>
        <cfvo type="max"/>
        <color rgb="FF008AEF"/>
      </dataBar>
    </cfRule>
    <cfRule type="dataBar" priority="18">
      <dataBar>
        <cfvo type="min"/>
        <cfvo type="max"/>
        <color rgb="FFFF555A"/>
      </dataBar>
    </cfRule>
  </conditionalFormatting>
  <conditionalFormatting sqref="G2">
    <cfRule type="dataBar" priority="14">
      <dataBar>
        <cfvo type="min"/>
        <cfvo type="max"/>
        <color rgb="FF008AEF"/>
      </dataBar>
    </cfRule>
    <cfRule type="dataBar" priority="14">
      <dataBar>
        <cfvo type="min"/>
        <cfvo type="max"/>
        <color rgb="FFFF555A"/>
      </dataBar>
    </cfRule>
  </conditionalFormatting>
  <conditionalFormatting sqref="H2">
    <cfRule type="dataBar" priority="16">
      <dataBar>
        <cfvo type="min"/>
        <cfvo type="max"/>
        <color rgb="FF008AEF"/>
      </dataBar>
    </cfRule>
    <cfRule type="dataBar" priority="16">
      <dataBar>
        <cfvo type="min"/>
        <cfvo type="max"/>
        <color rgb="FFFF555A"/>
      </dataBar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8A6CEC-F769-4B63-AE69-75EAC3ADC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5623"/>
  </sheetPr>
  <dimension ref="A1:I46"/>
  <sheetViews>
    <sheetView zoomScale="60" workbookViewId="0">
      <selection sqref="A1:H23"/>
    </sheetView>
  </sheetViews>
  <sheetFormatPr defaultColWidth="9" defaultRowHeight="15" x14ac:dyDescent="0.25"/>
  <cols>
    <col min="1" max="1" width="38.140625" customWidth="1"/>
    <col min="2" max="2" width="29" bestFit="1" customWidth="1"/>
    <col min="3" max="5" width="29.85546875" bestFit="1" customWidth="1"/>
    <col min="6" max="6" width="30.42578125" bestFit="1" customWidth="1"/>
    <col min="7" max="7" width="29.85546875" bestFit="1" customWidth="1"/>
    <col min="8" max="8" width="30.42578125" bestFit="1" customWidth="1"/>
    <col min="9" max="256" width="10" customWidth="1"/>
  </cols>
  <sheetData>
    <row r="1" spans="1:9" ht="28.5" customHeight="1" x14ac:dyDescent="0.3">
      <c r="A1" s="439" t="s">
        <v>251</v>
      </c>
      <c r="B1" s="440"/>
      <c r="C1" s="440"/>
      <c r="D1" s="440"/>
      <c r="E1" s="440"/>
      <c r="F1" s="440"/>
      <c r="G1" s="440"/>
      <c r="H1" s="441"/>
    </row>
    <row r="2" spans="1:9" ht="15.75" x14ac:dyDescent="0.25">
      <c r="A2" s="327" t="s">
        <v>0</v>
      </c>
      <c r="B2" s="325">
        <f>MOAF!B2</f>
        <v>2025</v>
      </c>
      <c r="C2" s="325">
        <f>MOAF!C2</f>
        <v>2026</v>
      </c>
      <c r="D2" s="325">
        <f>MOAF!D2</f>
        <v>2027</v>
      </c>
      <c r="E2" s="325">
        <f>MOAF!E2</f>
        <v>2028</v>
      </c>
      <c r="F2" s="325">
        <f>MOAF!F2</f>
        <v>2029</v>
      </c>
      <c r="G2" s="325">
        <f>MOAF!G2</f>
        <v>2030</v>
      </c>
      <c r="H2" s="325">
        <f>MOAF!H2</f>
        <v>2031</v>
      </c>
    </row>
    <row r="3" spans="1:9" ht="15.75" x14ac:dyDescent="0.25">
      <c r="A3" s="328" t="s">
        <v>69</v>
      </c>
      <c r="B3" s="328"/>
      <c r="C3" s="328"/>
      <c r="D3" s="328"/>
      <c r="E3" s="328"/>
      <c r="F3" s="328"/>
      <c r="G3" s="328"/>
      <c r="H3" s="328"/>
    </row>
    <row r="4" spans="1:9" ht="15.75" x14ac:dyDescent="0.25">
      <c r="A4" s="227" t="s">
        <v>70</v>
      </c>
      <c r="B4" s="329"/>
      <c r="C4" s="329"/>
      <c r="D4" s="329"/>
      <c r="E4" s="329"/>
      <c r="F4" s="329"/>
      <c r="G4" s="329"/>
      <c r="H4" s="329"/>
    </row>
    <row r="5" spans="1:9" ht="15.75" x14ac:dyDescent="0.25">
      <c r="A5" s="329" t="s">
        <v>71</v>
      </c>
      <c r="B5" s="332">
        <f>'Mapa de Investimento'!B11</f>
        <v>115643660</v>
      </c>
      <c r="C5" s="332">
        <f>B5</f>
        <v>115643660</v>
      </c>
      <c r="D5" s="332">
        <f>B5</f>
        <v>115643660</v>
      </c>
      <c r="E5" s="332">
        <f>B5</f>
        <v>115643660</v>
      </c>
      <c r="F5" s="332">
        <f>B5</f>
        <v>115643660</v>
      </c>
      <c r="G5" s="332">
        <f t="shared" ref="G5:H6" si="0">C5</f>
        <v>115643660</v>
      </c>
      <c r="H5" s="332">
        <f t="shared" si="0"/>
        <v>115643660</v>
      </c>
    </row>
    <row r="6" spans="1:9" ht="15.75" x14ac:dyDescent="0.25">
      <c r="A6" s="329" t="s">
        <v>72</v>
      </c>
      <c r="B6" s="332">
        <f>'Mapa de Investimento'!B16</f>
        <v>3520000</v>
      </c>
      <c r="C6" s="333">
        <f>B6</f>
        <v>3520000</v>
      </c>
      <c r="D6" s="333">
        <f>B6</f>
        <v>3520000</v>
      </c>
      <c r="E6" s="333">
        <f>B6</f>
        <v>3520000</v>
      </c>
      <c r="F6" s="333">
        <f>B6</f>
        <v>3520000</v>
      </c>
      <c r="G6" s="333">
        <f t="shared" si="0"/>
        <v>3520000</v>
      </c>
      <c r="H6" s="333">
        <f t="shared" si="0"/>
        <v>3520000</v>
      </c>
    </row>
    <row r="7" spans="1:9" ht="15.75" x14ac:dyDescent="0.25">
      <c r="A7" s="329" t="s">
        <v>73</v>
      </c>
      <c r="B7" s="332">
        <v>0</v>
      </c>
      <c r="C7" s="333">
        <f>'Mapa de Exploração'!C9</f>
        <v>23128732</v>
      </c>
      <c r="D7" s="333">
        <f>C7*2</f>
        <v>46257464</v>
      </c>
      <c r="E7" s="333">
        <f>C7*3</f>
        <v>69386196</v>
      </c>
      <c r="F7" s="333">
        <f>C7*4</f>
        <v>92514928</v>
      </c>
      <c r="G7" s="333">
        <f>C7*5</f>
        <v>115643660</v>
      </c>
      <c r="H7" s="333">
        <f>D7*5</f>
        <v>231287320</v>
      </c>
    </row>
    <row r="8" spans="1:9" ht="15.75" x14ac:dyDescent="0.25">
      <c r="A8" s="329" t="s">
        <v>74</v>
      </c>
      <c r="B8" s="332"/>
      <c r="C8" s="332"/>
      <c r="D8" s="332"/>
      <c r="E8" s="332"/>
      <c r="F8" s="332"/>
      <c r="G8" s="332"/>
      <c r="H8" s="332"/>
    </row>
    <row r="9" spans="1:9" ht="15.75" x14ac:dyDescent="0.25">
      <c r="A9" s="329" t="s">
        <v>75</v>
      </c>
      <c r="B9" s="332">
        <f>'Mapa de Investimento'!B18</f>
        <v>8688321.0399999991</v>
      </c>
      <c r="C9" s="332">
        <f>B9+MOAF!C19</f>
        <v>53053140.877498917</v>
      </c>
      <c r="D9" s="332">
        <f>MOAF!B19+MOAF!C19+MOAF!D19</f>
        <v>111559085.85160217</v>
      </c>
      <c r="E9" s="332">
        <f>MOAF!B19+MOAF!C19+MOAF!D19+MOAF!E19</f>
        <v>189324993.5943796</v>
      </c>
      <c r="F9" s="332">
        <f>MOAF!B19+MOAF!C19+MOAF!D19+MOAF!E19+MOAF!F19</f>
        <v>288124518.40583122</v>
      </c>
      <c r="G9" s="332">
        <f>MOAF!B19+MOAF!C19+MOAF!D19+MOAF!E19+MOAF!F19+MOAF!G19</f>
        <v>409908680.015957</v>
      </c>
      <c r="H9" s="332">
        <f>MOAF!C19+MOAF!D19+MOAF!E19+MOAF!F19+MOAF!G19+MOAF!H19</f>
        <v>558363437.57095706</v>
      </c>
    </row>
    <row r="10" spans="1:9" ht="15.75" x14ac:dyDescent="0.25">
      <c r="A10" s="330" t="s">
        <v>76</v>
      </c>
      <c r="B10" s="334">
        <f>SUM(B5:B9)</f>
        <v>127851981.03999999</v>
      </c>
      <c r="C10" s="335">
        <f>C5+C6-C7+C8+C9</f>
        <v>149088068.87749892</v>
      </c>
      <c r="D10" s="335">
        <f>D5+D6-D7+D8+D9</f>
        <v>184465281.85160217</v>
      </c>
      <c r="E10" s="335">
        <f>E5+E6-E7+E8+E9</f>
        <v>239102457.5943796</v>
      </c>
      <c r="F10" s="335">
        <f>F5+F6-F7+F8+F9</f>
        <v>314773250.40583122</v>
      </c>
      <c r="G10" s="335">
        <f>G5+G6-G7+G8+G9</f>
        <v>413428680.015957</v>
      </c>
      <c r="H10" s="335">
        <f t="shared" ref="H10" si="1">H5+H6-H7+H8+H9</f>
        <v>446239777.57095706</v>
      </c>
    </row>
    <row r="11" spans="1:9" ht="15.75" x14ac:dyDescent="0.25">
      <c r="A11" s="328" t="s">
        <v>77</v>
      </c>
      <c r="B11" s="336"/>
      <c r="C11" s="337"/>
      <c r="D11" s="337"/>
      <c r="E11" s="337"/>
      <c r="F11" s="337"/>
      <c r="G11" s="337"/>
      <c r="H11" s="337"/>
    </row>
    <row r="12" spans="1:9" ht="15.75" x14ac:dyDescent="0.25">
      <c r="A12" s="329" t="s">
        <v>78</v>
      </c>
      <c r="B12" s="332">
        <v>0</v>
      </c>
      <c r="C12" s="333"/>
      <c r="D12" s="333"/>
      <c r="E12" s="333"/>
      <c r="F12" s="333"/>
      <c r="G12" s="333"/>
      <c r="H12" s="333"/>
    </row>
    <row r="13" spans="1:9" ht="15.75" x14ac:dyDescent="0.25">
      <c r="A13" s="329" t="s">
        <v>79</v>
      </c>
      <c r="B13" s="332">
        <f>'Mapa de Fto'!B4</f>
        <v>76711188.623999998</v>
      </c>
      <c r="C13" s="333">
        <f>B13</f>
        <v>76711188.623999998</v>
      </c>
      <c r="D13" s="333">
        <f>B13</f>
        <v>76711188.623999998</v>
      </c>
      <c r="E13" s="333">
        <f>B13</f>
        <v>76711188.623999998</v>
      </c>
      <c r="F13" s="333">
        <f>B13</f>
        <v>76711188.623999998</v>
      </c>
      <c r="G13" s="333">
        <f t="shared" ref="G13:H13" si="2">C13</f>
        <v>76711188.623999998</v>
      </c>
      <c r="H13" s="333">
        <f t="shared" si="2"/>
        <v>76711188.623999998</v>
      </c>
      <c r="I13" s="93"/>
    </row>
    <row r="14" spans="1:9" ht="15.75" x14ac:dyDescent="0.25">
      <c r="A14" s="329" t="s">
        <v>80</v>
      </c>
      <c r="B14" s="332"/>
      <c r="C14" s="333">
        <f>C10-C13-C15-C22</f>
        <v>-33436547.11506024</v>
      </c>
      <c r="D14" s="333">
        <f>D10-D13-D15-D22</f>
        <v>-9231134.2896172181</v>
      </c>
      <c r="E14" s="333">
        <f>E10-E13-E15-E22</f>
        <v>32263514.304499991</v>
      </c>
      <c r="F14" s="333">
        <f>F10-F13-F15-F22</f>
        <v>92623980.267291427</v>
      </c>
      <c r="G14" s="333">
        <f>G10-G13-G15-G22</f>
        <v>173584503.35875696</v>
      </c>
      <c r="H14" s="333">
        <f t="shared" ref="H14" si="3">H10-H13-H15-H22</f>
        <v>369528588.94695705</v>
      </c>
      <c r="I14" s="93"/>
    </row>
    <row r="15" spans="1:9" ht="15.75" x14ac:dyDescent="0.25">
      <c r="A15" s="329" t="s">
        <v>81</v>
      </c>
      <c r="B15" s="332"/>
      <c r="C15" s="332">
        <f>'Mapa de Exploração'!D15</f>
        <v>54672634.952559166</v>
      </c>
      <c r="D15" s="332">
        <f>'Mapa de Exploração'!E15</f>
        <v>76072593.584419385</v>
      </c>
      <c r="E15" s="332">
        <f>'Mapa de Exploração'!F15</f>
        <v>99443279.216279596</v>
      </c>
      <c r="F15" s="332">
        <f>'Mapa de Exploração'!G15</f>
        <v>124981764.54813978</v>
      </c>
      <c r="G15" s="332">
        <f>'Mapa de Exploração'!H15</f>
        <v>152904829.55000001</v>
      </c>
      <c r="H15" s="332">
        <f>'Mapa de Exploração'!I15</f>
        <v>0</v>
      </c>
      <c r="I15" s="93"/>
    </row>
    <row r="16" spans="1:9" ht="15.75" x14ac:dyDescent="0.25">
      <c r="A16" s="330" t="s">
        <v>82</v>
      </c>
      <c r="B16" s="334">
        <f>B13+B14+B15</f>
        <v>76711188.623999998</v>
      </c>
      <c r="C16" s="335">
        <f>C12+C13+C14+C15</f>
        <v>97947276.461498916</v>
      </c>
      <c r="D16" s="335">
        <f>D12+D13+D14+D15</f>
        <v>143552647.91880214</v>
      </c>
      <c r="E16" s="335">
        <f t="shared" ref="E16:F16" si="4">E12+E13+E14+E15</f>
        <v>208417982.14477959</v>
      </c>
      <c r="F16" s="335">
        <f t="shared" si="4"/>
        <v>294316933.43943119</v>
      </c>
      <c r="G16" s="335">
        <f t="shared" ref="G16:H16" si="5">G12+G13+G14+G15</f>
        <v>403200521.53275698</v>
      </c>
      <c r="H16" s="335">
        <f t="shared" si="5"/>
        <v>446239777.57095706</v>
      </c>
      <c r="I16" s="93"/>
    </row>
    <row r="17" spans="1:8" ht="15.75" x14ac:dyDescent="0.25">
      <c r="A17" s="328" t="s">
        <v>83</v>
      </c>
      <c r="B17" s="338"/>
      <c r="C17" s="337"/>
      <c r="D17" s="337"/>
      <c r="E17" s="337"/>
      <c r="F17" s="337"/>
      <c r="G17" s="337"/>
      <c r="H17" s="337"/>
    </row>
    <row r="18" spans="1:8" ht="15.75" x14ac:dyDescent="0.25">
      <c r="A18" s="227" t="s">
        <v>84</v>
      </c>
      <c r="B18" s="329"/>
      <c r="C18" s="339"/>
      <c r="D18" s="339"/>
      <c r="E18" s="339"/>
      <c r="F18" s="339"/>
      <c r="G18" s="339"/>
      <c r="H18" s="339"/>
    </row>
    <row r="19" spans="1:8" ht="15.75" x14ac:dyDescent="0.25">
      <c r="A19" s="329" t="s">
        <v>85</v>
      </c>
      <c r="B19" s="333">
        <f>'Mapa Serviço da Dívida'!G4</f>
        <v>51140792.416000001</v>
      </c>
      <c r="C19" s="333">
        <f>'Mapa Serviço da Dívida'!G5</f>
        <v>40912633.932800002</v>
      </c>
      <c r="D19" s="333">
        <f>'Mapa Serviço da Dívida'!G6</f>
        <v>30684475.449600004</v>
      </c>
      <c r="E19" s="333">
        <f>'Mapa Serviço da Dívida'!G7</f>
        <v>20456316.966400005</v>
      </c>
      <c r="F19" s="333">
        <f>'Mapa Serviço da Dívida'!G8</f>
        <v>10228158.483200004</v>
      </c>
      <c r="G19" s="333">
        <f>'Mapa Serviço da Dívida'!G9</f>
        <v>0</v>
      </c>
      <c r="H19" s="333">
        <f>'Mapa Serviço da Dívida'!G10</f>
        <v>0</v>
      </c>
    </row>
    <row r="20" spans="1:8" ht="15.75" x14ac:dyDescent="0.25">
      <c r="A20" s="227" t="s">
        <v>86</v>
      </c>
      <c r="B20" s="329"/>
      <c r="C20" s="339"/>
      <c r="D20" s="339"/>
      <c r="E20" s="339"/>
      <c r="F20" s="339"/>
      <c r="G20" s="339"/>
      <c r="H20" s="339"/>
    </row>
    <row r="21" spans="1:8" ht="15.75" x14ac:dyDescent="0.25">
      <c r="A21" s="329" t="s">
        <v>87</v>
      </c>
      <c r="B21" s="332">
        <f>'Mapa Serviço da Dívida'!E4</f>
        <v>0</v>
      </c>
      <c r="C21" s="332">
        <f>'Mapa Serviço da Dívida'!E5</f>
        <v>10228158.483200001</v>
      </c>
      <c r="D21" s="332">
        <f>'Mapa Serviço da Dívida'!E6</f>
        <v>10228158.483200001</v>
      </c>
      <c r="E21" s="332">
        <f>'Mapa Serviço da Dívida'!E7</f>
        <v>10228158.483200001</v>
      </c>
      <c r="F21" s="332">
        <f>'Mapa Serviço da Dívida'!E8</f>
        <v>10228158.483200001</v>
      </c>
      <c r="G21" s="332">
        <f>'Mapa Serviço da Dívida'!E9</f>
        <v>10228158.483200001</v>
      </c>
      <c r="H21" s="332">
        <f>'Mapa Serviço da Dívida'!E10</f>
        <v>0</v>
      </c>
    </row>
    <row r="22" spans="1:8" ht="15.75" x14ac:dyDescent="0.25">
      <c r="A22" s="329" t="s">
        <v>88</v>
      </c>
      <c r="B22" s="340">
        <f>B19+B21</f>
        <v>51140792.416000001</v>
      </c>
      <c r="C22" s="341">
        <f>C19+C21</f>
        <v>51140792.416000001</v>
      </c>
      <c r="D22" s="341">
        <f>D19+D21</f>
        <v>40912633.932800002</v>
      </c>
      <c r="E22" s="341">
        <f t="shared" ref="E22:F22" si="6">E19+E21</f>
        <v>30684475.449600004</v>
      </c>
      <c r="F22" s="341">
        <f t="shared" si="6"/>
        <v>20456316.966400005</v>
      </c>
      <c r="G22" s="341">
        <f t="shared" ref="G22:H22" si="7">G19+G21</f>
        <v>10228158.483200001</v>
      </c>
      <c r="H22" s="341">
        <f t="shared" si="7"/>
        <v>0</v>
      </c>
    </row>
    <row r="23" spans="1:8" ht="15.75" x14ac:dyDescent="0.25">
      <c r="A23" s="331" t="s">
        <v>89</v>
      </c>
      <c r="B23" s="326">
        <f>B22+B16</f>
        <v>127851981.03999999</v>
      </c>
      <c r="C23" s="232">
        <f t="shared" ref="C23:F23" si="8">C22+C16</f>
        <v>149088068.87749892</v>
      </c>
      <c r="D23" s="232">
        <f t="shared" si="8"/>
        <v>184465281.85160214</v>
      </c>
      <c r="E23" s="232">
        <f t="shared" si="8"/>
        <v>239102457.5943796</v>
      </c>
      <c r="F23" s="232">
        <f t="shared" si="8"/>
        <v>314773250.40583122</v>
      </c>
      <c r="G23" s="232">
        <f>G22+G16</f>
        <v>413428680.015957</v>
      </c>
      <c r="H23" s="232">
        <f>H22+H16</f>
        <v>446239777.57095706</v>
      </c>
    </row>
    <row r="24" spans="1:8" x14ac:dyDescent="0.25">
      <c r="A24" s="11"/>
      <c r="B24" s="11"/>
      <c r="C24" s="11"/>
      <c r="D24" s="11"/>
      <c r="E24" s="11"/>
      <c r="F24" s="11"/>
      <c r="G24" s="11"/>
    </row>
    <row r="25" spans="1:8" x14ac:dyDescent="0.25">
      <c r="A25" s="11"/>
      <c r="B25" s="11"/>
      <c r="C25" s="94"/>
      <c r="D25" s="94"/>
      <c r="E25" s="94"/>
      <c r="F25" s="94"/>
      <c r="G25" s="94"/>
    </row>
    <row r="26" spans="1:8" x14ac:dyDescent="0.25">
      <c r="A26" s="11"/>
      <c r="B26" s="11"/>
      <c r="C26" s="11"/>
      <c r="D26" s="11"/>
      <c r="E26" s="11"/>
      <c r="F26" s="11"/>
      <c r="G26" s="11"/>
    </row>
    <row r="27" spans="1:8" x14ac:dyDescent="0.25">
      <c r="A27" s="11"/>
      <c r="B27" s="11"/>
      <c r="C27" s="11"/>
      <c r="D27" s="94"/>
      <c r="E27" s="94"/>
      <c r="F27" s="94"/>
      <c r="G27" s="94"/>
    </row>
    <row r="28" spans="1:8" x14ac:dyDescent="0.25">
      <c r="A28" s="11"/>
      <c r="B28" s="11"/>
      <c r="C28" s="11"/>
      <c r="D28" s="11"/>
      <c r="E28" s="11"/>
      <c r="F28" s="11"/>
      <c r="G28" s="11"/>
    </row>
    <row r="29" spans="1:8" x14ac:dyDescent="0.25">
      <c r="A29" s="11"/>
      <c r="B29" s="11"/>
      <c r="C29" s="11"/>
      <c r="D29" s="11"/>
      <c r="E29" s="11"/>
      <c r="F29" s="11"/>
      <c r="G29" s="11"/>
    </row>
    <row r="46" spans="9:9" x14ac:dyDescent="0.25">
      <c r="I46" s="11"/>
    </row>
  </sheetData>
  <mergeCells count="1">
    <mergeCell ref="A1:H1"/>
  </mergeCells>
  <conditionalFormatting sqref="B2">
    <cfRule type="dataBar" priority="37">
      <dataBar>
        <cfvo type="min"/>
        <cfvo type="max"/>
        <color rgb="FF63C384"/>
      </dataBar>
    </cfRule>
  </conditionalFormatting>
  <conditionalFormatting sqref="B2:H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{741F2024-7B44-4052-AEDB-015CAC440014}</x14:id>
        </ext>
      </extLst>
    </cfRule>
  </conditionalFormatting>
  <conditionalFormatting sqref="C2">
    <cfRule type="dataBar" priority="35">
      <dataBar>
        <cfvo type="min"/>
        <cfvo type="max"/>
        <color rgb="FF63C384"/>
      </dataBar>
    </cfRule>
  </conditionalFormatting>
  <conditionalFormatting sqref="D2">
    <cfRule type="dataBar" priority="36">
      <dataBar>
        <cfvo type="min"/>
        <cfvo type="max"/>
        <color rgb="FF63C384"/>
      </dataBar>
    </cfRule>
  </conditionalFormatting>
  <conditionalFormatting sqref="E2">
    <cfRule type="dataBar" priority="38">
      <dataBar>
        <cfvo type="min"/>
        <cfvo type="max"/>
        <color rgb="FF63C384"/>
      </dataBar>
    </cfRule>
  </conditionalFormatting>
  <conditionalFormatting sqref="F2">
    <cfRule type="dataBar" priority="39">
      <dataBar>
        <cfvo type="min"/>
        <cfvo type="max"/>
        <color rgb="FF63C384"/>
      </dataBar>
    </cfRule>
  </conditionalFormatting>
  <conditionalFormatting sqref="G2">
    <cfRule type="dataBar" priority="33">
      <dataBar>
        <cfvo type="min"/>
        <cfvo type="max"/>
        <color rgb="FF63C384"/>
      </dataBar>
    </cfRule>
  </conditionalFormatting>
  <conditionalFormatting sqref="H2">
    <cfRule type="dataBar" priority="34">
      <dataBar>
        <cfvo type="min"/>
        <cfvo type="max"/>
        <color rgb="FF63C384"/>
      </dataBar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2024-7B44-4052-AEDB-015CAC44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00"/>
  </sheetPr>
  <dimension ref="A1:J46"/>
  <sheetViews>
    <sheetView zoomScale="59" zoomScaleNormal="59" workbookViewId="0">
      <selection activeCell="B22" sqref="B22"/>
    </sheetView>
  </sheetViews>
  <sheetFormatPr defaultColWidth="9" defaultRowHeight="15" x14ac:dyDescent="0.25"/>
  <cols>
    <col min="1" max="1" width="53.42578125" customWidth="1"/>
    <col min="2" max="2" width="25" customWidth="1"/>
    <col min="3" max="6" width="24.28515625" customWidth="1"/>
    <col min="7" max="7" width="26.28515625" customWidth="1"/>
    <col min="8" max="8" width="27.42578125" customWidth="1"/>
    <col min="9" max="256" width="10" customWidth="1"/>
  </cols>
  <sheetData>
    <row r="1" spans="1:8" ht="18.75" x14ac:dyDescent="0.3">
      <c r="A1" s="442" t="s">
        <v>264</v>
      </c>
      <c r="B1" s="443"/>
      <c r="C1" s="443"/>
      <c r="D1" s="443"/>
      <c r="E1" s="443"/>
      <c r="F1" s="443"/>
      <c r="G1" s="233"/>
      <c r="H1" s="233"/>
    </row>
    <row r="2" spans="1:8" ht="15.75" x14ac:dyDescent="0.25">
      <c r="A2" s="234" t="s">
        <v>16</v>
      </c>
      <c r="B2" s="234">
        <f>B.Previsional!B2</f>
        <v>2025</v>
      </c>
      <c r="C2" s="234">
        <f>B.Previsional!C2</f>
        <v>2026</v>
      </c>
      <c r="D2" s="234">
        <f>B.Previsional!D2</f>
        <v>2027</v>
      </c>
      <c r="E2" s="234">
        <f>B.Previsional!E2</f>
        <v>2028</v>
      </c>
      <c r="F2" s="234">
        <f>B.Previsional!F2</f>
        <v>2029</v>
      </c>
      <c r="G2" s="234">
        <f>B.Previsional!G2</f>
        <v>2030</v>
      </c>
      <c r="H2" s="234">
        <f>B.Previsional!H2</f>
        <v>2031</v>
      </c>
    </row>
    <row r="3" spans="1:8" ht="15.75" x14ac:dyDescent="0.25">
      <c r="A3" s="235" t="s">
        <v>174</v>
      </c>
      <c r="B3" s="236"/>
      <c r="C3" s="236"/>
      <c r="D3" s="236"/>
      <c r="E3" s="236"/>
      <c r="F3" s="236"/>
      <c r="G3" s="236"/>
      <c r="H3" s="236"/>
    </row>
    <row r="4" spans="1:8" ht="15.75" x14ac:dyDescent="0.25">
      <c r="A4" s="228" t="s">
        <v>175</v>
      </c>
      <c r="B4" s="229">
        <f>'Mapa de Exploração'!B3</f>
        <v>0</v>
      </c>
      <c r="C4" s="229">
        <f>'Mapa de Exploração'!C3</f>
        <v>293700000</v>
      </c>
      <c r="D4" s="229">
        <f>'Mapa de Exploração'!D3</f>
        <v>323070000.00000006</v>
      </c>
      <c r="E4" s="229">
        <f>'Mapa de Exploração'!E3</f>
        <v>355377000.00000006</v>
      </c>
      <c r="F4" s="229">
        <f>'Mapa de Exploração'!F3</f>
        <v>390914700.00000006</v>
      </c>
      <c r="G4" s="229">
        <f>'Mapa de Exploração'!G3</f>
        <v>430006170</v>
      </c>
      <c r="H4" s="229">
        <f>'Mapa de Exploração'!H3</f>
        <v>473006787</v>
      </c>
    </row>
    <row r="5" spans="1:8" ht="15.75" x14ac:dyDescent="0.25">
      <c r="A5" s="228" t="s">
        <v>176</v>
      </c>
      <c r="B5" s="229">
        <f>'Mapa de Exploração'!B5</f>
        <v>0</v>
      </c>
      <c r="C5" s="229">
        <f>'Mapa de Exploração'!C5</f>
        <v>222343132</v>
      </c>
      <c r="D5" s="229">
        <f>'Mapa de Exploração'!D5</f>
        <v>222343132</v>
      </c>
      <c r="E5" s="229">
        <f>'Mapa de Exploração'!E5</f>
        <v>222343132</v>
      </c>
      <c r="F5" s="229">
        <f>'Mapa de Exploração'!F5</f>
        <v>222343132</v>
      </c>
      <c r="G5" s="229">
        <f>'Mapa de Exploração'!G5</f>
        <v>222343132</v>
      </c>
      <c r="H5" s="229">
        <f>'Mapa de Exploração'!H5</f>
        <v>222343132</v>
      </c>
    </row>
    <row r="6" spans="1:8" ht="15.75" x14ac:dyDescent="0.25">
      <c r="A6" s="237" t="s">
        <v>177</v>
      </c>
      <c r="B6" s="238">
        <f t="shared" ref="B6:F6" si="0">B4-B5</f>
        <v>0</v>
      </c>
      <c r="C6" s="238">
        <f t="shared" si="0"/>
        <v>71356868</v>
      </c>
      <c r="D6" s="238">
        <f t="shared" si="0"/>
        <v>100726868.00000006</v>
      </c>
      <c r="E6" s="238">
        <f t="shared" si="0"/>
        <v>133033868.00000006</v>
      </c>
      <c r="F6" s="238">
        <f t="shared" si="0"/>
        <v>168571568.00000006</v>
      </c>
      <c r="G6" s="238">
        <f t="shared" ref="G6:H6" si="1">G4-G5</f>
        <v>207663038</v>
      </c>
      <c r="H6" s="238">
        <f t="shared" si="1"/>
        <v>250663655</v>
      </c>
    </row>
    <row r="7" spans="1:8" ht="15.75" x14ac:dyDescent="0.25">
      <c r="A7" s="235" t="s">
        <v>178</v>
      </c>
      <c r="B7" s="239"/>
      <c r="C7" s="239"/>
      <c r="D7" s="239"/>
      <c r="E7" s="239"/>
      <c r="F7" s="239"/>
      <c r="G7" s="239"/>
      <c r="H7" s="239"/>
    </row>
    <row r="8" spans="1:8" ht="15.75" x14ac:dyDescent="0.25">
      <c r="A8" s="230" t="s">
        <v>179</v>
      </c>
      <c r="B8" s="231">
        <f t="shared" ref="B8:F8" si="2">SUM(B9:B11)</f>
        <v>0</v>
      </c>
      <c r="C8" s="231">
        <f t="shared" si="2"/>
        <v>0</v>
      </c>
      <c r="D8" s="231">
        <f t="shared" si="2"/>
        <v>0</v>
      </c>
      <c r="E8" s="231">
        <f t="shared" si="2"/>
        <v>0</v>
      </c>
      <c r="F8" s="231">
        <f t="shared" si="2"/>
        <v>0</v>
      </c>
      <c r="G8" s="231">
        <f t="shared" ref="G8:H8" si="3">SUM(G9:G11)</f>
        <v>0</v>
      </c>
      <c r="H8" s="231">
        <f t="shared" si="3"/>
        <v>0</v>
      </c>
    </row>
    <row r="9" spans="1:8" ht="15.75" x14ac:dyDescent="0.25">
      <c r="A9" s="228" t="s">
        <v>180</v>
      </c>
      <c r="B9" s="229">
        <v>0</v>
      </c>
      <c r="C9" s="229">
        <v>0</v>
      </c>
      <c r="D9" s="229">
        <v>0</v>
      </c>
      <c r="E9" s="229">
        <v>0</v>
      </c>
      <c r="F9" s="229">
        <v>0</v>
      </c>
      <c r="G9" s="229">
        <v>0</v>
      </c>
      <c r="H9" s="229">
        <v>0</v>
      </c>
    </row>
    <row r="10" spans="1:8" ht="15.75" x14ac:dyDescent="0.25">
      <c r="A10" s="228" t="s">
        <v>181</v>
      </c>
      <c r="B10" s="229">
        <v>0</v>
      </c>
      <c r="C10" s="229">
        <v>0</v>
      </c>
      <c r="D10" s="229">
        <v>0</v>
      </c>
      <c r="E10" s="229">
        <v>0</v>
      </c>
      <c r="F10" s="229">
        <v>0</v>
      </c>
      <c r="G10" s="229">
        <v>0</v>
      </c>
      <c r="H10" s="229">
        <v>0</v>
      </c>
    </row>
    <row r="11" spans="1:8" ht="15.75" x14ac:dyDescent="0.25">
      <c r="A11" s="228" t="s">
        <v>182</v>
      </c>
      <c r="B11" s="229">
        <v>0</v>
      </c>
      <c r="C11" s="229">
        <v>0</v>
      </c>
      <c r="D11" s="229">
        <v>0</v>
      </c>
      <c r="E11" s="229">
        <v>0</v>
      </c>
      <c r="F11" s="229">
        <v>0</v>
      </c>
      <c r="G11" s="229">
        <v>0</v>
      </c>
      <c r="H11" s="229">
        <v>0</v>
      </c>
    </row>
    <row r="12" spans="1:8" ht="15.75" x14ac:dyDescent="0.25">
      <c r="A12" s="235" t="s">
        <v>183</v>
      </c>
      <c r="B12" s="240">
        <f t="shared" ref="B12:F12" si="4">SUM(B13:B15)</f>
        <v>122763660</v>
      </c>
      <c r="C12" s="240">
        <f>SUM(C13:C15)</f>
        <v>3600000</v>
      </c>
      <c r="D12" s="240">
        <f t="shared" si="4"/>
        <v>3600000</v>
      </c>
      <c r="E12" s="240">
        <f t="shared" si="4"/>
        <v>3600000</v>
      </c>
      <c r="F12" s="240">
        <f t="shared" si="4"/>
        <v>3600000</v>
      </c>
      <c r="G12" s="240">
        <f t="shared" ref="G12:H12" si="5">SUM(G13:G15)</f>
        <v>3600000</v>
      </c>
      <c r="H12" s="240">
        <f t="shared" si="5"/>
        <v>3600000</v>
      </c>
    </row>
    <row r="13" spans="1:8" ht="15.75" x14ac:dyDescent="0.25">
      <c r="A13" s="228" t="s">
        <v>184</v>
      </c>
      <c r="B13" s="229">
        <v>0</v>
      </c>
      <c r="C13" s="229">
        <v>0</v>
      </c>
      <c r="D13" s="229">
        <v>0</v>
      </c>
      <c r="E13" s="229">
        <v>0</v>
      </c>
      <c r="F13" s="229">
        <v>0</v>
      </c>
      <c r="G13" s="229">
        <v>0</v>
      </c>
      <c r="H13" s="229">
        <v>0</v>
      </c>
    </row>
    <row r="14" spans="1:8" ht="15.75" x14ac:dyDescent="0.25">
      <c r="A14" s="228" t="s">
        <v>185</v>
      </c>
      <c r="B14" s="229">
        <f>'Mapa de Investimento'!B11+'Mapa de Investimento'!B16</f>
        <v>119163660</v>
      </c>
      <c r="C14" s="229">
        <f>'Mapa de Investimento'!C11+'Mapa de Investimento'!C16</f>
        <v>0</v>
      </c>
      <c r="D14" s="229">
        <f>'Mapa de Investimento'!D11+'Mapa de Investimento'!D16</f>
        <v>0</v>
      </c>
      <c r="E14" s="229">
        <f>'Mapa de Investimento'!E11+'Mapa de Investimento'!E16</f>
        <v>0</v>
      </c>
      <c r="F14" s="229">
        <f>'Mapa de Investimento'!F11+'Mapa de Investimento'!F16</f>
        <v>0</v>
      </c>
      <c r="G14" s="229">
        <f>'Mapa de Investimento'!G11+'Mapa de Investimento'!G16</f>
        <v>0</v>
      </c>
      <c r="H14" s="229">
        <f>'Mapa de Investimento'!H11+'Mapa de Investimento'!H16</f>
        <v>0</v>
      </c>
    </row>
    <row r="15" spans="1:8" ht="15.75" x14ac:dyDescent="0.25">
      <c r="A15" s="228" t="s">
        <v>186</v>
      </c>
      <c r="B15" s="229">
        <f>'Mapa de Investimento'!B18-'Mapa de Investimento'!B20</f>
        <v>3599999.9999999991</v>
      </c>
      <c r="C15" s="229">
        <f>'Mapa de Investimento'!C18-'Mapa de Investimento'!C20</f>
        <v>3600000</v>
      </c>
      <c r="D15" s="229">
        <f>'Mapa de Investimento'!D18-'Mapa de Investimento'!D20</f>
        <v>3600000</v>
      </c>
      <c r="E15" s="229">
        <f>'Mapa de Investimento'!E18-'Mapa de Investimento'!E20</f>
        <v>3600000</v>
      </c>
      <c r="F15" s="229">
        <f>'Mapa de Investimento'!F18-'Mapa de Investimento'!F20</f>
        <v>3600000</v>
      </c>
      <c r="G15" s="229">
        <f>'Mapa de Investimento'!G18-'Mapa de Investimento'!G20</f>
        <v>3600000</v>
      </c>
      <c r="H15" s="229">
        <f>'Mapa de Investimento'!H18-'Mapa de Investimento'!H20</f>
        <v>3600000</v>
      </c>
    </row>
    <row r="16" spans="1:8" ht="15.75" x14ac:dyDescent="0.25">
      <c r="A16" s="237" t="s">
        <v>192</v>
      </c>
      <c r="B16" s="238">
        <f t="shared" ref="B16:F16" si="6">B8-B12</f>
        <v>-122763660</v>
      </c>
      <c r="C16" s="238">
        <f t="shared" si="6"/>
        <v>-3600000</v>
      </c>
      <c r="D16" s="238">
        <f t="shared" si="6"/>
        <v>-3600000</v>
      </c>
      <c r="E16" s="238">
        <f t="shared" si="6"/>
        <v>-3600000</v>
      </c>
      <c r="F16" s="238">
        <f t="shared" si="6"/>
        <v>-3600000</v>
      </c>
      <c r="G16" s="238">
        <f t="shared" ref="G16:H16" si="7">G8-G12</f>
        <v>-3600000</v>
      </c>
      <c r="H16" s="238">
        <f t="shared" si="7"/>
        <v>-3600000</v>
      </c>
    </row>
    <row r="17" spans="1:8" ht="15.75" x14ac:dyDescent="0.25">
      <c r="A17" s="235" t="s">
        <v>187</v>
      </c>
      <c r="B17" s="239"/>
      <c r="C17" s="239"/>
      <c r="D17" s="239"/>
      <c r="E17" s="239"/>
      <c r="F17" s="239"/>
      <c r="G17" s="239"/>
      <c r="H17" s="239"/>
    </row>
    <row r="18" spans="1:8" ht="15.75" x14ac:dyDescent="0.25">
      <c r="A18" s="228" t="s">
        <v>188</v>
      </c>
      <c r="B18" s="229">
        <f t="shared" ref="B18:F18" si="8">SUM(B19:B20)</f>
        <v>127851981.03999999</v>
      </c>
      <c r="C18" s="229">
        <f t="shared" si="8"/>
        <v>0</v>
      </c>
      <c r="D18" s="229">
        <f t="shared" si="8"/>
        <v>0</v>
      </c>
      <c r="E18" s="229">
        <f t="shared" si="8"/>
        <v>0</v>
      </c>
      <c r="F18" s="229">
        <f t="shared" si="8"/>
        <v>0</v>
      </c>
      <c r="G18" s="229">
        <f t="shared" ref="G18:H18" si="9">SUM(G19:G20)</f>
        <v>0</v>
      </c>
      <c r="H18" s="229">
        <f t="shared" si="9"/>
        <v>0</v>
      </c>
    </row>
    <row r="19" spans="1:8" ht="15.75" x14ac:dyDescent="0.25">
      <c r="A19" s="228" t="s">
        <v>189</v>
      </c>
      <c r="B19" s="229">
        <f>SUM(MOAF!B8:B10)</f>
        <v>51140792.416000001</v>
      </c>
      <c r="C19" s="229">
        <f>SUM(MOAF!C8:C10)</f>
        <v>0</v>
      </c>
      <c r="D19" s="229">
        <f>SUM(MOAF!D8:D10)</f>
        <v>0</v>
      </c>
      <c r="E19" s="229">
        <f>SUM(MOAF!E8:E10)</f>
        <v>0</v>
      </c>
      <c r="F19" s="229">
        <f>SUM(MOAF!F8:F10)</f>
        <v>0</v>
      </c>
      <c r="G19" s="229">
        <f>SUM(MOAF!G8:G10)</f>
        <v>0</v>
      </c>
      <c r="H19" s="229">
        <f>SUM(MOAF!H8:H10)</f>
        <v>0</v>
      </c>
    </row>
    <row r="20" spans="1:8" ht="15.75" x14ac:dyDescent="0.25">
      <c r="A20" s="228" t="s">
        <v>190</v>
      </c>
      <c r="B20" s="229">
        <f>MOAF!B6</f>
        <v>76711188.623999998</v>
      </c>
      <c r="C20" s="229">
        <f>MOAF!C6</f>
        <v>0</v>
      </c>
      <c r="D20" s="229">
        <f>MOAF!D6</f>
        <v>0</v>
      </c>
      <c r="E20" s="229">
        <f>MOAF!E6</f>
        <v>0</v>
      </c>
      <c r="F20" s="229">
        <f>MOAF!F6</f>
        <v>0</v>
      </c>
      <c r="G20" s="229">
        <f>MOAF!G6</f>
        <v>0</v>
      </c>
      <c r="H20" s="229">
        <f>MOAF!H6</f>
        <v>0</v>
      </c>
    </row>
    <row r="21" spans="1:8" ht="15.75" x14ac:dyDescent="0.25">
      <c r="A21" s="228" t="s">
        <v>191</v>
      </c>
      <c r="B21" s="229">
        <f t="shared" ref="B21:F21" si="10">SUM(B22:B24)</f>
        <v>0</v>
      </c>
      <c r="C21" s="229">
        <f>SUM(C22:C24)</f>
        <v>24102655.465660799</v>
      </c>
      <c r="D21" s="229">
        <f t="shared" si="10"/>
        <v>26795019.564424559</v>
      </c>
      <c r="E21" s="229">
        <f t="shared" si="10"/>
        <v>26160116.031118419</v>
      </c>
      <c r="F21" s="229">
        <f t="shared" si="10"/>
        <v>25722285.197812282</v>
      </c>
      <c r="G21" s="229">
        <f t="shared" ref="G21:H21" si="11">SUM(G22:G24)</f>
        <v>25501234.334506139</v>
      </c>
      <c r="H21" s="229">
        <f t="shared" si="11"/>
        <v>15290482.955000002</v>
      </c>
    </row>
    <row r="22" spans="1:8" ht="15.75" x14ac:dyDescent="0.25">
      <c r="A22" s="228" t="s">
        <v>193</v>
      </c>
      <c r="B22" s="229">
        <f>SUM(MOAF!B16:B16)</f>
        <v>0</v>
      </c>
      <c r="C22" s="229">
        <f>SUM(MOAF!C16:C16)</f>
        <v>10228158.483200001</v>
      </c>
      <c r="D22" s="229">
        <f>SUM(MOAF!D16:D16)</f>
        <v>10228158.483200001</v>
      </c>
      <c r="E22" s="229">
        <f>SUM(MOAF!E16:E16)</f>
        <v>10228158.483200001</v>
      </c>
      <c r="F22" s="229">
        <f>SUM(MOAF!F16:F16)</f>
        <v>10228158.483200001</v>
      </c>
      <c r="G22" s="229">
        <f>SUM(MOAF!G16:G16)</f>
        <v>10228158.483200001</v>
      </c>
      <c r="H22" s="229">
        <f>SUM(MOAF!H16:H16)</f>
        <v>0</v>
      </c>
    </row>
    <row r="23" spans="1:8" ht="15.75" x14ac:dyDescent="0.25">
      <c r="A23" s="228" t="s">
        <v>194</v>
      </c>
      <c r="B23" s="229">
        <f>'Mapa de Exploração'!B16</f>
        <v>0</v>
      </c>
      <c r="C23" s="229">
        <f>'Mapa de Exploração'!C16</f>
        <v>13874496.982460799</v>
      </c>
      <c r="D23" s="229">
        <f>'Mapa de Exploração'!D16</f>
        <v>11099597.58596864</v>
      </c>
      <c r="E23" s="229">
        <f>'Mapa de Exploração'!E16</f>
        <v>8324698.1894764807</v>
      </c>
      <c r="F23" s="229">
        <f>'Mapa de Exploração'!F16</f>
        <v>5549798.7929843208</v>
      </c>
      <c r="G23" s="229">
        <f>'Mapa de Exploração'!G16</f>
        <v>2774899.3964921609</v>
      </c>
      <c r="H23" s="229">
        <f>'Mapa de Exploração'!H16</f>
        <v>0</v>
      </c>
    </row>
    <row r="24" spans="1:8" ht="15.75" x14ac:dyDescent="0.25">
      <c r="A24" s="228" t="s">
        <v>195</v>
      </c>
      <c r="B24" s="229">
        <f>MOAF!B17</f>
        <v>0</v>
      </c>
      <c r="C24" s="229">
        <f>MOAF!C18</f>
        <v>0</v>
      </c>
      <c r="D24" s="229">
        <f>MOAF!D18</f>
        <v>5467263.4952559173</v>
      </c>
      <c r="E24" s="229">
        <f>MOAF!E18</f>
        <v>7607259.3584419386</v>
      </c>
      <c r="F24" s="229">
        <f>MOAF!F18</f>
        <v>9944327.9216279592</v>
      </c>
      <c r="G24" s="229">
        <f>MOAF!G18</f>
        <v>12498176.45481398</v>
      </c>
      <c r="H24" s="229">
        <f>MOAF!H18</f>
        <v>15290482.955000002</v>
      </c>
    </row>
    <row r="25" spans="1:8" ht="15.75" x14ac:dyDescent="0.25">
      <c r="A25" s="237" t="s">
        <v>196</v>
      </c>
      <c r="B25" s="238">
        <f t="shared" ref="B25:F25" si="12">B18-B21</f>
        <v>127851981.03999999</v>
      </c>
      <c r="C25" s="238">
        <f>C18-C21</f>
        <v>-24102655.465660799</v>
      </c>
      <c r="D25" s="238">
        <f t="shared" si="12"/>
        <v>-26795019.564424559</v>
      </c>
      <c r="E25" s="238">
        <f t="shared" si="12"/>
        <v>-26160116.031118419</v>
      </c>
      <c r="F25" s="238">
        <f t="shared" si="12"/>
        <v>-25722285.197812282</v>
      </c>
      <c r="G25" s="238">
        <f t="shared" ref="G25:H25" si="13">G18-G21</f>
        <v>-25501234.334506139</v>
      </c>
      <c r="H25" s="238">
        <f t="shared" si="13"/>
        <v>-15290482.955000002</v>
      </c>
    </row>
    <row r="26" spans="1:8" ht="15.75" x14ac:dyDescent="0.25">
      <c r="A26" s="228" t="s">
        <v>197</v>
      </c>
      <c r="B26" s="229">
        <f>B6+B16+B25</f>
        <v>5088321.0399999917</v>
      </c>
      <c r="C26" s="229">
        <f>C6+C16+C25</f>
        <v>43654212.534339204</v>
      </c>
      <c r="D26" s="229">
        <f t="shared" ref="D26:F26" si="14">D6+D16+D25</f>
        <v>70331848.4355755</v>
      </c>
      <c r="E26" s="229">
        <f t="shared" si="14"/>
        <v>103273751.96888164</v>
      </c>
      <c r="F26" s="229">
        <f t="shared" si="14"/>
        <v>139249282.80218777</v>
      </c>
      <c r="G26" s="229">
        <f t="shared" ref="G26:H26" si="15">G6+G16+G25</f>
        <v>178561803.66549385</v>
      </c>
      <c r="H26" s="229">
        <f t="shared" si="15"/>
        <v>231773172.04499999</v>
      </c>
    </row>
    <row r="27" spans="1:8" ht="15.75" x14ac:dyDescent="0.25">
      <c r="A27" s="228" t="s">
        <v>198</v>
      </c>
      <c r="B27" s="229">
        <f>MOAF!B187+MOAF!B20</f>
        <v>0</v>
      </c>
      <c r="C27" s="229">
        <f>MOAF!C19</f>
        <v>44364819.837498918</v>
      </c>
      <c r="D27" s="229">
        <f>MOAF!D19</f>
        <v>58505944.974103257</v>
      </c>
      <c r="E27" s="229">
        <f>MOAF!E19</f>
        <v>77765907.742777452</v>
      </c>
      <c r="F27" s="229">
        <f>MOAF!F19</f>
        <v>98799524.811451644</v>
      </c>
      <c r="G27" s="229">
        <f>MOAF!G19</f>
        <v>121784161.61012578</v>
      </c>
      <c r="H27" s="229">
        <f>MOAF!H19</f>
        <v>157143078.595</v>
      </c>
    </row>
    <row r="28" spans="1:8" ht="15.75" x14ac:dyDescent="0.25">
      <c r="A28" s="237" t="s">
        <v>199</v>
      </c>
      <c r="B28" s="238">
        <f>B26+B27</f>
        <v>5088321.0399999917</v>
      </c>
      <c r="C28" s="238">
        <f>C26+C27</f>
        <v>88019032.371838123</v>
      </c>
      <c r="D28" s="238">
        <f>D26+D27</f>
        <v>128837793.40967876</v>
      </c>
      <c r="E28" s="238">
        <f t="shared" ref="E28:F28" si="16">E26+E27</f>
        <v>181039659.71165907</v>
      </c>
      <c r="F28" s="238">
        <f t="shared" si="16"/>
        <v>238048807.61363941</v>
      </c>
      <c r="G28" s="238">
        <f t="shared" ref="G28:H28" si="17">G26+G27</f>
        <v>300345965.27561963</v>
      </c>
      <c r="H28" s="238">
        <f t="shared" si="17"/>
        <v>388916250.63999999</v>
      </c>
    </row>
    <row r="29" spans="1:8" ht="15.75" x14ac:dyDescent="0.25">
      <c r="A29" s="95"/>
      <c r="B29" s="95"/>
      <c r="C29" s="95"/>
      <c r="D29" s="95"/>
      <c r="E29" s="95"/>
      <c r="F29" s="95"/>
      <c r="G29" s="93"/>
    </row>
    <row r="30" spans="1:8" x14ac:dyDescent="0.25">
      <c r="A30" s="93"/>
      <c r="B30" s="93"/>
      <c r="C30" s="93"/>
      <c r="D30" s="93"/>
      <c r="E30" s="93"/>
      <c r="F30" s="93"/>
      <c r="G30" s="93"/>
    </row>
    <row r="31" spans="1:8" x14ac:dyDescent="0.25">
      <c r="A31" s="93"/>
      <c r="B31" s="93"/>
      <c r="C31" s="93"/>
      <c r="D31" s="93"/>
      <c r="E31" s="93"/>
      <c r="F31" s="93"/>
      <c r="G31" s="93"/>
    </row>
    <row r="32" spans="1:8" x14ac:dyDescent="0.25">
      <c r="A32" s="93"/>
      <c r="B32" s="93"/>
      <c r="C32" s="93"/>
      <c r="D32" s="93"/>
      <c r="E32" s="93"/>
      <c r="F32" s="93"/>
      <c r="G32" s="93"/>
    </row>
    <row r="46" spans="10:10" x14ac:dyDescent="0.25">
      <c r="J46" s="11"/>
    </row>
  </sheetData>
  <mergeCells count="1">
    <mergeCell ref="A1:F1"/>
  </mergeCells>
  <conditionalFormatting sqref="B2">
    <cfRule type="dataBar" priority="8">
      <dataBar>
        <cfvo type="min"/>
        <cfvo type="max"/>
        <color rgb="FF63C384"/>
      </dataBar>
    </cfRule>
  </conditionalFormatting>
  <conditionalFormatting sqref="B2:H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{9DB1CFAC-5F7A-4A99-92FF-706F784B1C78}</x14:id>
        </ext>
      </extLst>
    </cfRule>
  </conditionalFormatting>
  <conditionalFormatting sqref="C2">
    <cfRule type="dataBar" priority="6">
      <dataBar>
        <cfvo type="min"/>
        <cfvo type="max"/>
        <color rgb="FF63C384"/>
      </dataBar>
    </cfRule>
  </conditionalFormatting>
  <conditionalFormatting sqref="D2">
    <cfRule type="dataBar" priority="7">
      <dataBar>
        <cfvo type="min"/>
        <cfvo type="max"/>
        <color rgb="FF63C384"/>
      </dataBar>
    </cfRule>
  </conditionalFormatting>
  <conditionalFormatting sqref="E2">
    <cfRule type="dataBar" priority="9">
      <dataBar>
        <cfvo type="min"/>
        <cfvo type="max"/>
        <color rgb="FF63C384"/>
      </dataBar>
    </cfRule>
  </conditionalFormatting>
  <conditionalFormatting sqref="F2">
    <cfRule type="dataBar" priority="10">
      <dataBar>
        <cfvo type="min"/>
        <cfvo type="max"/>
        <color rgb="FF63C384"/>
      </dataBar>
    </cfRule>
  </conditionalFormatting>
  <conditionalFormatting sqref="G2">
    <cfRule type="dataBar" priority="4">
      <dataBar>
        <cfvo type="min"/>
        <cfvo type="max"/>
        <color rgb="FF63C384"/>
      </dataBar>
    </cfRule>
  </conditionalFormatting>
  <conditionalFormatting sqref="H2">
    <cfRule type="dataBar" priority="5">
      <dataBar>
        <cfvo type="min"/>
        <cfvo type="max"/>
        <color rgb="FF63C384"/>
      </dataBar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1CFAC-5F7A-4A99-92FF-706F784B1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F5F00"/>
  </sheetPr>
  <dimension ref="A1:H17"/>
  <sheetViews>
    <sheetView zoomScale="90" workbookViewId="0">
      <selection activeCell="D5" sqref="D5"/>
    </sheetView>
  </sheetViews>
  <sheetFormatPr defaultColWidth="9" defaultRowHeight="15" x14ac:dyDescent="0.25"/>
  <cols>
    <col min="1" max="1" width="18.28515625" customWidth="1"/>
    <col min="2" max="2" width="39.42578125" customWidth="1"/>
    <col min="3" max="3" width="16.85546875" customWidth="1"/>
    <col min="4" max="4" width="24.85546875" customWidth="1"/>
    <col min="5" max="5" width="25" customWidth="1"/>
    <col min="6" max="6" width="23.42578125" customWidth="1"/>
    <col min="7" max="7" width="23.7109375" customWidth="1"/>
    <col min="8" max="8" width="23.42578125" customWidth="1"/>
    <col min="9" max="256" width="10" customWidth="1"/>
  </cols>
  <sheetData>
    <row r="1" spans="1:8" ht="18.75" x14ac:dyDescent="0.25">
      <c r="A1" s="444" t="s">
        <v>99</v>
      </c>
      <c r="B1" s="444"/>
      <c r="C1" s="444"/>
      <c r="D1" s="444"/>
      <c r="E1" s="444"/>
      <c r="F1" s="444"/>
      <c r="G1" s="444"/>
      <c r="H1" s="444"/>
    </row>
    <row r="2" spans="1:8" ht="15.75" x14ac:dyDescent="0.25">
      <c r="A2" s="450" t="s">
        <v>0</v>
      </c>
      <c r="B2" s="450" t="s">
        <v>100</v>
      </c>
      <c r="C2" s="445" t="s">
        <v>101</v>
      </c>
      <c r="D2" s="446"/>
      <c r="E2" s="446"/>
      <c r="F2" s="446"/>
      <c r="G2" s="446"/>
      <c r="H2" s="447"/>
    </row>
    <row r="3" spans="1:8" ht="15.75" x14ac:dyDescent="0.25">
      <c r="A3" s="450"/>
      <c r="B3" s="450"/>
      <c r="C3" s="96">
        <v>2019</v>
      </c>
      <c r="D3" s="96">
        <f>C3+1</f>
        <v>2020</v>
      </c>
      <c r="E3" s="96">
        <f>D3+1</f>
        <v>2021</v>
      </c>
      <c r="F3" s="96">
        <f>E3+1</f>
        <v>2022</v>
      </c>
      <c r="G3" s="96">
        <f>F3+1</f>
        <v>2023</v>
      </c>
      <c r="H3" s="96">
        <f>G3+1</f>
        <v>2024</v>
      </c>
    </row>
    <row r="4" spans="1:8" x14ac:dyDescent="0.2">
      <c r="A4" s="449" t="s">
        <v>102</v>
      </c>
      <c r="B4" s="97" t="s">
        <v>103</v>
      </c>
      <c r="C4" s="98">
        <v>0</v>
      </c>
      <c r="D4" s="98">
        <v>0</v>
      </c>
      <c r="E4" s="98">
        <v>0</v>
      </c>
      <c r="F4" s="98">
        <v>0</v>
      </c>
      <c r="G4" s="98">
        <v>0</v>
      </c>
      <c r="H4" s="98">
        <v>0</v>
      </c>
    </row>
    <row r="5" spans="1:8" x14ac:dyDescent="0.2">
      <c r="A5" s="449"/>
      <c r="B5" s="97" t="s">
        <v>45</v>
      </c>
      <c r="C5" s="98"/>
      <c r="D5" s="98" t="e">
        <f>#REF!</f>
        <v>#REF!</v>
      </c>
      <c r="E5" s="98" t="e">
        <f>#REF!</f>
        <v>#REF!</v>
      </c>
      <c r="F5" s="98" t="e">
        <f>#REF!</f>
        <v>#REF!</v>
      </c>
      <c r="G5" s="98" t="e">
        <f>#REF!</f>
        <v>#REF!</v>
      </c>
      <c r="H5" s="98" t="e">
        <f>#REF!</f>
        <v>#REF!</v>
      </c>
    </row>
    <row r="6" spans="1:8" x14ac:dyDescent="0.2">
      <c r="A6" s="449"/>
      <c r="B6" s="97" t="s">
        <v>104</v>
      </c>
      <c r="C6" s="98">
        <v>0</v>
      </c>
      <c r="D6" s="98" t="e">
        <f>'Mapa de Exploração'!C13+'Mapa de Exploração'!#REF!</f>
        <v>#REF!</v>
      </c>
      <c r="E6" s="98" t="e">
        <f>'Mapa de Exploração'!D13+'Mapa de Exploração'!#REF!</f>
        <v>#REF!</v>
      </c>
      <c r="F6" s="98" t="e">
        <f>'Mapa de Exploração'!E13+'Mapa de Exploração'!#REF!</f>
        <v>#REF!</v>
      </c>
      <c r="G6" s="98" t="e">
        <f>'Mapa de Exploração'!F13+'Mapa de Exploração'!#REF!</f>
        <v>#REF!</v>
      </c>
      <c r="H6" s="98" t="e">
        <f>'Mapa de Exploração'!#REF!+'Mapa de Exploração'!#REF!</f>
        <v>#REF!</v>
      </c>
    </row>
    <row r="7" spans="1:8" x14ac:dyDescent="0.2">
      <c r="A7" s="449"/>
      <c r="B7" s="97" t="s">
        <v>105</v>
      </c>
      <c r="C7" s="98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</row>
    <row r="8" spans="1:8" ht="15.75" x14ac:dyDescent="0.25">
      <c r="A8" s="448" t="s">
        <v>9</v>
      </c>
      <c r="B8" s="448"/>
      <c r="C8" s="100">
        <f>SUM(C4:C7)</f>
        <v>0</v>
      </c>
      <c r="D8" s="100" t="e">
        <f>D5+D6</f>
        <v>#REF!</v>
      </c>
      <c r="E8" s="100" t="e">
        <f>SUM(E4:E7)</f>
        <v>#REF!</v>
      </c>
      <c r="F8" s="100" t="e">
        <f>SUM(F4:F7)</f>
        <v>#REF!</v>
      </c>
      <c r="G8" s="100" t="e">
        <f>SUM(G4:G7)</f>
        <v>#REF!</v>
      </c>
      <c r="H8" s="100" t="e">
        <f>SUM(H4:H7)</f>
        <v>#REF!</v>
      </c>
    </row>
    <row r="9" spans="1:8" x14ac:dyDescent="0.2">
      <c r="A9" s="101"/>
      <c r="B9" s="101"/>
      <c r="C9" s="101"/>
      <c r="D9" s="101"/>
      <c r="E9" s="101"/>
      <c r="F9" s="101"/>
      <c r="G9" s="101"/>
      <c r="H9" s="101"/>
    </row>
    <row r="10" spans="1:8" ht="15.75" x14ac:dyDescent="0.25">
      <c r="A10" s="451" t="s">
        <v>106</v>
      </c>
      <c r="B10" s="451"/>
      <c r="C10" s="451"/>
      <c r="D10" s="451"/>
      <c r="E10" s="451"/>
      <c r="F10" s="451"/>
      <c r="G10" s="451"/>
      <c r="H10" s="451"/>
    </row>
    <row r="11" spans="1:8" ht="15.75" x14ac:dyDescent="0.25">
      <c r="A11" s="450" t="s">
        <v>0</v>
      </c>
      <c r="B11" s="450" t="s">
        <v>100</v>
      </c>
      <c r="C11" s="445" t="s">
        <v>101</v>
      </c>
      <c r="D11" s="446"/>
      <c r="E11" s="446"/>
      <c r="F11" s="446"/>
      <c r="G11" s="446"/>
      <c r="H11" s="447"/>
    </row>
    <row r="12" spans="1:8" ht="15.75" x14ac:dyDescent="0.25">
      <c r="A12" s="450"/>
      <c r="B12" s="450"/>
      <c r="C12" s="96">
        <v>2019</v>
      </c>
      <c r="D12" s="96">
        <v>2020</v>
      </c>
      <c r="E12" s="96">
        <f>D12+1</f>
        <v>2021</v>
      </c>
      <c r="F12" s="96">
        <f>E12+1</f>
        <v>2022</v>
      </c>
      <c r="G12" s="96">
        <f>F12+1</f>
        <v>2023</v>
      </c>
      <c r="H12" s="96">
        <f>G12+1</f>
        <v>2024</v>
      </c>
    </row>
    <row r="13" spans="1:8" x14ac:dyDescent="0.2">
      <c r="A13" s="449" t="s">
        <v>107</v>
      </c>
      <c r="B13" s="97" t="s">
        <v>108</v>
      </c>
      <c r="C13" s="98">
        <v>0</v>
      </c>
      <c r="D13" s="98">
        <f>'Mapa custo com pessoal'!D34</f>
        <v>148814400</v>
      </c>
      <c r="E13" s="98">
        <f>'Mapa custo com pessoal'!E34</f>
        <v>148814400</v>
      </c>
      <c r="F13" s="98">
        <f>'Mapa custo com pessoal'!F34</f>
        <v>148814400</v>
      </c>
      <c r="G13" s="98">
        <f>'Mapa custo com pessoal'!G34</f>
        <v>148814400</v>
      </c>
      <c r="H13" s="98">
        <f>'Mapa custo com pessoal'!H34</f>
        <v>148814400</v>
      </c>
    </row>
    <row r="14" spans="1:8" x14ac:dyDescent="0.2">
      <c r="A14" s="449"/>
      <c r="B14" s="97" t="s">
        <v>109</v>
      </c>
      <c r="C14" s="98">
        <v>0</v>
      </c>
      <c r="D14" s="98">
        <f>MOAF!C5</f>
        <v>23128732</v>
      </c>
      <c r="E14" s="98">
        <f>MOAF!D5</f>
        <v>23128732</v>
      </c>
      <c r="F14" s="98">
        <f>MOAF!E5</f>
        <v>23128732</v>
      </c>
      <c r="G14" s="98">
        <f>MOAF!F5</f>
        <v>23128732</v>
      </c>
      <c r="H14" s="98" t="e">
        <f>MOAF!#REF!</f>
        <v>#REF!</v>
      </c>
    </row>
    <row r="15" spans="1:8" x14ac:dyDescent="0.2">
      <c r="A15" s="449"/>
      <c r="B15" s="97" t="s">
        <v>110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</row>
    <row r="16" spans="1:8" x14ac:dyDescent="0.2">
      <c r="A16" s="449"/>
      <c r="B16" s="97" t="s">
        <v>111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</row>
    <row r="17" spans="1:8" ht="15.75" x14ac:dyDescent="0.25">
      <c r="A17" s="448" t="s">
        <v>9</v>
      </c>
      <c r="B17" s="448"/>
      <c r="C17" s="100">
        <f>SUM(C13:C16)</f>
        <v>0</v>
      </c>
      <c r="D17" s="100">
        <f>D13+D14+D15+D16</f>
        <v>171943132</v>
      </c>
      <c r="E17" s="100">
        <f>E13+E14+E15+E16</f>
        <v>171943132</v>
      </c>
      <c r="F17" s="100">
        <f>F13+F14+F15+F16</f>
        <v>171943132</v>
      </c>
      <c r="G17" s="100">
        <f>G13+G14+G15</f>
        <v>171943132</v>
      </c>
      <c r="H17" s="100" t="e">
        <f>H13+H14+H15</f>
        <v>#REF!</v>
      </c>
    </row>
  </sheetData>
  <mergeCells count="12">
    <mergeCell ref="A1:H1"/>
    <mergeCell ref="C2:H2"/>
    <mergeCell ref="A17:B17"/>
    <mergeCell ref="A13:A16"/>
    <mergeCell ref="A11:A12"/>
    <mergeCell ref="B11:B12"/>
    <mergeCell ref="A2:A3"/>
    <mergeCell ref="B2:B3"/>
    <mergeCell ref="A4:A7"/>
    <mergeCell ref="A8:B8"/>
    <mergeCell ref="A10:H10"/>
    <mergeCell ref="C11:H11"/>
  </mergeCells>
  <conditionalFormatting sqref="C3:H3">
    <cfRule type="dataBar" priority="2">
      <dataBar>
        <cfvo type="min"/>
        <cfvo type="max"/>
        <color rgb="FF008AEF"/>
      </dataBar>
    </cfRule>
  </conditionalFormatting>
  <conditionalFormatting sqref="C12:H12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F7F7F"/>
  </sheetPr>
  <dimension ref="A1:J47"/>
  <sheetViews>
    <sheetView zoomScale="65" workbookViewId="0">
      <selection sqref="A1:H17"/>
    </sheetView>
  </sheetViews>
  <sheetFormatPr defaultColWidth="9" defaultRowHeight="15" x14ac:dyDescent="0.25"/>
  <cols>
    <col min="1" max="1" width="36" customWidth="1"/>
    <col min="2" max="2" width="16.85546875" customWidth="1"/>
    <col min="3" max="3" width="30" customWidth="1"/>
    <col min="4" max="4" width="29.85546875" customWidth="1"/>
    <col min="5" max="5" width="27.42578125" customWidth="1"/>
    <col min="6" max="6" width="26.7109375" customWidth="1"/>
    <col min="7" max="7" width="25.85546875" customWidth="1"/>
    <col min="8" max="8" width="25.42578125" customWidth="1"/>
    <col min="9" max="256" width="10" customWidth="1"/>
  </cols>
  <sheetData>
    <row r="1" spans="1:8" ht="19.5" thickBot="1" x14ac:dyDescent="0.3">
      <c r="A1" s="452" t="s">
        <v>327</v>
      </c>
      <c r="B1" s="453"/>
      <c r="C1" s="453"/>
      <c r="D1" s="453"/>
      <c r="E1" s="453"/>
      <c r="F1" s="453"/>
      <c r="G1" s="453"/>
      <c r="H1" s="454"/>
    </row>
    <row r="2" spans="1:8" ht="15.75" x14ac:dyDescent="0.25">
      <c r="A2" s="342" t="s">
        <v>0</v>
      </c>
      <c r="B2" s="343">
        <f>'Mapa de orçamento de tesouraria'!B2</f>
        <v>2025</v>
      </c>
      <c r="C2" s="343">
        <f>'Mapa de orçamento de tesouraria'!C2</f>
        <v>2026</v>
      </c>
      <c r="D2" s="343">
        <f>'Mapa de orçamento de tesouraria'!D2</f>
        <v>2027</v>
      </c>
      <c r="E2" s="343">
        <f>'Mapa de orçamento de tesouraria'!E2</f>
        <v>2028</v>
      </c>
      <c r="F2" s="343">
        <f>'Mapa de orçamento de tesouraria'!F2</f>
        <v>2029</v>
      </c>
      <c r="G2" s="343">
        <f>'Mapa de orçamento de tesouraria'!G2</f>
        <v>2030</v>
      </c>
      <c r="H2" s="343">
        <f>'Mapa de orçamento de tesouraria'!H2</f>
        <v>2031</v>
      </c>
    </row>
    <row r="3" spans="1:8" ht="15.75" x14ac:dyDescent="0.25">
      <c r="A3" s="1" t="s">
        <v>168</v>
      </c>
      <c r="B3" s="350">
        <v>0</v>
      </c>
      <c r="C3" s="344">
        <f>'Mapa de Exploração'!C3</f>
        <v>293700000</v>
      </c>
      <c r="D3" s="344">
        <f>'Mapa de Exploração'!D3</f>
        <v>323070000.00000006</v>
      </c>
      <c r="E3" s="344">
        <f>'Mapa de Exploração'!E3</f>
        <v>355377000.00000006</v>
      </c>
      <c r="F3" s="344">
        <f>'Mapa de Exploração'!F3</f>
        <v>390914700.00000006</v>
      </c>
      <c r="G3" s="344">
        <f>'Mapa de Exploração'!G4</f>
        <v>430006170</v>
      </c>
      <c r="H3" s="344">
        <f>'Mapa de Exploração'!H4</f>
        <v>473006787</v>
      </c>
    </row>
    <row r="4" spans="1:8" ht="15.75" x14ac:dyDescent="0.25">
      <c r="A4" s="1" t="s">
        <v>112</v>
      </c>
      <c r="B4" s="350">
        <v>0</v>
      </c>
      <c r="C4" s="344"/>
      <c r="D4" s="344"/>
      <c r="E4" s="344"/>
      <c r="F4" s="344"/>
      <c r="G4" s="344"/>
      <c r="H4" s="344"/>
    </row>
    <row r="5" spans="1:8" ht="15.75" x14ac:dyDescent="0.25">
      <c r="A5" s="241" t="s">
        <v>113</v>
      </c>
      <c r="B5" s="351">
        <v>0</v>
      </c>
      <c r="C5" s="345">
        <f t="shared" ref="C5:H5" si="0">C3-C4</f>
        <v>293700000</v>
      </c>
      <c r="D5" s="345">
        <f t="shared" si="0"/>
        <v>323070000.00000006</v>
      </c>
      <c r="E5" s="345">
        <f t="shared" si="0"/>
        <v>355377000.00000006</v>
      </c>
      <c r="F5" s="345">
        <f t="shared" si="0"/>
        <v>390914700.00000006</v>
      </c>
      <c r="G5" s="345">
        <f t="shared" si="0"/>
        <v>430006170</v>
      </c>
      <c r="H5" s="345">
        <f t="shared" si="0"/>
        <v>473006787</v>
      </c>
    </row>
    <row r="6" spans="1:8" ht="15.75" x14ac:dyDescent="0.25">
      <c r="A6" s="39" t="s">
        <v>107</v>
      </c>
      <c r="B6" s="352">
        <v>0</v>
      </c>
      <c r="C6" s="346">
        <f>'Mapa de Exploração'!C5</f>
        <v>222343132</v>
      </c>
      <c r="D6" s="346">
        <f>'Mapa de Exploração'!D5</f>
        <v>222343132</v>
      </c>
      <c r="E6" s="346">
        <f>'Mapa de Exploração'!E5</f>
        <v>222343132</v>
      </c>
      <c r="F6" s="346">
        <f>'Mapa de Exploração'!F5</f>
        <v>222343132</v>
      </c>
      <c r="G6" s="346">
        <f>'Mapa de Exploração'!G5</f>
        <v>222343132</v>
      </c>
      <c r="H6" s="346">
        <f>'Mapa de Exploração'!H5</f>
        <v>222343132</v>
      </c>
    </row>
    <row r="7" spans="1:8" ht="15.75" x14ac:dyDescent="0.25">
      <c r="A7" s="241" t="s">
        <v>50</v>
      </c>
      <c r="B7" s="351">
        <v>0</v>
      </c>
      <c r="C7" s="345">
        <f t="shared" ref="C7:H7" si="1">C5-C6</f>
        <v>71356868</v>
      </c>
      <c r="D7" s="345">
        <f t="shared" si="1"/>
        <v>100726868.00000006</v>
      </c>
      <c r="E7" s="345">
        <f t="shared" si="1"/>
        <v>133033868.00000006</v>
      </c>
      <c r="F7" s="345">
        <f t="shared" si="1"/>
        <v>168571568.00000006</v>
      </c>
      <c r="G7" s="345">
        <f t="shared" si="1"/>
        <v>207663038</v>
      </c>
      <c r="H7" s="345">
        <f t="shared" si="1"/>
        <v>250663655</v>
      </c>
    </row>
    <row r="8" spans="1:8" ht="15.75" x14ac:dyDescent="0.25">
      <c r="A8" s="39" t="s">
        <v>114</v>
      </c>
      <c r="B8" s="352">
        <v>0</v>
      </c>
      <c r="C8" s="346">
        <v>0</v>
      </c>
      <c r="D8" s="346">
        <v>0</v>
      </c>
      <c r="E8" s="346">
        <v>0</v>
      </c>
      <c r="F8" s="346">
        <v>0</v>
      </c>
      <c r="G8" s="346">
        <v>0</v>
      </c>
      <c r="H8" s="346">
        <v>0</v>
      </c>
    </row>
    <row r="9" spans="1:8" ht="15.75" x14ac:dyDescent="0.25">
      <c r="A9" s="39" t="s">
        <v>115</v>
      </c>
      <c r="B9" s="352">
        <v>0</v>
      </c>
      <c r="C9" s="346">
        <f>'Mapa Serviço da Dívida'!D5</f>
        <v>13874496.982460799</v>
      </c>
      <c r="D9" s="346">
        <f>'Mapa Serviço da Dívida'!D6</f>
        <v>11099597.58596864</v>
      </c>
      <c r="E9" s="346">
        <f>'Mapa Serviço da Dívida'!D7</f>
        <v>8324698.1894764807</v>
      </c>
      <c r="F9" s="346">
        <f>'Mapa Serviço da Dívida'!D8</f>
        <v>5549798.7929843208</v>
      </c>
      <c r="G9" s="346">
        <f>'Mapa Serviço da Dívida'!D9</f>
        <v>2774899.3964921609</v>
      </c>
      <c r="H9" s="346">
        <f>'Mapa Serviço da Dívida'!D10</f>
        <v>0</v>
      </c>
    </row>
    <row r="10" spans="1:8" ht="15.75" x14ac:dyDescent="0.25">
      <c r="A10" s="241" t="s">
        <v>116</v>
      </c>
      <c r="B10" s="351">
        <v>0</v>
      </c>
      <c r="C10" s="345">
        <f t="shared" ref="C10:H10" si="2">C7-C9</f>
        <v>57482371.017539203</v>
      </c>
      <c r="D10" s="345">
        <f t="shared" si="2"/>
        <v>89627270.414031416</v>
      </c>
      <c r="E10" s="345">
        <f t="shared" si="2"/>
        <v>124709169.81052358</v>
      </c>
      <c r="F10" s="345">
        <f t="shared" si="2"/>
        <v>163021769.20701575</v>
      </c>
      <c r="G10" s="345">
        <f t="shared" si="2"/>
        <v>204888138.60350785</v>
      </c>
      <c r="H10" s="345">
        <f t="shared" si="2"/>
        <v>250663655</v>
      </c>
    </row>
    <row r="11" spans="1:8" ht="15.75" x14ac:dyDescent="0.25">
      <c r="A11" s="39" t="s">
        <v>117</v>
      </c>
      <c r="B11" s="352">
        <v>0</v>
      </c>
      <c r="C11" s="346">
        <v>0</v>
      </c>
      <c r="D11" s="346">
        <v>0</v>
      </c>
      <c r="E11" s="346">
        <v>0</v>
      </c>
      <c r="F11" s="346">
        <v>0</v>
      </c>
      <c r="G11" s="346">
        <v>0</v>
      </c>
      <c r="H11" s="346">
        <v>0</v>
      </c>
    </row>
    <row r="12" spans="1:8" ht="15.75" x14ac:dyDescent="0.25">
      <c r="A12" s="39" t="s">
        <v>118</v>
      </c>
      <c r="B12" s="352">
        <v>0</v>
      </c>
      <c r="C12" s="346">
        <v>0</v>
      </c>
      <c r="D12" s="346">
        <v>0</v>
      </c>
      <c r="E12" s="346">
        <v>0</v>
      </c>
      <c r="F12" s="346">
        <v>0</v>
      </c>
      <c r="G12" s="346">
        <v>0</v>
      </c>
      <c r="H12" s="346">
        <v>0</v>
      </c>
    </row>
    <row r="13" spans="1:8" ht="15.75" x14ac:dyDescent="0.25">
      <c r="A13" s="242" t="s">
        <v>119</v>
      </c>
      <c r="B13" s="351">
        <v>0</v>
      </c>
      <c r="C13" s="345">
        <v>0</v>
      </c>
      <c r="D13" s="345">
        <v>0</v>
      </c>
      <c r="E13" s="345">
        <v>0</v>
      </c>
      <c r="F13" s="345">
        <v>0</v>
      </c>
      <c r="G13" s="345">
        <v>0</v>
      </c>
      <c r="H13" s="345">
        <v>0</v>
      </c>
    </row>
    <row r="14" spans="1:8" ht="15.75" x14ac:dyDescent="0.25">
      <c r="A14" s="241" t="s">
        <v>120</v>
      </c>
      <c r="B14" s="353">
        <v>0</v>
      </c>
      <c r="C14" s="347">
        <f t="shared" ref="C14:H14" si="3">C10</f>
        <v>57482371.017539203</v>
      </c>
      <c r="D14" s="347">
        <f t="shared" si="3"/>
        <v>89627270.414031416</v>
      </c>
      <c r="E14" s="347">
        <f t="shared" si="3"/>
        <v>124709169.81052358</v>
      </c>
      <c r="F14" s="347">
        <f t="shared" si="3"/>
        <v>163021769.20701575</v>
      </c>
      <c r="G14" s="347">
        <f t="shared" si="3"/>
        <v>204888138.60350785</v>
      </c>
      <c r="H14" s="347">
        <f t="shared" si="3"/>
        <v>250663655</v>
      </c>
    </row>
    <row r="15" spans="1:8" ht="15.75" x14ac:dyDescent="0.25">
      <c r="A15" s="90" t="s">
        <v>252</v>
      </c>
      <c r="B15" s="354"/>
      <c r="C15" s="348">
        <f>C14*Pressupostos!B9</f>
        <v>8047531.9424554892</v>
      </c>
      <c r="D15" s="348">
        <f>D14*Pressupostos!C9</f>
        <v>12547817.8579644</v>
      </c>
      <c r="E15" s="348">
        <f>E14*Pressupostos!D9</f>
        <v>17459283.773473304</v>
      </c>
      <c r="F15" s="348">
        <f>F14*Pressupostos!E9</f>
        <v>22823047.688982207</v>
      </c>
      <c r="G15" s="348">
        <f>G14*Pressupostos!F9</f>
        <v>28684339.4044911</v>
      </c>
      <c r="H15" s="348">
        <f>H14*Pressupostos!G9</f>
        <v>35092911.700000003</v>
      </c>
    </row>
    <row r="16" spans="1:8" ht="15.75" x14ac:dyDescent="0.25">
      <c r="A16" s="1" t="s">
        <v>231</v>
      </c>
      <c r="B16" s="350">
        <v>0</v>
      </c>
      <c r="C16" s="349">
        <f>'Mapa de Exploração'!C14</f>
        <v>14370592.754384801</v>
      </c>
      <c r="D16" s="349">
        <f>'Mapa de Exploração'!D14</f>
        <v>22406817.603507854</v>
      </c>
      <c r="E16" s="349">
        <f>'Mapa de Exploração'!E14</f>
        <v>31177292.452630896</v>
      </c>
      <c r="F16" s="349">
        <f>'Mapa de Exploração'!F14</f>
        <v>40755442.301753938</v>
      </c>
      <c r="G16" s="349">
        <f>'Mapa de Exploração'!G14</f>
        <v>51222034.650876962</v>
      </c>
      <c r="H16" s="349">
        <f>'Mapa de Exploração'!H14</f>
        <v>62665913.75</v>
      </c>
    </row>
    <row r="17" spans="1:8" ht="15.75" x14ac:dyDescent="0.25">
      <c r="A17" s="243" t="s">
        <v>121</v>
      </c>
      <c r="B17" s="351">
        <v>0</v>
      </c>
      <c r="C17" s="345">
        <f>C14-C15-C16</f>
        <v>35064246.320698917</v>
      </c>
      <c r="D17" s="345">
        <f t="shared" ref="D17:H17" si="4">D14-D15-D16</f>
        <v>54672634.952559166</v>
      </c>
      <c r="E17" s="345">
        <f t="shared" si="4"/>
        <v>76072593.584419385</v>
      </c>
      <c r="F17" s="345">
        <f t="shared" si="4"/>
        <v>99443279.216279596</v>
      </c>
      <c r="G17" s="345">
        <f t="shared" si="4"/>
        <v>124981764.54813978</v>
      </c>
      <c r="H17" s="345">
        <f t="shared" si="4"/>
        <v>152904829.55000001</v>
      </c>
    </row>
    <row r="47" spans="10:10" x14ac:dyDescent="0.25">
      <c r="J47" s="11"/>
    </row>
  </sheetData>
  <mergeCells count="1">
    <mergeCell ref="A1:H1"/>
  </mergeCells>
  <conditionalFormatting sqref="B2">
    <cfRule type="dataBar" priority="7">
      <dataBar>
        <cfvo type="min"/>
        <cfvo type="max"/>
        <color rgb="FFFF555A"/>
      </dataBar>
    </cfRule>
  </conditionalFormatting>
  <conditionalFormatting sqref="B2:H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{E5FA8FE3-53CF-4090-A374-496E38757EC2}</x14:id>
        </ext>
      </extLst>
    </cfRule>
  </conditionalFormatting>
  <conditionalFormatting sqref="C2">
    <cfRule type="dataBar" priority="6">
      <dataBar>
        <cfvo type="min"/>
        <cfvo type="max"/>
        <color rgb="FFFF555A"/>
      </dataBar>
    </cfRule>
  </conditionalFormatting>
  <conditionalFormatting sqref="D2">
    <cfRule type="dataBar" priority="3">
      <dataBar>
        <cfvo type="min"/>
        <cfvo type="max"/>
        <color rgb="FFFF555A"/>
      </dataBar>
    </cfRule>
  </conditionalFormatting>
  <conditionalFormatting sqref="E2">
    <cfRule type="dataBar" priority="8">
      <dataBar>
        <cfvo type="min"/>
        <cfvo type="max"/>
        <color rgb="FFFF555A"/>
      </dataBar>
    </cfRule>
  </conditionalFormatting>
  <conditionalFormatting sqref="F2">
    <cfRule type="dataBar" priority="9">
      <dataBar>
        <cfvo type="min"/>
        <cfvo type="max"/>
        <color rgb="FFFF555A"/>
      </dataBar>
    </cfRule>
  </conditionalFormatting>
  <conditionalFormatting sqref="G2">
    <cfRule type="dataBar" priority="4">
      <dataBar>
        <cfvo type="min"/>
        <cfvo type="max"/>
        <color rgb="FFFF555A"/>
      </dataBar>
    </cfRule>
  </conditionalFormatting>
  <conditionalFormatting sqref="H2">
    <cfRule type="dataBar" priority="5">
      <dataBar>
        <cfvo type="min"/>
        <cfvo type="max"/>
        <color rgb="FFFF555A"/>
      </dataBar>
    </cfRule>
  </conditionalFormatting>
  <pageMargins left="0.7" right="0.7" top="0.75" bottom="0.75" header="0.3" footer="0.3"/>
  <pageSetup paperSize="0" orientation="portrait" horizontalDpi="0" verticalDpi="0" copies="0"/>
  <ignoredErrors>
    <ignoredError sqref="C6:H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A8FE3-53CF-4090-A374-496E38757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"/>
  <sheetViews>
    <sheetView zoomScale="60" workbookViewId="0">
      <selection sqref="A1:H1"/>
    </sheetView>
  </sheetViews>
  <sheetFormatPr defaultColWidth="9" defaultRowHeight="15" x14ac:dyDescent="0.25"/>
  <cols>
    <col min="1" max="1" width="32.140625" customWidth="1"/>
    <col min="2" max="2" width="31.42578125" customWidth="1"/>
    <col min="3" max="3" width="24.5703125" customWidth="1"/>
    <col min="4" max="4" width="28" customWidth="1"/>
    <col min="5" max="5" width="27.85546875" customWidth="1"/>
    <col min="6" max="6" width="27" customWidth="1"/>
    <col min="7" max="7" width="25.42578125" customWidth="1"/>
    <col min="8" max="8" width="29.5703125" customWidth="1"/>
    <col min="9" max="256" width="10" customWidth="1"/>
  </cols>
  <sheetData>
    <row r="1" spans="1:8" ht="18.75" x14ac:dyDescent="0.3">
      <c r="A1" s="455" t="s">
        <v>328</v>
      </c>
      <c r="B1" s="456"/>
      <c r="C1" s="456"/>
      <c r="D1" s="456"/>
      <c r="E1" s="456"/>
      <c r="F1" s="456"/>
      <c r="G1" s="456"/>
      <c r="H1" s="456"/>
    </row>
    <row r="2" spans="1:8" ht="15.75" x14ac:dyDescent="0.25">
      <c r="A2" s="244"/>
      <c r="B2" s="245">
        <f>D.RESULTADOS!B2</f>
        <v>2025</v>
      </c>
      <c r="C2" s="245">
        <f>D.RESULTADOS!C2</f>
        <v>2026</v>
      </c>
      <c r="D2" s="245">
        <f>D.RESULTADOS!D2</f>
        <v>2027</v>
      </c>
      <c r="E2" s="245">
        <f>D.RESULTADOS!E2</f>
        <v>2028</v>
      </c>
      <c r="F2" s="245">
        <f>D.RESULTADOS!F2</f>
        <v>2029</v>
      </c>
      <c r="G2" s="245">
        <f>D.RESULTADOS!G2</f>
        <v>2030</v>
      </c>
      <c r="H2" s="245">
        <f>D.RESULTADOS!H2</f>
        <v>2031</v>
      </c>
    </row>
    <row r="3" spans="1:8" ht="15.75" x14ac:dyDescent="0.25">
      <c r="A3" s="62" t="s">
        <v>237</v>
      </c>
      <c r="B3" s="102">
        <v>0</v>
      </c>
      <c r="C3" s="64">
        <f>'Mapa de Exploração'!C18</f>
        <v>72067475.303159714</v>
      </c>
      <c r="D3" s="64">
        <f>'Mapa de Exploração'!D18</f>
        <v>88900964.538527802</v>
      </c>
      <c r="E3" s="64">
        <f>'Mapa de Exploração'!E18</f>
        <v>107526023.77389586</v>
      </c>
      <c r="F3" s="64">
        <f>'Mapa de Exploração'!F18</f>
        <v>128121810.00926392</v>
      </c>
      <c r="G3" s="64">
        <f>'Mapa de Exploração'!G18</f>
        <v>150885395.94463193</v>
      </c>
      <c r="H3" s="64">
        <f>'Mapa de Exploração'!H18</f>
        <v>176033561.55000001</v>
      </c>
    </row>
    <row r="4" spans="1:8" ht="15.75" x14ac:dyDescent="0.25">
      <c r="A4" s="62" t="s">
        <v>238</v>
      </c>
      <c r="B4" s="64">
        <f>B5+B6</f>
        <v>127851981.03999999</v>
      </c>
      <c r="C4" s="64">
        <f t="shared" ref="C4:H4" si="0">C5+C6</f>
        <v>3600000</v>
      </c>
      <c r="D4" s="64">
        <f t="shared" si="0"/>
        <v>3600000</v>
      </c>
      <c r="E4" s="64">
        <f t="shared" si="0"/>
        <v>3600000</v>
      </c>
      <c r="F4" s="64">
        <f t="shared" si="0"/>
        <v>3600000</v>
      </c>
      <c r="G4" s="64">
        <f t="shared" si="0"/>
        <v>3600000</v>
      </c>
      <c r="H4" s="64">
        <f t="shared" si="0"/>
        <v>3600000</v>
      </c>
    </row>
    <row r="5" spans="1:8" ht="15.75" x14ac:dyDescent="0.25">
      <c r="A5" s="62" t="s">
        <v>65</v>
      </c>
      <c r="B5" s="64">
        <f>'Mapa de Investimento'!B11+'Mapa de Investimento'!B16</f>
        <v>119163660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</row>
    <row r="6" spans="1:8" ht="15.75" x14ac:dyDescent="0.25">
      <c r="A6" s="62" t="s">
        <v>66</v>
      </c>
      <c r="B6" s="64">
        <f>'Mapa de Investimento'!B18</f>
        <v>8688321.0399999991</v>
      </c>
      <c r="C6" s="64">
        <f>'Mapa de Investimento'!C18</f>
        <v>3600000</v>
      </c>
      <c r="D6" s="64">
        <f>'Mapa de Investimento'!D18</f>
        <v>3600000</v>
      </c>
      <c r="E6" s="64">
        <f>'Mapa de Investimento'!E18</f>
        <v>3600000</v>
      </c>
      <c r="F6" s="64">
        <f>'Mapa de Investimento'!F18</f>
        <v>3600000</v>
      </c>
      <c r="G6" s="64">
        <f>'Mapa de Investimento'!G18</f>
        <v>3600000</v>
      </c>
      <c r="H6" s="64">
        <f>'Mapa de Investimento'!H18</f>
        <v>3600000</v>
      </c>
    </row>
    <row r="7" spans="1:8" ht="15.75" x14ac:dyDescent="0.25">
      <c r="A7" s="62" t="s">
        <v>239</v>
      </c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</row>
    <row r="8" spans="1:8" ht="15.75" x14ac:dyDescent="0.25">
      <c r="A8" s="246" t="s">
        <v>240</v>
      </c>
      <c r="B8" s="247">
        <f>-B4</f>
        <v>-127851981.03999999</v>
      </c>
      <c r="C8" s="247">
        <f>C3+C4+C5+C6+C7</f>
        <v>79267475.303159714</v>
      </c>
      <c r="D8" s="247">
        <f t="shared" ref="D8:H8" si="1">D3+D4+D5+D6+D7</f>
        <v>96100964.538527802</v>
      </c>
      <c r="E8" s="247">
        <f>E3+E4+E5+E6+E7</f>
        <v>114726023.77389586</v>
      </c>
      <c r="F8" s="247">
        <f t="shared" si="1"/>
        <v>135321810.00926393</v>
      </c>
      <c r="G8" s="247">
        <f t="shared" si="1"/>
        <v>158085395.94463193</v>
      </c>
      <c r="H8" s="247">
        <f t="shared" si="1"/>
        <v>183233561.55000001</v>
      </c>
    </row>
    <row r="10" spans="1:8" x14ac:dyDescent="0.25">
      <c r="A10" s="42"/>
      <c r="B10" s="42"/>
      <c r="C10" s="103"/>
    </row>
    <row r="11" spans="1:8" x14ac:dyDescent="0.25">
      <c r="A11" s="42"/>
      <c r="B11" s="42"/>
    </row>
    <row r="12" spans="1:8" x14ac:dyDescent="0.25">
      <c r="A12" s="42"/>
      <c r="B12" s="42"/>
    </row>
    <row r="13" spans="1:8" x14ac:dyDescent="0.25">
      <c r="A13" s="42"/>
      <c r="B13" s="42"/>
    </row>
    <row r="14" spans="1:8" x14ac:dyDescent="0.25">
      <c r="A14" s="42"/>
      <c r="B14" s="42"/>
    </row>
    <row r="15" spans="1:8" x14ac:dyDescent="0.25">
      <c r="A15" s="42"/>
      <c r="B15" s="42"/>
    </row>
    <row r="16" spans="1:8" x14ac:dyDescent="0.25">
      <c r="A16" s="42"/>
      <c r="B16" s="42"/>
    </row>
    <row r="17" spans="1:2" x14ac:dyDescent="0.25">
      <c r="A17" s="42"/>
      <c r="B17" s="42"/>
    </row>
    <row r="18" spans="1:2" x14ac:dyDescent="0.25">
      <c r="A18" s="42"/>
      <c r="B18" s="42"/>
    </row>
    <row r="19" spans="1:2" x14ac:dyDescent="0.25">
      <c r="A19" s="42"/>
      <c r="B19" s="42"/>
    </row>
    <row r="20" spans="1:2" x14ac:dyDescent="0.25">
      <c r="A20" s="42"/>
      <c r="B20" s="42"/>
    </row>
  </sheetData>
  <mergeCells count="1">
    <mergeCell ref="A1:H1"/>
  </mergeCells>
  <conditionalFormatting sqref="A3:A7">
    <cfRule type="dataBar" priority="23">
      <dataBar>
        <cfvo type="min"/>
        <cfvo type="max"/>
        <color rgb="FF008AEF"/>
      </dataBar>
    </cfRule>
  </conditionalFormatting>
  <conditionalFormatting sqref="A3:A8">
    <cfRule type="dataBar" priority="24">
      <dataBar>
        <cfvo type="min"/>
        <cfvo type="max"/>
        <color rgb="FF63C384"/>
      </dataBar>
    </cfRule>
  </conditionalFormatting>
  <conditionalFormatting sqref="A8">
    <cfRule type="dataBar" priority="20">
      <dataBar>
        <cfvo type="min"/>
        <cfvo type="max"/>
        <color rgb="FF008AEF"/>
      </dataBar>
    </cfRule>
  </conditionalFormatting>
  <conditionalFormatting sqref="B2">
    <cfRule type="dataBar" priority="28">
      <dataBar>
        <cfvo type="min"/>
        <cfvo type="max"/>
        <color rgb="FF63C384"/>
      </dataBar>
    </cfRule>
    <cfRule type="dataBar" priority="28">
      <dataBar>
        <cfvo type="min"/>
        <cfvo type="max"/>
        <color rgb="FF008AEF"/>
      </dataBar>
    </cfRule>
  </conditionalFormatting>
  <conditionalFormatting sqref="B2:H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{83582DF3-03D4-48ED-9452-2A390F376839}</x14:id>
        </ext>
      </extLst>
    </cfRule>
  </conditionalFormatting>
  <conditionalFormatting sqref="C2">
    <cfRule type="dataBar" priority="25">
      <dataBar>
        <cfvo type="min"/>
        <cfvo type="max"/>
        <color rgb="FF63C384"/>
      </dataBar>
    </cfRule>
    <cfRule type="dataBar" priority="25">
      <dataBar>
        <cfvo type="min"/>
        <cfvo type="max"/>
        <color rgb="FF008AEF"/>
      </dataBar>
    </cfRule>
  </conditionalFormatting>
  <conditionalFormatting sqref="D2">
    <cfRule type="dataBar" priority="27">
      <dataBar>
        <cfvo type="min"/>
        <cfvo type="max"/>
        <color rgb="FF63C384"/>
      </dataBar>
    </cfRule>
    <cfRule type="dataBar" priority="27">
      <dataBar>
        <cfvo type="min"/>
        <cfvo type="max"/>
        <color rgb="FF008AEF"/>
      </dataBar>
    </cfRule>
  </conditionalFormatting>
  <conditionalFormatting sqref="E2">
    <cfRule type="dataBar" priority="29">
      <dataBar>
        <cfvo type="min"/>
        <cfvo type="max"/>
        <color rgb="FF008AEF"/>
      </dataBar>
    </cfRule>
    <cfRule type="dataBar" priority="29">
      <dataBar>
        <cfvo type="min"/>
        <cfvo type="max"/>
        <color rgb="FF63C384"/>
      </dataBar>
    </cfRule>
  </conditionalFormatting>
  <conditionalFormatting sqref="F2">
    <cfRule type="dataBar" priority="30">
      <dataBar>
        <cfvo type="min"/>
        <cfvo type="max"/>
        <color rgb="FF008AEF"/>
      </dataBar>
    </cfRule>
    <cfRule type="dataBar" priority="30">
      <dataBar>
        <cfvo type="min"/>
        <cfvo type="max"/>
        <color rgb="FF63C384"/>
      </dataBar>
    </cfRule>
  </conditionalFormatting>
  <conditionalFormatting sqref="G2">
    <cfRule type="dataBar" priority="13">
      <dataBar>
        <cfvo type="min"/>
        <cfvo type="max"/>
        <color rgb="FF63C384"/>
      </dataBar>
    </cfRule>
    <cfRule type="dataBar" priority="14">
      <dataBar>
        <cfvo type="min"/>
        <cfvo type="max"/>
        <color rgb="FF008AEF"/>
      </dataBar>
    </cfRule>
  </conditionalFormatting>
  <conditionalFormatting sqref="H2">
    <cfRule type="dataBar" priority="26">
      <dataBar>
        <cfvo type="min"/>
        <cfvo type="max"/>
        <color rgb="FF008AEF"/>
      </dataBar>
    </cfRule>
    <cfRule type="dataBar" priority="26">
      <dataBar>
        <cfvo type="min"/>
        <cfvo type="max"/>
        <color rgb="FF63C384"/>
      </dataBar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582DF3-03D4-48ED-9452-2A390F376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36"/>
  <sheetViews>
    <sheetView zoomScale="63" workbookViewId="0">
      <selection activeCell="B1" sqref="B1:E14"/>
    </sheetView>
  </sheetViews>
  <sheetFormatPr defaultColWidth="9" defaultRowHeight="15" x14ac:dyDescent="0.25"/>
  <cols>
    <col min="1" max="1" width="10" customWidth="1"/>
    <col min="2" max="2" width="15.140625" customWidth="1"/>
    <col min="3" max="3" width="26.42578125" customWidth="1"/>
    <col min="4" max="4" width="25" customWidth="1"/>
    <col min="5" max="5" width="27" customWidth="1"/>
    <col min="6" max="6" width="10"/>
    <col min="7" max="7" width="23" customWidth="1"/>
    <col min="8" max="256" width="10" customWidth="1"/>
  </cols>
  <sheetData>
    <row r="1" spans="2:7" ht="18.75" x14ac:dyDescent="0.3">
      <c r="B1" s="457" t="s">
        <v>329</v>
      </c>
      <c r="C1" s="458"/>
      <c r="D1" s="458"/>
      <c r="E1" s="459"/>
    </row>
    <row r="2" spans="2:7" ht="15.75" x14ac:dyDescent="0.25">
      <c r="B2" s="248" t="s">
        <v>138</v>
      </c>
      <c r="C2" s="146" t="s">
        <v>240</v>
      </c>
      <c r="D2" s="146" t="s">
        <v>139</v>
      </c>
      <c r="E2" s="249" t="s">
        <v>140</v>
      </c>
    </row>
    <row r="3" spans="2:7" ht="15.75" x14ac:dyDescent="0.25">
      <c r="B3" s="104">
        <f>'Cash Flow Liquido'!B2</f>
        <v>2025</v>
      </c>
      <c r="C3" s="64">
        <f>'Cash Flow Liquido'!B8</f>
        <v>-127851981.03999999</v>
      </c>
      <c r="D3" s="64">
        <f>C3/(1.0705)^0</f>
        <v>-127851981.03999999</v>
      </c>
      <c r="E3" s="105">
        <f>D3</f>
        <v>-127851981.03999999</v>
      </c>
    </row>
    <row r="4" spans="2:7" ht="15.75" x14ac:dyDescent="0.25">
      <c r="B4" s="104">
        <f>'Cash Flow Liquido'!C2</f>
        <v>2026</v>
      </c>
      <c r="C4" s="64">
        <f>'Cash Flow Liquido'!C8</f>
        <v>79267475.303159714</v>
      </c>
      <c r="D4" s="64">
        <f>C4/(1+$C$12)^1</f>
        <v>64445101.872487575</v>
      </c>
      <c r="E4" s="105">
        <f t="shared" ref="E4:E8" si="0">E3+D4</f>
        <v>-63406879.167512417</v>
      </c>
      <c r="G4" s="106"/>
    </row>
    <row r="5" spans="2:7" ht="15.75" x14ac:dyDescent="0.25">
      <c r="B5" s="104">
        <f>'Cash Flow Liquido'!D2</f>
        <v>2027</v>
      </c>
      <c r="C5" s="64">
        <f>'Cash Flow Liquido'!D8</f>
        <v>96100964.538527802</v>
      </c>
      <c r="D5" s="64">
        <f>C5/(1+$C$12)^2</f>
        <v>63521028.844290972</v>
      </c>
      <c r="E5" s="105">
        <f t="shared" si="0"/>
        <v>114149.67677855492</v>
      </c>
    </row>
    <row r="6" spans="2:7" ht="15.75" x14ac:dyDescent="0.25">
      <c r="B6" s="104">
        <f>'Cash Flow Liquido'!E2</f>
        <v>2028</v>
      </c>
      <c r="C6" s="64">
        <f>'Cash Flow Liquido'!E8</f>
        <v>114726023.77389586</v>
      </c>
      <c r="D6" s="64">
        <f>C6/(1+$C$12)^3</f>
        <v>61651920.193058327</v>
      </c>
      <c r="E6" s="105">
        <f t="shared" si="0"/>
        <v>61766069.869836882</v>
      </c>
    </row>
    <row r="7" spans="2:7" ht="15.75" x14ac:dyDescent="0.25">
      <c r="B7" s="104">
        <f>'Cash Flow Liquido'!F2</f>
        <v>2029</v>
      </c>
      <c r="C7" s="64">
        <f>'Cash Flow Liquido'!F8</f>
        <v>135321810.00926393</v>
      </c>
      <c r="D7" s="64">
        <f>C7/(1+$C$12)^4</f>
        <v>59121759.757601559</v>
      </c>
      <c r="E7" s="105">
        <f t="shared" si="0"/>
        <v>120887829.62743844</v>
      </c>
      <c r="G7" s="107"/>
    </row>
    <row r="8" spans="2:7" ht="15.75" x14ac:dyDescent="0.25">
      <c r="B8" s="104">
        <f>'Cash Flow Liquido'!G2</f>
        <v>2030</v>
      </c>
      <c r="C8" s="64">
        <f>'Cash Flow Liquido'!G8</f>
        <v>158085395.94463193</v>
      </c>
      <c r="D8" s="64">
        <f>C8/(1+$C$12)^5</f>
        <v>56152124.732394181</v>
      </c>
      <c r="E8" s="105">
        <f t="shared" si="0"/>
        <v>177039954.35983261</v>
      </c>
    </row>
    <row r="9" spans="2:7" ht="15.75" x14ac:dyDescent="0.25">
      <c r="B9" s="108">
        <f>'Cash Flow Liquido'!H2</f>
        <v>2031</v>
      </c>
      <c r="C9" s="109">
        <f>'Cash Flow Liquido'!H8</f>
        <v>183233561.55000001</v>
      </c>
      <c r="D9" s="64">
        <f>C9/(1+$C$12)^6</f>
        <v>52914458.303643353</v>
      </c>
      <c r="E9" s="105">
        <f>E8+D9</f>
        <v>229954412.66347596</v>
      </c>
      <c r="G9" s="42"/>
    </row>
    <row r="10" spans="2:7" ht="15.75" x14ac:dyDescent="0.25">
      <c r="B10" s="250" t="s">
        <v>166</v>
      </c>
      <c r="C10" s="252">
        <f>NPV(C12,C4:C9)+C3</f>
        <v>229954412.66347596</v>
      </c>
      <c r="D10" s="110"/>
      <c r="E10" s="110"/>
      <c r="F10" s="93"/>
      <c r="G10" s="111"/>
    </row>
    <row r="11" spans="2:7" ht="15.75" x14ac:dyDescent="0.25">
      <c r="B11" s="250" t="s">
        <v>167</v>
      </c>
      <c r="C11" s="253">
        <f>IF(C10&lt;0,"Projecto Inviável",MATCH(0,E3:E9,1)-1+(-INDEX(E3:E9,MATCH(0,E3:E9,1))/INDEX(D3:D9,MATCH(0,E3:E9,1)+1)))</f>
        <v>1.9982029624070106</v>
      </c>
      <c r="D11" s="110"/>
      <c r="E11" s="112"/>
      <c r="F11" s="93"/>
      <c r="G11" s="111"/>
    </row>
    <row r="12" spans="2:7" ht="15.75" x14ac:dyDescent="0.25">
      <c r="B12" s="251" t="s">
        <v>141</v>
      </c>
      <c r="C12" s="254">
        <f>Pressupostos!B18</f>
        <v>0.23</v>
      </c>
      <c r="D12" s="113"/>
      <c r="E12" s="110"/>
      <c r="F12" s="93"/>
      <c r="G12" s="111"/>
    </row>
    <row r="13" spans="2:7" ht="15.75" x14ac:dyDescent="0.25">
      <c r="B13" s="250" t="s">
        <v>243</v>
      </c>
      <c r="C13" s="254">
        <f>IRR(C3:C9)</f>
        <v>0.75372028209906294</v>
      </c>
      <c r="D13" s="110"/>
      <c r="E13" s="110"/>
      <c r="F13" s="93"/>
      <c r="G13" s="42"/>
    </row>
    <row r="14" spans="2:7" ht="15.75" x14ac:dyDescent="0.25">
      <c r="B14" s="250" t="s">
        <v>244</v>
      </c>
      <c r="C14" s="254">
        <f>(C10+(-C3))/(-C3)</f>
        <v>2.7985987451499246</v>
      </c>
      <c r="D14" s="110"/>
      <c r="E14" s="110"/>
      <c r="F14" s="93"/>
      <c r="G14" s="42"/>
    </row>
    <row r="36" spans="10:10" x14ac:dyDescent="0.25">
      <c r="J36" s="11"/>
    </row>
  </sheetData>
  <mergeCells count="1">
    <mergeCell ref="B1:E1"/>
  </mergeCells>
  <conditionalFormatting sqref="B3:B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{A7A03F4F-9606-4D31-911F-CD33D5A6A593}</x14:id>
        </ext>
      </extLst>
    </cfRule>
  </conditionalFormatting>
  <conditionalFormatting sqref="B4">
    <cfRule type="dataBar" priority="10">
      <dataBar>
        <cfvo type="min"/>
        <cfvo type="max"/>
        <color rgb="FFFF555A"/>
      </dataBar>
    </cfRule>
    <cfRule type="dataBar" priority="11">
      <dataBar>
        <cfvo type="min"/>
        <cfvo type="max"/>
        <color rgb="FF008AEF"/>
      </dataBar>
    </cfRule>
  </conditionalFormatting>
  <conditionalFormatting sqref="B5">
    <cfRule type="dataBar" priority="13">
      <dataBar>
        <cfvo type="min"/>
        <cfvo type="max"/>
        <color rgb="FF008AEF"/>
      </dataBar>
    </cfRule>
    <cfRule type="dataBar" priority="13">
      <dataBar>
        <cfvo type="min"/>
        <cfvo type="max"/>
        <color rgb="FFFF555A"/>
      </dataBar>
    </cfRule>
  </conditionalFormatting>
  <conditionalFormatting sqref="B6:B7 B3 B9">
    <cfRule type="dataBar" priority="14">
      <dataBar>
        <cfvo type="min"/>
        <cfvo type="max"/>
        <color rgb="FF008AEF"/>
      </dataBar>
    </cfRule>
  </conditionalFormatting>
  <conditionalFormatting sqref="B6:B9 B3">
    <cfRule type="dataBar" priority="15">
      <dataBar>
        <cfvo type="min"/>
        <cfvo type="max"/>
        <color rgb="FFFF555A"/>
      </dataBar>
    </cfRule>
  </conditionalFormatting>
  <conditionalFormatting sqref="B8">
    <cfRule type="dataBar" priority="12">
      <dataBar>
        <cfvo type="min"/>
        <cfvo type="max"/>
        <color rgb="FF008AEF"/>
      </dataBar>
    </cfRule>
  </conditionalFormatting>
  <conditionalFormatting sqref="B10:B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{A1C68130-CF74-426B-BBFA-C2A609E0226F}</x14:id>
        </ext>
      </extLst>
    </cfRule>
  </conditionalFormatting>
  <conditionalFormatting sqref="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{5B5DBF9E-C4F1-43C1-8E73-1970F1C54DBF}</x14:id>
        </ext>
      </extLst>
    </cfRule>
  </conditionalFormatting>
  <conditionalFormatting sqref="E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{3CA90EAF-1E1A-42CF-8AB4-F51A604475EF}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A03F4F-9606-4D31-911F-CD33D5A6A5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B3:B9</xm:sqref>
        </x14:conditionalFormatting>
        <x14:conditionalFormatting xmlns:xm="http://schemas.microsoft.com/office/excel/2006/main">
          <x14:cfRule type="dataBar" id="{A1C68130-CF74-426B-BBFA-C2A609E02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B10:B14</xm:sqref>
        </x14:conditionalFormatting>
        <x14:conditionalFormatting xmlns:xm="http://schemas.microsoft.com/office/excel/2006/main">
          <x14:cfRule type="dataBar" id="{5B5DBF9E-C4F1-43C1-8E73-1970F1C54DBF}">
            <x14:dataBar border="1" negativeBarColorSameAsPositive="1" negativeBarBorderColorSameAsPositive="0" axisPosition="none">
              <x14:cfvo type="min"/>
              <x14:cfvo type="max"/>
              <x14:borderColor rgb="FF638EC6"/>
              <x14:negativeBorderColor rgb="FFFF555A"/>
            </x14:dataBar>
          </x14:cfRule>
          <xm:sqref>C10</xm:sqref>
        </x14:conditionalFormatting>
        <x14:conditionalFormatting xmlns:xm="http://schemas.microsoft.com/office/excel/2006/main">
          <x14:cfRule type="dataBar" id="{3CA90EAF-1E1A-42CF-8AB4-F51A60447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5"/>
  <sheetViews>
    <sheetView workbookViewId="0">
      <selection activeCell="G3" sqref="G3"/>
    </sheetView>
  </sheetViews>
  <sheetFormatPr defaultColWidth="9" defaultRowHeight="15" x14ac:dyDescent="0.25"/>
  <cols>
    <col min="1" max="1" width="8" customWidth="1"/>
    <col min="2" max="2" width="12.7109375" customWidth="1"/>
    <col min="3" max="3" width="10"/>
    <col min="4" max="4" width="17" customWidth="1"/>
    <col min="5" max="5" width="20" customWidth="1"/>
    <col min="6" max="6" width="10"/>
    <col min="7" max="7" width="18.28515625" customWidth="1"/>
    <col min="8" max="256" width="10" customWidth="1"/>
  </cols>
  <sheetData>
    <row r="1" spans="1:7" x14ac:dyDescent="0.25">
      <c r="A1" s="460" t="s">
        <v>142</v>
      </c>
      <c r="B1" s="460"/>
      <c r="C1" s="460"/>
      <c r="D1" s="460"/>
      <c r="E1" s="460"/>
      <c r="F1" s="460"/>
    </row>
    <row r="2" spans="1:7" x14ac:dyDescent="0.25">
      <c r="A2" s="114" t="s">
        <v>143</v>
      </c>
      <c r="B2" t="s">
        <v>144</v>
      </c>
      <c r="C2" t="s">
        <v>145</v>
      </c>
      <c r="D2" t="s">
        <v>146</v>
      </c>
      <c r="E2" t="s">
        <v>147</v>
      </c>
      <c r="G2" t="s">
        <v>148</v>
      </c>
    </row>
    <row r="3" spans="1:7" x14ac:dyDescent="0.25">
      <c r="A3">
        <v>4702.88</v>
      </c>
      <c r="B3">
        <f>(A4-A3)/A3</f>
        <v>-1.3315245126390613E-2</v>
      </c>
      <c r="C3">
        <f>SUM(B3:B255)</f>
        <v>-0.77133002184732957</v>
      </c>
      <c r="D3">
        <v>253</v>
      </c>
      <c r="E3">
        <f>(C3/D3)</f>
        <v>-3.0487352642186941E-3</v>
      </c>
      <c r="F3" s="115"/>
      <c r="G3" s="115">
        <v>7.6972100000000002E-2</v>
      </c>
    </row>
    <row r="4" spans="1:7" x14ac:dyDescent="0.25">
      <c r="A4">
        <v>4640.26</v>
      </c>
      <c r="B4">
        <f t="shared" ref="B4:B67" si="0">(A5-A4)/A4</f>
        <v>-7.3293306840565434E-3</v>
      </c>
      <c r="G4" t="s">
        <v>149</v>
      </c>
    </row>
    <row r="5" spans="1:7" x14ac:dyDescent="0.25">
      <c r="A5">
        <v>4606.25</v>
      </c>
      <c r="B5">
        <f t="shared" si="0"/>
        <v>2.9809497964721932E-2</v>
      </c>
    </row>
    <row r="6" spans="1:7" x14ac:dyDescent="0.25">
      <c r="A6">
        <v>4743.5600000000004</v>
      </c>
      <c r="B6">
        <f t="shared" si="0"/>
        <v>-1.2071102716103562E-2</v>
      </c>
    </row>
    <row r="7" spans="1:7" x14ac:dyDescent="0.25">
      <c r="A7">
        <v>4686.3</v>
      </c>
      <c r="B7">
        <f t="shared" si="0"/>
        <v>4.0031581418176849E-3</v>
      </c>
    </row>
    <row r="8" spans="1:7" x14ac:dyDescent="0.25">
      <c r="A8">
        <v>4705.0600000000004</v>
      </c>
      <c r="B8">
        <f t="shared" si="0"/>
        <v>2.5787131301194866E-2</v>
      </c>
    </row>
    <row r="9" spans="1:7" x14ac:dyDescent="0.25">
      <c r="A9">
        <v>4826.3900000000003</v>
      </c>
      <c r="B9">
        <f t="shared" si="0"/>
        <v>1.3765982442363671E-2</v>
      </c>
    </row>
    <row r="10" spans="1:7" x14ac:dyDescent="0.25">
      <c r="A10">
        <v>4892.83</v>
      </c>
      <c r="B10">
        <f t="shared" si="0"/>
        <v>1.3068101691659124E-2</v>
      </c>
    </row>
    <row r="11" spans="1:7" x14ac:dyDescent="0.25">
      <c r="A11">
        <v>4956.7700000000004</v>
      </c>
      <c r="B11">
        <f t="shared" si="0"/>
        <v>1.2498058211294818E-2</v>
      </c>
    </row>
    <row r="12" spans="1:7" x14ac:dyDescent="0.25">
      <c r="A12">
        <v>5018.72</v>
      </c>
      <c r="B12">
        <f t="shared" si="0"/>
        <v>8.2092645136608178E-3</v>
      </c>
    </row>
    <row r="13" spans="1:7" x14ac:dyDescent="0.25">
      <c r="A13">
        <v>5059.92</v>
      </c>
      <c r="B13">
        <f t="shared" si="0"/>
        <v>-1.5217631899318207E-3</v>
      </c>
    </row>
    <row r="14" spans="1:7" x14ac:dyDescent="0.25">
      <c r="A14">
        <v>5052.22</v>
      </c>
      <c r="B14">
        <f t="shared" si="0"/>
        <v>1.9628994778533016E-2</v>
      </c>
    </row>
    <row r="15" spans="1:7" x14ac:dyDescent="0.25">
      <c r="A15">
        <v>5151.3900000000003</v>
      </c>
      <c r="B15">
        <f t="shared" si="0"/>
        <v>2.3636338929880926E-2</v>
      </c>
    </row>
    <row r="16" spans="1:7" x14ac:dyDescent="0.25">
      <c r="A16">
        <v>5273.15</v>
      </c>
      <c r="B16">
        <f t="shared" si="0"/>
        <v>5.2037207361824546E-3</v>
      </c>
    </row>
    <row r="17" spans="1:2" x14ac:dyDescent="0.25">
      <c r="A17">
        <v>5300.59</v>
      </c>
      <c r="B17">
        <f t="shared" si="0"/>
        <v>1.1213846005821917E-2</v>
      </c>
    </row>
    <row r="18" spans="1:2" x14ac:dyDescent="0.25">
      <c r="A18">
        <v>5360.03</v>
      </c>
      <c r="B18">
        <f t="shared" si="0"/>
        <v>-1.549245060195558E-2</v>
      </c>
    </row>
    <row r="19" spans="1:2" x14ac:dyDescent="0.25">
      <c r="A19">
        <v>5276.99</v>
      </c>
      <c r="B19">
        <f t="shared" si="0"/>
        <v>-1.5021821151830783E-2</v>
      </c>
    </row>
    <row r="20" spans="1:2" x14ac:dyDescent="0.25">
      <c r="A20">
        <v>5197.72</v>
      </c>
      <c r="B20">
        <f t="shared" si="0"/>
        <v>5.3735099235817591E-3</v>
      </c>
    </row>
    <row r="21" spans="1:2" x14ac:dyDescent="0.25">
      <c r="A21">
        <v>5225.6499999999996</v>
      </c>
      <c r="B21">
        <f t="shared" si="0"/>
        <v>-1.551960043248198E-2</v>
      </c>
    </row>
    <row r="22" spans="1:2" x14ac:dyDescent="0.25">
      <c r="A22">
        <v>5144.55</v>
      </c>
      <c r="B22">
        <f t="shared" si="0"/>
        <v>1.3371431903665036E-2</v>
      </c>
    </row>
    <row r="23" spans="1:2" x14ac:dyDescent="0.25">
      <c r="A23">
        <v>5213.34</v>
      </c>
      <c r="B23">
        <f t="shared" si="0"/>
        <v>1.7547292139012526E-2</v>
      </c>
    </row>
    <row r="24" spans="1:2" x14ac:dyDescent="0.25">
      <c r="A24">
        <v>5304.82</v>
      </c>
      <c r="B24">
        <f t="shared" si="0"/>
        <v>-5.626958124875011E-3</v>
      </c>
    </row>
    <row r="25" spans="1:2" x14ac:dyDescent="0.25">
      <c r="A25">
        <v>5274.97</v>
      </c>
      <c r="B25">
        <f t="shared" si="0"/>
        <v>-2.7109158914653369E-4</v>
      </c>
    </row>
    <row r="26" spans="1:2" x14ac:dyDescent="0.25">
      <c r="A26">
        <v>5273.54</v>
      </c>
      <c r="B26">
        <f t="shared" si="0"/>
        <v>-1.6895671598205105E-3</v>
      </c>
    </row>
    <row r="27" spans="1:2" x14ac:dyDescent="0.25">
      <c r="A27">
        <v>5264.63</v>
      </c>
      <c r="B27">
        <f t="shared" si="0"/>
        <v>-8.3405671433699723E-3</v>
      </c>
    </row>
    <row r="28" spans="1:2" x14ac:dyDescent="0.25">
      <c r="A28">
        <v>5220.72</v>
      </c>
      <c r="B28">
        <f t="shared" si="0"/>
        <v>1.2258845523222153E-3</v>
      </c>
    </row>
    <row r="29" spans="1:2" x14ac:dyDescent="0.25">
      <c r="A29">
        <v>5227.12</v>
      </c>
      <c r="B29">
        <f t="shared" si="0"/>
        <v>-1.3141079600238678E-2</v>
      </c>
    </row>
    <row r="30" spans="1:2" x14ac:dyDescent="0.25">
      <c r="A30">
        <v>5158.43</v>
      </c>
      <c r="B30">
        <f t="shared" si="0"/>
        <v>1.7767033768026248E-2</v>
      </c>
    </row>
    <row r="31" spans="1:2" x14ac:dyDescent="0.25">
      <c r="A31">
        <v>5250.08</v>
      </c>
      <c r="B31">
        <f t="shared" si="0"/>
        <v>1.613880169445046E-2</v>
      </c>
    </row>
    <row r="32" spans="1:2" x14ac:dyDescent="0.25">
      <c r="A32">
        <v>5334.81</v>
      </c>
      <c r="B32">
        <f t="shared" si="0"/>
        <v>4.3300511170959988E-4</v>
      </c>
    </row>
    <row r="33" spans="1:2" x14ac:dyDescent="0.25">
      <c r="A33">
        <v>5337.12</v>
      </c>
      <c r="B33">
        <f t="shared" si="0"/>
        <v>1.4770138201876655E-2</v>
      </c>
    </row>
    <row r="34" spans="1:2" x14ac:dyDescent="0.25">
      <c r="A34">
        <v>5415.95</v>
      </c>
      <c r="B34">
        <f t="shared" si="0"/>
        <v>1.2989410906673873E-2</v>
      </c>
    </row>
    <row r="35" spans="1:2" x14ac:dyDescent="0.25">
      <c r="A35">
        <v>5486.3</v>
      </c>
      <c r="B35">
        <f t="shared" si="0"/>
        <v>-5.7379290232033378E-3</v>
      </c>
    </row>
    <row r="36" spans="1:2" x14ac:dyDescent="0.25">
      <c r="A36">
        <v>5454.82</v>
      </c>
      <c r="B36">
        <f t="shared" si="0"/>
        <v>2.7608610366612282E-3</v>
      </c>
    </row>
    <row r="37" spans="1:2" x14ac:dyDescent="0.25">
      <c r="A37">
        <v>5469.88</v>
      </c>
      <c r="B37">
        <f t="shared" si="0"/>
        <v>4.4900436572647825E-3</v>
      </c>
    </row>
    <row r="38" spans="1:2" x14ac:dyDescent="0.25">
      <c r="A38">
        <v>5494.44</v>
      </c>
      <c r="B38">
        <f t="shared" si="0"/>
        <v>1.7186464862661219E-2</v>
      </c>
    </row>
    <row r="39" spans="1:2" x14ac:dyDescent="0.25">
      <c r="A39">
        <v>5588.87</v>
      </c>
      <c r="B39">
        <f t="shared" si="0"/>
        <v>-3.2743649431815863E-4</v>
      </c>
    </row>
    <row r="40" spans="1:2" x14ac:dyDescent="0.25">
      <c r="A40">
        <v>5587.04</v>
      </c>
      <c r="B40">
        <f t="shared" si="0"/>
        <v>1.2144176522809996E-2</v>
      </c>
    </row>
    <row r="41" spans="1:2" x14ac:dyDescent="0.25">
      <c r="A41">
        <v>5654.89</v>
      </c>
      <c r="B41">
        <f t="shared" si="0"/>
        <v>6.1557342406305853E-3</v>
      </c>
    </row>
    <row r="42" spans="1:2" x14ac:dyDescent="0.25">
      <c r="A42">
        <v>5689.7</v>
      </c>
      <c r="B42">
        <f t="shared" si="0"/>
        <v>-7.4924864228342637E-3</v>
      </c>
    </row>
    <row r="43" spans="1:2" x14ac:dyDescent="0.25">
      <c r="A43">
        <v>5647.07</v>
      </c>
      <c r="B43">
        <f t="shared" si="0"/>
        <v>-3.4495765060464211E-3</v>
      </c>
    </row>
    <row r="44" spans="1:2" x14ac:dyDescent="0.25">
      <c r="A44">
        <v>5627.59</v>
      </c>
      <c r="B44">
        <f t="shared" si="0"/>
        <v>-1.5368923464573607E-2</v>
      </c>
    </row>
    <row r="45" spans="1:2" x14ac:dyDescent="0.25">
      <c r="A45">
        <v>5541.1</v>
      </c>
      <c r="B45">
        <f t="shared" si="0"/>
        <v>1.7247477937593566E-2</v>
      </c>
    </row>
    <row r="46" spans="1:2" x14ac:dyDescent="0.25">
      <c r="A46">
        <v>5636.67</v>
      </c>
      <c r="B46">
        <f t="shared" si="0"/>
        <v>8.7800066351231814E-3</v>
      </c>
    </row>
    <row r="47" spans="1:2" x14ac:dyDescent="0.25">
      <c r="A47">
        <v>5686.16</v>
      </c>
      <c r="B47">
        <f t="shared" si="0"/>
        <v>7.0346244214117387E-5</v>
      </c>
    </row>
    <row r="48" spans="1:2" x14ac:dyDescent="0.25">
      <c r="A48">
        <v>5686.56</v>
      </c>
      <c r="B48">
        <f t="shared" si="0"/>
        <v>-2.3518612306913263E-2</v>
      </c>
    </row>
    <row r="49" spans="1:2" x14ac:dyDescent="0.25">
      <c r="A49">
        <v>5552.82</v>
      </c>
      <c r="B49">
        <f t="shared" si="0"/>
        <v>2.1630450833990764E-2</v>
      </c>
    </row>
    <row r="50" spans="1:2" x14ac:dyDescent="0.25">
      <c r="A50">
        <v>5672.93</v>
      </c>
      <c r="B50">
        <f t="shared" si="0"/>
        <v>8.2708582690073865E-3</v>
      </c>
    </row>
    <row r="51" spans="1:2" x14ac:dyDescent="0.25">
      <c r="A51">
        <v>5719.85</v>
      </c>
      <c r="B51">
        <f t="shared" si="0"/>
        <v>3.7868125912392551E-3</v>
      </c>
    </row>
    <row r="52" spans="1:2" x14ac:dyDescent="0.25">
      <c r="A52">
        <v>5741.51</v>
      </c>
      <c r="B52">
        <f t="shared" si="0"/>
        <v>8.363653463984131E-3</v>
      </c>
    </row>
    <row r="53" spans="1:2" x14ac:dyDescent="0.25">
      <c r="A53">
        <v>5789.53</v>
      </c>
      <c r="B53">
        <f t="shared" si="0"/>
        <v>-3.4303302686055125E-3</v>
      </c>
    </row>
    <row r="54" spans="1:2" x14ac:dyDescent="0.25">
      <c r="A54">
        <v>5769.67</v>
      </c>
      <c r="B54">
        <f t="shared" si="0"/>
        <v>9.1426372738822159E-3</v>
      </c>
    </row>
    <row r="55" spans="1:2" x14ac:dyDescent="0.25">
      <c r="A55">
        <v>5822.42</v>
      </c>
      <c r="B55">
        <f t="shared" si="0"/>
        <v>8.4380721418242082E-3</v>
      </c>
    </row>
    <row r="56" spans="1:2" x14ac:dyDescent="0.25">
      <c r="A56">
        <v>5871.55</v>
      </c>
      <c r="B56">
        <f t="shared" si="0"/>
        <v>1.9579157122054658E-2</v>
      </c>
    </row>
    <row r="57" spans="1:2" x14ac:dyDescent="0.25">
      <c r="A57">
        <v>5986.51</v>
      </c>
      <c r="B57">
        <f t="shared" si="0"/>
        <v>3.0902813158250799E-3</v>
      </c>
    </row>
    <row r="58" spans="1:2" x14ac:dyDescent="0.25">
      <c r="A58">
        <v>6005.01</v>
      </c>
      <c r="B58">
        <f t="shared" si="0"/>
        <v>1.0311389989358898E-2</v>
      </c>
    </row>
    <row r="59" spans="1:2" x14ac:dyDescent="0.25">
      <c r="A59">
        <v>6066.93</v>
      </c>
      <c r="B59">
        <f t="shared" si="0"/>
        <v>-8.4804011254457738E-3</v>
      </c>
    </row>
    <row r="60" spans="1:2" x14ac:dyDescent="0.25">
      <c r="A60">
        <v>6015.48</v>
      </c>
      <c r="B60">
        <f t="shared" si="0"/>
        <v>-1.1029876252601531E-2</v>
      </c>
    </row>
    <row r="61" spans="1:2" x14ac:dyDescent="0.25">
      <c r="A61">
        <v>5949.13</v>
      </c>
      <c r="B61">
        <f t="shared" si="0"/>
        <v>1.0537675256718141E-2</v>
      </c>
    </row>
    <row r="62" spans="1:2" x14ac:dyDescent="0.25">
      <c r="A62">
        <v>6011.82</v>
      </c>
      <c r="B62">
        <f t="shared" si="0"/>
        <v>6.6036574614679994E-4</v>
      </c>
    </row>
    <row r="63" spans="1:2" x14ac:dyDescent="0.25">
      <c r="A63">
        <v>6015.79</v>
      </c>
      <c r="B63">
        <f t="shared" si="0"/>
        <v>-7.8559923135615144E-3</v>
      </c>
    </row>
    <row r="64" spans="1:2" x14ac:dyDescent="0.25">
      <c r="A64">
        <v>5968.53</v>
      </c>
      <c r="B64">
        <f t="shared" si="0"/>
        <v>7.7037394467315192E-3</v>
      </c>
    </row>
    <row r="65" spans="1:2" x14ac:dyDescent="0.25">
      <c r="A65">
        <v>6014.51</v>
      </c>
      <c r="B65">
        <f t="shared" si="0"/>
        <v>3.4666165656054198E-3</v>
      </c>
    </row>
    <row r="66" spans="1:2" x14ac:dyDescent="0.25">
      <c r="A66">
        <v>6035.36</v>
      </c>
      <c r="B66">
        <f t="shared" si="0"/>
        <v>9.5603244876860255E-3</v>
      </c>
    </row>
    <row r="67" spans="1:2" x14ac:dyDescent="0.25">
      <c r="A67">
        <v>6093.06</v>
      </c>
      <c r="B67">
        <f t="shared" si="0"/>
        <v>1.8140310451562884E-2</v>
      </c>
    </row>
    <row r="68" spans="1:2" x14ac:dyDescent="0.25">
      <c r="A68">
        <v>6203.59</v>
      </c>
      <c r="B68">
        <f t="shared" ref="B68:B131" si="1">(A69-A68)/A68</f>
        <v>0.11626977282508998</v>
      </c>
    </row>
    <row r="69" spans="1:2" x14ac:dyDescent="0.25">
      <c r="A69">
        <v>6924.88</v>
      </c>
      <c r="B69">
        <f t="shared" si="1"/>
        <v>-8.9055694827924789E-2</v>
      </c>
    </row>
    <row r="70" spans="1:2" x14ac:dyDescent="0.25">
      <c r="A70">
        <v>6308.18</v>
      </c>
      <c r="B70">
        <f t="shared" si="1"/>
        <v>8.0530358994193682E-4</v>
      </c>
    </row>
    <row r="71" spans="1:2" x14ac:dyDescent="0.25">
      <c r="A71">
        <v>6313.26</v>
      </c>
      <c r="B71">
        <f t="shared" si="1"/>
        <v>-1.2092009516478038E-2</v>
      </c>
    </row>
    <row r="72" spans="1:2" x14ac:dyDescent="0.25">
      <c r="A72">
        <v>6236.92</v>
      </c>
      <c r="B72">
        <f t="shared" si="1"/>
        <v>9.262584737338226E-3</v>
      </c>
    </row>
    <row r="73" spans="1:2" x14ac:dyDescent="0.25">
      <c r="A73">
        <v>6294.69</v>
      </c>
      <c r="B73">
        <f t="shared" si="1"/>
        <v>-2.4438058109295283E-2</v>
      </c>
    </row>
    <row r="74" spans="1:2" x14ac:dyDescent="0.25">
      <c r="A74">
        <v>6140.86</v>
      </c>
      <c r="B74">
        <f t="shared" si="1"/>
        <v>-2.2633637633816726E-2</v>
      </c>
    </row>
    <row r="75" spans="1:2" x14ac:dyDescent="0.25">
      <c r="A75">
        <v>6001.87</v>
      </c>
      <c r="B75">
        <f t="shared" si="1"/>
        <v>6.6129389673552589E-3</v>
      </c>
    </row>
    <row r="76" spans="1:2" x14ac:dyDescent="0.25">
      <c r="A76">
        <v>6041.56</v>
      </c>
      <c r="B76">
        <f t="shared" si="1"/>
        <v>5.5714087090089071E-3</v>
      </c>
    </row>
    <row r="77" spans="1:2" x14ac:dyDescent="0.25">
      <c r="A77">
        <v>6075.22</v>
      </c>
      <c r="B77">
        <f t="shared" si="1"/>
        <v>-1.0060541017444618E-2</v>
      </c>
    </row>
    <row r="78" spans="1:2" x14ac:dyDescent="0.25">
      <c r="A78">
        <v>6014.1</v>
      </c>
      <c r="B78">
        <f t="shared" si="1"/>
        <v>-4.9201044212766904E-3</v>
      </c>
    </row>
    <row r="79" spans="1:2" x14ac:dyDescent="0.25">
      <c r="A79">
        <v>5984.51</v>
      </c>
      <c r="B79">
        <f t="shared" si="1"/>
        <v>9.0400049461024298E-3</v>
      </c>
    </row>
    <row r="80" spans="1:2" x14ac:dyDescent="0.25">
      <c r="A80">
        <v>6038.61</v>
      </c>
      <c r="B80">
        <f t="shared" si="1"/>
        <v>2.6401771268553573E-2</v>
      </c>
    </row>
    <row r="81" spans="1:2" x14ac:dyDescent="0.25">
      <c r="A81">
        <v>6198.04</v>
      </c>
      <c r="B81">
        <f t="shared" si="1"/>
        <v>-3.0167601370755845E-2</v>
      </c>
    </row>
    <row r="82" spans="1:2" x14ac:dyDescent="0.25">
      <c r="A82">
        <v>6011.06</v>
      </c>
      <c r="B82">
        <f t="shared" si="1"/>
        <v>1.3911024012403784E-2</v>
      </c>
    </row>
    <row r="83" spans="1:2" x14ac:dyDescent="0.25">
      <c r="A83">
        <v>6094.68</v>
      </c>
      <c r="B83">
        <f t="shared" si="1"/>
        <v>1.7797488957582569E-2</v>
      </c>
    </row>
    <row r="84" spans="1:2" x14ac:dyDescent="0.25">
      <c r="A84">
        <v>6203.15</v>
      </c>
      <c r="B84">
        <f t="shared" si="1"/>
        <v>-2.4092598115473561E-2</v>
      </c>
    </row>
    <row r="85" spans="1:2" x14ac:dyDescent="0.25">
      <c r="A85">
        <v>6053.7</v>
      </c>
      <c r="B85">
        <f t="shared" si="1"/>
        <v>-3.1501395840559838E-3</v>
      </c>
    </row>
    <row r="86" spans="1:2" x14ac:dyDescent="0.25">
      <c r="A86">
        <v>6034.63</v>
      </c>
      <c r="B86">
        <f t="shared" si="1"/>
        <v>-5.7932300737576345E-3</v>
      </c>
    </row>
    <row r="87" spans="1:2" x14ac:dyDescent="0.25">
      <c r="A87">
        <v>5999.67</v>
      </c>
      <c r="B87">
        <f t="shared" si="1"/>
        <v>1.837101040557235E-2</v>
      </c>
    </row>
    <row r="88" spans="1:2" x14ac:dyDescent="0.25">
      <c r="A88">
        <v>6109.89</v>
      </c>
      <c r="B88">
        <f t="shared" si="1"/>
        <v>6.1114029876150359E-3</v>
      </c>
    </row>
    <row r="89" spans="1:2" x14ac:dyDescent="0.25">
      <c r="A89">
        <v>6147.23</v>
      </c>
      <c r="B89">
        <f t="shared" si="1"/>
        <v>-7.3610390370947567E-3</v>
      </c>
    </row>
    <row r="90" spans="1:2" x14ac:dyDescent="0.25">
      <c r="A90">
        <v>6101.98</v>
      </c>
      <c r="B90">
        <f t="shared" si="1"/>
        <v>8.8676134631710674E-3</v>
      </c>
    </row>
    <row r="91" spans="1:2" x14ac:dyDescent="0.25">
      <c r="A91">
        <v>6156.09</v>
      </c>
      <c r="B91">
        <f t="shared" si="1"/>
        <v>8.2195029637310217E-4</v>
      </c>
    </row>
    <row r="92" spans="1:2" x14ac:dyDescent="0.25">
      <c r="A92">
        <v>6161.15</v>
      </c>
      <c r="B92">
        <f t="shared" si="1"/>
        <v>-6.5848096540418125E-3</v>
      </c>
    </row>
    <row r="93" spans="1:2" x14ac:dyDescent="0.25">
      <c r="A93">
        <v>6120.58</v>
      </c>
      <c r="B93">
        <f t="shared" si="1"/>
        <v>-2.3331122213907417E-3</v>
      </c>
    </row>
    <row r="94" spans="1:2" x14ac:dyDescent="0.25">
      <c r="A94">
        <v>6106.3</v>
      </c>
      <c r="B94">
        <f t="shared" si="1"/>
        <v>4.6116306110082789E-3</v>
      </c>
    </row>
    <row r="95" spans="1:2" x14ac:dyDescent="0.25">
      <c r="A95">
        <v>6134.46</v>
      </c>
      <c r="B95">
        <f t="shared" si="1"/>
        <v>-5.5669121650478827E-3</v>
      </c>
    </row>
    <row r="96" spans="1:2" x14ac:dyDescent="0.25">
      <c r="A96">
        <v>6100.31</v>
      </c>
      <c r="B96">
        <f t="shared" si="1"/>
        <v>5.4423463725609175E-4</v>
      </c>
    </row>
    <row r="97" spans="1:2" x14ac:dyDescent="0.25">
      <c r="A97">
        <v>6103.63</v>
      </c>
      <c r="B97">
        <f t="shared" si="1"/>
        <v>-3.5388776842630603E-4</v>
      </c>
    </row>
    <row r="98" spans="1:2" x14ac:dyDescent="0.25">
      <c r="A98">
        <v>6101.47</v>
      </c>
      <c r="B98">
        <f t="shared" si="1"/>
        <v>-1.8300507910388782E-2</v>
      </c>
    </row>
    <row r="99" spans="1:2" x14ac:dyDescent="0.25">
      <c r="A99">
        <v>5989.81</v>
      </c>
      <c r="B99">
        <f t="shared" si="1"/>
        <v>-1.9698454541963884E-2</v>
      </c>
    </row>
    <row r="100" spans="1:2" x14ac:dyDescent="0.25">
      <c r="A100">
        <v>5871.82</v>
      </c>
      <c r="B100">
        <f t="shared" si="1"/>
        <v>9.1607031550694617E-3</v>
      </c>
    </row>
    <row r="101" spans="1:2" x14ac:dyDescent="0.25">
      <c r="A101">
        <v>5925.61</v>
      </c>
      <c r="B101">
        <f t="shared" si="1"/>
        <v>1.0631816808733922E-3</v>
      </c>
    </row>
    <row r="102" spans="1:2" x14ac:dyDescent="0.25">
      <c r="A102">
        <v>5931.91</v>
      </c>
      <c r="B102">
        <f t="shared" si="1"/>
        <v>-1.5578456180218489E-2</v>
      </c>
    </row>
    <row r="103" spans="1:2" x14ac:dyDescent="0.25">
      <c r="A103">
        <v>5839.5</v>
      </c>
      <c r="B103">
        <f t="shared" si="1"/>
        <v>-3.4249507663327341E-4</v>
      </c>
    </row>
    <row r="104" spans="1:2" x14ac:dyDescent="0.25">
      <c r="A104">
        <v>5837.5</v>
      </c>
      <c r="B104">
        <f t="shared" si="1"/>
        <v>7.2462526766595599E-3</v>
      </c>
    </row>
    <row r="105" spans="1:2" x14ac:dyDescent="0.25">
      <c r="A105">
        <v>5879.8</v>
      </c>
      <c r="B105">
        <f t="shared" si="1"/>
        <v>9.690805809721344E-3</v>
      </c>
    </row>
    <row r="106" spans="1:2" x14ac:dyDescent="0.25">
      <c r="A106">
        <v>5936.78</v>
      </c>
      <c r="B106">
        <f t="shared" si="1"/>
        <v>-1.0746566320463313E-2</v>
      </c>
    </row>
    <row r="107" spans="1:2" x14ac:dyDescent="0.25">
      <c r="A107">
        <v>5872.98</v>
      </c>
      <c r="B107">
        <f t="shared" si="1"/>
        <v>-1.1655071190434808E-2</v>
      </c>
    </row>
    <row r="108" spans="1:2" x14ac:dyDescent="0.25">
      <c r="A108">
        <v>5804.53</v>
      </c>
      <c r="B108">
        <f t="shared" si="1"/>
        <v>-2.6656766353175806E-2</v>
      </c>
    </row>
    <row r="109" spans="1:2" x14ac:dyDescent="0.25">
      <c r="A109">
        <v>5649.8</v>
      </c>
      <c r="B109">
        <f t="shared" si="1"/>
        <v>-1.4159793267021521E-4</v>
      </c>
    </row>
    <row r="110" spans="1:2" x14ac:dyDescent="0.25">
      <c r="A110">
        <v>5649</v>
      </c>
      <c r="B110">
        <f t="shared" si="1"/>
        <v>2.3482032218091635E-2</v>
      </c>
    </row>
    <row r="111" spans="1:2" x14ac:dyDescent="0.25">
      <c r="A111">
        <v>5781.65</v>
      </c>
      <c r="B111">
        <f t="shared" si="1"/>
        <v>1.1590117008120559E-2</v>
      </c>
    </row>
    <row r="112" spans="1:2" x14ac:dyDescent="0.25">
      <c r="A112">
        <v>5848.66</v>
      </c>
      <c r="B112">
        <f t="shared" si="1"/>
        <v>-1.496753102420041E-2</v>
      </c>
    </row>
    <row r="113" spans="1:2" x14ac:dyDescent="0.25">
      <c r="A113">
        <v>5761.12</v>
      </c>
      <c r="B113">
        <f t="shared" si="1"/>
        <v>-2.3271516649540316E-2</v>
      </c>
    </row>
    <row r="114" spans="1:2" x14ac:dyDescent="0.25">
      <c r="A114">
        <v>5627.05</v>
      </c>
      <c r="B114">
        <f t="shared" si="1"/>
        <v>5.1181347242340287E-4</v>
      </c>
    </row>
    <row r="115" spans="1:2" x14ac:dyDescent="0.25">
      <c r="A115">
        <v>5629.93</v>
      </c>
      <c r="B115">
        <f t="shared" si="1"/>
        <v>-8.2292319797936959E-3</v>
      </c>
    </row>
    <row r="116" spans="1:2" x14ac:dyDescent="0.25">
      <c r="A116">
        <v>5583.6</v>
      </c>
      <c r="B116">
        <f t="shared" si="1"/>
        <v>-9.8502758077258736E-5</v>
      </c>
    </row>
    <row r="117" spans="1:2" x14ac:dyDescent="0.25">
      <c r="A117">
        <v>5583.05</v>
      </c>
      <c r="B117">
        <f t="shared" si="1"/>
        <v>6.9102014132060297E-3</v>
      </c>
    </row>
    <row r="118" spans="1:2" x14ac:dyDescent="0.25">
      <c r="A118">
        <v>5621.63</v>
      </c>
      <c r="B118">
        <f t="shared" si="1"/>
        <v>2.17605925683476E-2</v>
      </c>
    </row>
    <row r="119" spans="1:2" x14ac:dyDescent="0.25">
      <c r="A119">
        <v>5743.96</v>
      </c>
      <c r="B119">
        <f t="shared" si="1"/>
        <v>3.0828905493770833E-2</v>
      </c>
    </row>
    <row r="120" spans="1:2" x14ac:dyDescent="0.25">
      <c r="A120">
        <v>5921.04</v>
      </c>
      <c r="B120">
        <f t="shared" si="1"/>
        <v>-1.3279761663491567E-2</v>
      </c>
    </row>
    <row r="121" spans="1:2" x14ac:dyDescent="0.25">
      <c r="A121">
        <v>5842.41</v>
      </c>
      <c r="B121">
        <f t="shared" si="1"/>
        <v>-4.2568049828751991E-3</v>
      </c>
    </row>
    <row r="122" spans="1:2" x14ac:dyDescent="0.25">
      <c r="A122">
        <v>5817.54</v>
      </c>
      <c r="B122">
        <f t="shared" si="1"/>
        <v>2.9857981208551883E-3</v>
      </c>
    </row>
    <row r="123" spans="1:2" x14ac:dyDescent="0.25">
      <c r="A123">
        <v>5834.91</v>
      </c>
      <c r="B123">
        <f t="shared" si="1"/>
        <v>-5.2170470495688855E-2</v>
      </c>
    </row>
    <row r="124" spans="1:2" x14ac:dyDescent="0.25">
      <c r="A124">
        <v>5530.5</v>
      </c>
      <c r="B124">
        <f t="shared" si="1"/>
        <v>3.8766838441369857E-3</v>
      </c>
    </row>
    <row r="125" spans="1:2" x14ac:dyDescent="0.25">
      <c r="A125">
        <v>5551.94</v>
      </c>
      <c r="B125">
        <f t="shared" si="1"/>
        <v>1.4636325320518635E-2</v>
      </c>
    </row>
    <row r="126" spans="1:2" x14ac:dyDescent="0.25">
      <c r="A126">
        <v>5633.2</v>
      </c>
      <c r="B126">
        <f t="shared" si="1"/>
        <v>-2.749769225307069E-3</v>
      </c>
    </row>
    <row r="127" spans="1:2" x14ac:dyDescent="0.25">
      <c r="A127">
        <v>5617.71</v>
      </c>
      <c r="B127">
        <f t="shared" si="1"/>
        <v>-6.8230649143512087E-3</v>
      </c>
    </row>
    <row r="128" spans="1:2" x14ac:dyDescent="0.25">
      <c r="A128">
        <v>5579.38</v>
      </c>
      <c r="B128">
        <f t="shared" si="1"/>
        <v>-3.809383838347629E-2</v>
      </c>
    </row>
    <row r="129" spans="1:2" x14ac:dyDescent="0.25">
      <c r="A129">
        <v>5366.84</v>
      </c>
      <c r="B129">
        <f t="shared" si="1"/>
        <v>-2.2439647911992957E-2</v>
      </c>
    </row>
    <row r="130" spans="1:2" x14ac:dyDescent="0.25">
      <c r="A130">
        <v>5246.41</v>
      </c>
      <c r="B130">
        <f t="shared" si="1"/>
        <v>1.4110601344538407E-2</v>
      </c>
    </row>
    <row r="131" spans="1:2" x14ac:dyDescent="0.25">
      <c r="A131">
        <v>5320.44</v>
      </c>
      <c r="B131">
        <f t="shared" si="1"/>
        <v>3.9797460360421449E-2</v>
      </c>
    </row>
    <row r="132" spans="1:2" x14ac:dyDescent="0.25">
      <c r="A132">
        <v>5532.18</v>
      </c>
      <c r="B132">
        <f>(A133-A132)/A132</f>
        <v>3.0358737423583436E-2</v>
      </c>
    </row>
    <row r="133" spans="1:2" x14ac:dyDescent="0.25">
      <c r="A133">
        <v>5700.13</v>
      </c>
      <c r="B133">
        <f>(A134-A133)/A133</f>
        <v>1.8006606866860987E-2</v>
      </c>
    </row>
    <row r="134" spans="1:2" x14ac:dyDescent="0.25">
      <c r="A134">
        <v>5802.77</v>
      </c>
      <c r="B134">
        <f>(A135-A134)/A134</f>
        <v>-6.1694673405977112E-3</v>
      </c>
    </row>
    <row r="135" spans="1:2" x14ac:dyDescent="0.25">
      <c r="A135">
        <v>5766.97</v>
      </c>
      <c r="B135">
        <f>(A136-A135)/A135</f>
        <v>-1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E12"/>
  <sheetViews>
    <sheetView zoomScale="61" workbookViewId="0">
      <selection activeCell="B5" sqref="B5:E11"/>
    </sheetView>
  </sheetViews>
  <sheetFormatPr defaultColWidth="9" defaultRowHeight="15" x14ac:dyDescent="0.25"/>
  <cols>
    <col min="1" max="1" width="10" customWidth="1"/>
    <col min="2" max="2" width="54.5703125" customWidth="1"/>
    <col min="3" max="3" width="25.5703125" customWidth="1"/>
    <col min="4" max="4" width="27.42578125" customWidth="1"/>
    <col min="5" max="5" width="41.7109375" customWidth="1"/>
    <col min="6" max="256" width="10" customWidth="1"/>
  </cols>
  <sheetData>
    <row r="4" spans="2:5" ht="15.75" thickBot="1" x14ac:dyDescent="0.3"/>
    <row r="5" spans="2:5" ht="19.5" thickBot="1" x14ac:dyDescent="0.35">
      <c r="B5" s="461" t="s">
        <v>330</v>
      </c>
      <c r="C5" s="462"/>
      <c r="D5" s="462"/>
      <c r="E5" s="463"/>
    </row>
    <row r="6" spans="2:5" ht="15.75" x14ac:dyDescent="0.25">
      <c r="B6" s="255" t="s">
        <v>245</v>
      </c>
      <c r="C6" s="116" t="s">
        <v>246</v>
      </c>
      <c r="D6" s="117" t="s">
        <v>265</v>
      </c>
      <c r="E6" s="118" t="s">
        <v>247</v>
      </c>
    </row>
    <row r="7" spans="2:5" ht="15.75" x14ac:dyDescent="0.25">
      <c r="B7" s="119" t="s">
        <v>248</v>
      </c>
      <c r="C7" s="120">
        <f>[1]Pressupostos!$B$7</f>
        <v>2.5000000000000001E-2</v>
      </c>
      <c r="D7" s="120">
        <f>Pressupostos!D7</f>
        <v>0</v>
      </c>
      <c r="E7" s="355">
        <f>[2]Pressupostos!$B$7</f>
        <v>-2.5000000000000001E-2</v>
      </c>
    </row>
    <row r="8" spans="2:5" ht="15.75" x14ac:dyDescent="0.25">
      <c r="B8" s="119" t="s">
        <v>249</v>
      </c>
      <c r="C8" s="121">
        <f>'[1]VAL E PB'!$C$10</f>
        <v>188985109.3518742</v>
      </c>
      <c r="D8" s="121">
        <f>'VAL E PB'!C10</f>
        <v>229954412.66347596</v>
      </c>
      <c r="E8" s="356">
        <f>'[2]VAL E PB'!$C$10</f>
        <v>172382114.18073162</v>
      </c>
    </row>
    <row r="9" spans="2:5" ht="15.75" x14ac:dyDescent="0.25">
      <c r="B9" s="119" t="s">
        <v>253</v>
      </c>
      <c r="C9" s="313">
        <f>'[1]VAL E PB'!$C$11</f>
        <v>2.277188832901877</v>
      </c>
      <c r="D9" s="313">
        <f>'VAL E PB'!C11</f>
        <v>1.9982029624070106</v>
      </c>
      <c r="E9" s="357">
        <f>'[2]VAL E PB'!$C$11</f>
        <v>2.3038030449128191</v>
      </c>
    </row>
    <row r="10" spans="2:5" ht="15.75" x14ac:dyDescent="0.25">
      <c r="B10" s="122" t="s">
        <v>243</v>
      </c>
      <c r="C10" s="123">
        <f>'[1]VAL E PB'!$C$12</f>
        <v>0.23</v>
      </c>
      <c r="D10" s="123">
        <f>'VAL E PB'!C13</f>
        <v>0.75372028209906294</v>
      </c>
      <c r="E10" s="358">
        <f>'[2]VAL E PB'!$C$13</f>
        <v>0.64648713788463774</v>
      </c>
    </row>
    <row r="11" spans="2:5" ht="16.5" thickBot="1" x14ac:dyDescent="0.3">
      <c r="B11" s="124" t="s">
        <v>244</v>
      </c>
      <c r="C11" s="359">
        <f>'[1]VAL E PB'!$C$14</f>
        <v>2.4781555030637188</v>
      </c>
      <c r="D11" s="125">
        <f>'VAL E PB'!C14</f>
        <v>2.7985987451499246</v>
      </c>
      <c r="E11" s="360">
        <f>'[2]VAL E PB'!$C$14</f>
        <v>2.3482944321902988</v>
      </c>
    </row>
    <row r="12" spans="2:5" ht="15.75" x14ac:dyDescent="0.25">
      <c r="E12" s="126"/>
    </row>
  </sheetData>
  <mergeCells count="1">
    <mergeCell ref="B5:E5"/>
  </mergeCells>
  <conditionalFormatting sqref="B7:B9">
    <cfRule type="dataBar" priority="13">
      <dataBar>
        <cfvo type="min"/>
        <cfvo type="max"/>
        <color rgb="FF008AEF"/>
      </dataBar>
    </cfRule>
    <cfRule type="dataBar" priority="14">
      <dataBar>
        <cfvo type="min"/>
        <cfvo type="max"/>
        <color rgb="FF63C384"/>
      </dataBar>
    </cfRule>
  </conditionalFormatting>
  <conditionalFormatting sqref="C6">
    <cfRule type="dataBar" priority="5">
      <dataBar>
        <cfvo type="min"/>
        <cfvo type="max"/>
        <color rgb="FFFFB628"/>
      </dataBar>
    </cfRule>
    <cfRule type="dataBar" priority="6">
      <dataBar>
        <cfvo type="min"/>
        <cfvo type="max"/>
        <color rgb="FF008AEF"/>
      </dataBar>
    </cfRule>
  </conditionalFormatting>
  <conditionalFormatting sqref="C8">
    <cfRule type="dataBar" priority="2">
      <dataBar>
        <cfvo type="min"/>
        <cfvo type="max"/>
        <color rgb="FF63C384"/>
      </dataBar>
    </cfRule>
  </conditionalFormatting>
  <conditionalFormatting sqref="D6">
    <cfRule type="dataBar" priority="11">
      <dataBar>
        <cfvo type="min"/>
        <cfvo type="max"/>
        <color rgb="FF008AEF"/>
      </dataBar>
    </cfRule>
    <cfRule type="dataBar" priority="12">
      <dataBar>
        <cfvo type="min"/>
        <cfvo type="max"/>
        <color rgb="FF63C384"/>
      </dataBar>
    </cfRule>
  </conditionalFormatting>
  <conditionalFormatting sqref="D8">
    <cfRule type="dataBar" priority="3">
      <dataBar>
        <cfvo type="min"/>
        <cfvo type="max"/>
        <color rgb="FF008AEF"/>
      </dataBar>
    </cfRule>
  </conditionalFormatting>
  <conditionalFormatting sqref="E6">
    <cfRule type="dataBar" priority="7">
      <dataBar>
        <cfvo type="min"/>
        <cfvo type="max"/>
        <color rgb="FF008AEF"/>
      </dataBar>
    </cfRule>
    <cfRule type="dataBar" priority="8">
      <dataBar>
        <cfvo type="min"/>
        <cfvo type="max"/>
        <color rgb="FF63C384"/>
      </dataBar>
    </cfRule>
  </conditionalFormatting>
  <conditionalFormatting sqref="E8">
    <cfRule type="dataBar" priority="1">
      <dataBar>
        <cfvo type="min"/>
        <cfvo type="max"/>
        <color rgb="FFFF555A"/>
      </dataBar>
    </cfRule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workbookViewId="0">
      <selection activeCell="C7" sqref="C7"/>
    </sheetView>
  </sheetViews>
  <sheetFormatPr defaultColWidth="9" defaultRowHeight="15" x14ac:dyDescent="0.25"/>
  <cols>
    <col min="1" max="1" width="12.28515625" customWidth="1"/>
    <col min="2" max="2" width="15.42578125" customWidth="1"/>
    <col min="3" max="256" width="10" customWidth="1"/>
  </cols>
  <sheetData>
    <row r="1" spans="1:7" x14ac:dyDescent="0.25">
      <c r="A1" s="464" t="s">
        <v>169</v>
      </c>
      <c r="B1" s="465"/>
      <c r="C1" s="465"/>
      <c r="D1" s="465"/>
      <c r="E1" s="465"/>
      <c r="F1" s="465"/>
      <c r="G1" s="466"/>
    </row>
    <row r="2" spans="1:7" x14ac:dyDescent="0.25">
      <c r="A2" s="6" t="s">
        <v>138</v>
      </c>
      <c r="B2" s="6">
        <v>2019</v>
      </c>
      <c r="C2" s="6">
        <v>2020</v>
      </c>
      <c r="D2" s="6">
        <v>2021</v>
      </c>
      <c r="E2" s="6">
        <v>2022</v>
      </c>
      <c r="F2" s="6">
        <v>2023</v>
      </c>
      <c r="G2" s="6">
        <v>2024</v>
      </c>
    </row>
    <row r="3" spans="1:7" x14ac:dyDescent="0.25">
      <c r="A3" s="6" t="s">
        <v>170</v>
      </c>
      <c r="B3" s="127">
        <v>0</v>
      </c>
      <c r="C3" s="127">
        <f>D.RESULTADOS!C5/D.RESULTADOS!C7</f>
        <v>4.1159317698753259</v>
      </c>
      <c r="D3" s="127">
        <f>D.RESULTADOS!D5/D.RESULTADOS!D7</f>
        <v>3.2073865336505833</v>
      </c>
      <c r="E3" s="127">
        <f>D.RESULTADOS!E5/D.RESULTADOS!E7</f>
        <v>2.6713272743449052</v>
      </c>
      <c r="F3" s="127">
        <f>D.RESULTADOS!F5/D.RESULTADOS!F7</f>
        <v>2.3189835904000131</v>
      </c>
      <c r="G3" s="127">
        <f>D.RESULTADOS!G5/D.RESULTADOS!G7</f>
        <v>2.0706918965521441</v>
      </c>
    </row>
    <row r="5" spans="1:7" x14ac:dyDescent="0.25">
      <c r="A5" s="6" t="s">
        <v>171</v>
      </c>
      <c r="B5" s="6"/>
      <c r="C5" s="6"/>
      <c r="D5" s="6"/>
      <c r="E5" s="6"/>
      <c r="F5" s="6"/>
      <c r="G5" s="6"/>
    </row>
    <row r="6" spans="1:7" x14ac:dyDescent="0.25">
      <c r="A6" s="6" t="s">
        <v>172</v>
      </c>
      <c r="B6" s="6">
        <v>2019</v>
      </c>
      <c r="C6" s="6">
        <v>2020</v>
      </c>
      <c r="D6" s="6">
        <v>2021</v>
      </c>
      <c r="E6" s="6">
        <v>2022</v>
      </c>
      <c r="F6" s="6">
        <v>2023</v>
      </c>
      <c r="G6" s="6">
        <v>2024</v>
      </c>
    </row>
    <row r="7" spans="1:7" x14ac:dyDescent="0.25">
      <c r="A7" s="6" t="s">
        <v>173</v>
      </c>
      <c r="B7" s="6"/>
      <c r="C7" s="6"/>
      <c r="D7" s="6"/>
      <c r="E7" s="6"/>
      <c r="F7" s="6"/>
      <c r="G7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50"/>
  <sheetViews>
    <sheetView tabSelected="1" zoomScale="92" workbookViewId="0">
      <selection activeCell="C12" sqref="C12:D12"/>
    </sheetView>
  </sheetViews>
  <sheetFormatPr defaultColWidth="9" defaultRowHeight="15" x14ac:dyDescent="0.25"/>
  <cols>
    <col min="1" max="1" width="60.85546875" customWidth="1"/>
    <col min="2" max="2" width="15" customWidth="1"/>
    <col min="3" max="3" width="18.28515625" customWidth="1"/>
    <col min="4" max="4" width="12.42578125" customWidth="1"/>
    <col min="5" max="5" width="36" customWidth="1"/>
    <col min="6" max="6" width="9.140625" customWidth="1"/>
    <col min="7" max="7" width="10"/>
    <col min="8" max="8" width="13.28515625" customWidth="1"/>
    <col min="9" max="256" width="10" customWidth="1"/>
  </cols>
  <sheetData>
    <row r="1" spans="1:8" ht="18.75" x14ac:dyDescent="0.25">
      <c r="A1" s="403" t="s">
        <v>259</v>
      </c>
      <c r="B1" s="404"/>
      <c r="C1" s="404"/>
      <c r="D1" s="404"/>
      <c r="E1" s="404"/>
      <c r="F1" s="12"/>
    </row>
    <row r="2" spans="1:8" ht="15.75" x14ac:dyDescent="0.25">
      <c r="A2" s="367"/>
      <c r="B2" s="368"/>
      <c r="C2" s="368"/>
      <c r="D2" s="368"/>
      <c r="E2" s="369"/>
    </row>
    <row r="3" spans="1:8" ht="15.75" x14ac:dyDescent="0.25">
      <c r="A3" s="266" t="s">
        <v>0</v>
      </c>
      <c r="B3" s="267" t="s">
        <v>1</v>
      </c>
      <c r="C3" s="267" t="s">
        <v>2</v>
      </c>
      <c r="D3" s="268"/>
      <c r="E3" s="269" t="s">
        <v>3</v>
      </c>
    </row>
    <row r="4" spans="1:8" ht="16.5" thickBot="1" x14ac:dyDescent="0.3">
      <c r="A4" s="405" t="s">
        <v>4</v>
      </c>
      <c r="B4" s="406"/>
      <c r="C4" s="406"/>
      <c r="D4" s="406"/>
      <c r="E4" s="407"/>
    </row>
    <row r="5" spans="1:8" ht="16.5" thickBot="1" x14ac:dyDescent="0.3">
      <c r="A5" s="270" t="s">
        <v>293</v>
      </c>
      <c r="B5" s="271">
        <v>1</v>
      </c>
      <c r="C5" s="365">
        <v>120000</v>
      </c>
      <c r="D5" s="366"/>
      <c r="E5" s="272">
        <f>B5*C5</f>
        <v>120000</v>
      </c>
    </row>
    <row r="6" spans="1:8" ht="16.5" thickBot="1" x14ac:dyDescent="0.3">
      <c r="A6" s="273" t="s">
        <v>5</v>
      </c>
      <c r="B6" s="271"/>
      <c r="C6" s="378"/>
      <c r="D6" s="379"/>
      <c r="E6" s="274">
        <f>E5</f>
        <v>120000</v>
      </c>
    </row>
    <row r="7" spans="1:8" ht="16.5" thickBot="1" x14ac:dyDescent="0.3">
      <c r="A7" s="375" t="s">
        <v>6</v>
      </c>
      <c r="B7" s="376"/>
      <c r="C7" s="376"/>
      <c r="D7" s="376"/>
      <c r="E7" s="377"/>
    </row>
    <row r="8" spans="1:8" ht="16.5" thickBot="1" x14ac:dyDescent="0.3">
      <c r="A8" s="275" t="s">
        <v>7</v>
      </c>
      <c r="B8" s="276">
        <v>1</v>
      </c>
      <c r="C8" s="380">
        <v>0</v>
      </c>
      <c r="D8" s="381"/>
      <c r="E8" s="277">
        <f>B8*C8</f>
        <v>0</v>
      </c>
    </row>
    <row r="9" spans="1:8" ht="16.5" thickBot="1" x14ac:dyDescent="0.3">
      <c r="A9" s="275" t="s">
        <v>93</v>
      </c>
      <c r="B9" s="276">
        <v>40</v>
      </c>
      <c r="C9" s="380">
        <v>0</v>
      </c>
      <c r="D9" s="381"/>
      <c r="E9" s="277">
        <f>C9*B9</f>
        <v>0</v>
      </c>
    </row>
    <row r="10" spans="1:8" ht="16.5" thickBot="1" x14ac:dyDescent="0.3">
      <c r="A10" s="273" t="s">
        <v>5</v>
      </c>
      <c r="B10" s="276"/>
      <c r="C10" s="373"/>
      <c r="D10" s="374"/>
      <c r="E10" s="278">
        <f>SUM(E8:E9)+E6</f>
        <v>120000</v>
      </c>
    </row>
    <row r="11" spans="1:8" ht="16.5" thickBot="1" x14ac:dyDescent="0.3">
      <c r="A11" s="370" t="s">
        <v>200</v>
      </c>
      <c r="B11" s="371"/>
      <c r="C11" s="371"/>
      <c r="D11" s="371"/>
      <c r="E11" s="372"/>
    </row>
    <row r="12" spans="1:8" ht="16.5" thickBot="1" x14ac:dyDescent="0.3">
      <c r="A12" s="279" t="s">
        <v>305</v>
      </c>
      <c r="B12" s="280">
        <v>1</v>
      </c>
      <c r="C12" s="363">
        <v>300000</v>
      </c>
      <c r="D12" s="364"/>
      <c r="E12" s="281">
        <f>C12*B12*12</f>
        <v>3600000</v>
      </c>
      <c r="H12" s="13"/>
    </row>
    <row r="13" spans="1:8" ht="16.5" thickBot="1" x14ac:dyDescent="0.3">
      <c r="A13" s="279" t="s">
        <v>317</v>
      </c>
      <c r="B13" s="282">
        <v>1</v>
      </c>
      <c r="C13" s="363">
        <v>4000000</v>
      </c>
      <c r="D13" s="364"/>
      <c r="E13" s="281">
        <f>C13*B13</f>
        <v>4000000</v>
      </c>
      <c r="H13" s="13"/>
    </row>
    <row r="14" spans="1:8" ht="16.5" thickBot="1" x14ac:dyDescent="0.3">
      <c r="A14" s="279" t="s">
        <v>5</v>
      </c>
      <c r="B14" s="282"/>
      <c r="C14" s="389"/>
      <c r="D14" s="390"/>
      <c r="E14" s="283">
        <f>SUM(E13)</f>
        <v>4000000</v>
      </c>
    </row>
    <row r="15" spans="1:8" ht="16.5" thickBot="1" x14ac:dyDescent="0.3">
      <c r="A15" s="384" t="s">
        <v>10</v>
      </c>
      <c r="B15" s="385"/>
      <c r="C15" s="385"/>
      <c r="D15" s="385"/>
      <c r="E15" s="386"/>
    </row>
    <row r="16" spans="1:8" ht="16.5" thickBot="1" x14ac:dyDescent="0.3">
      <c r="A16" s="284" t="s">
        <v>318</v>
      </c>
      <c r="B16" s="285">
        <v>5</v>
      </c>
      <c r="C16" s="399">
        <v>200000</v>
      </c>
      <c r="D16" s="400"/>
      <c r="E16" s="286">
        <f t="shared" ref="E16:E27" si="0">C16*B16</f>
        <v>1000000</v>
      </c>
    </row>
    <row r="17" spans="1:5" ht="16.5" thickBot="1" x14ac:dyDescent="0.3">
      <c r="A17" s="287" t="s">
        <v>319</v>
      </c>
      <c r="B17" s="276">
        <v>2</v>
      </c>
      <c r="C17" s="365">
        <v>2000000</v>
      </c>
      <c r="D17" s="366"/>
      <c r="E17" s="286">
        <f t="shared" si="0"/>
        <v>4000000</v>
      </c>
    </row>
    <row r="18" spans="1:5" ht="16.5" thickBot="1" x14ac:dyDescent="0.3">
      <c r="A18" s="256" t="s">
        <v>282</v>
      </c>
      <c r="B18" s="276">
        <v>3</v>
      </c>
      <c r="C18" s="365">
        <v>500000</v>
      </c>
      <c r="D18" s="366"/>
      <c r="E18" s="286">
        <f t="shared" si="0"/>
        <v>1500000</v>
      </c>
    </row>
    <row r="19" spans="1:5" ht="16.5" thickBot="1" x14ac:dyDescent="0.3">
      <c r="A19" s="256" t="s">
        <v>281</v>
      </c>
      <c r="B19" s="276">
        <v>3</v>
      </c>
      <c r="C19" s="365">
        <v>350000</v>
      </c>
      <c r="D19" s="366"/>
      <c r="E19" s="286">
        <f t="shared" si="0"/>
        <v>1050000</v>
      </c>
    </row>
    <row r="20" spans="1:5" ht="16.5" thickBot="1" x14ac:dyDescent="0.3">
      <c r="A20" s="256" t="s">
        <v>283</v>
      </c>
      <c r="B20" s="276">
        <v>10</v>
      </c>
      <c r="C20" s="365">
        <v>100000</v>
      </c>
      <c r="D20" s="366"/>
      <c r="E20" s="286">
        <f t="shared" si="0"/>
        <v>1000000</v>
      </c>
    </row>
    <row r="21" spans="1:5" ht="16.5" thickBot="1" x14ac:dyDescent="0.3">
      <c r="A21" s="256" t="s">
        <v>284</v>
      </c>
      <c r="B21" s="276">
        <v>3</v>
      </c>
      <c r="C21" s="365">
        <v>600000</v>
      </c>
      <c r="D21" s="366"/>
      <c r="E21" s="286">
        <f t="shared" si="0"/>
        <v>1800000</v>
      </c>
    </row>
    <row r="22" spans="1:5" ht="16.5" thickBot="1" x14ac:dyDescent="0.3">
      <c r="A22" s="256" t="s">
        <v>285</v>
      </c>
      <c r="B22" s="276">
        <v>10</v>
      </c>
      <c r="C22" s="365">
        <v>400000</v>
      </c>
      <c r="D22" s="366"/>
      <c r="E22" s="286">
        <f t="shared" si="0"/>
        <v>4000000</v>
      </c>
    </row>
    <row r="23" spans="1:5" ht="16.5" thickBot="1" x14ac:dyDescent="0.3">
      <c r="A23" s="256" t="s">
        <v>286</v>
      </c>
      <c r="B23" s="276">
        <v>5</v>
      </c>
      <c r="C23" s="365">
        <v>700000</v>
      </c>
      <c r="D23" s="366"/>
      <c r="E23" s="286">
        <f t="shared" si="0"/>
        <v>3500000</v>
      </c>
    </row>
    <row r="24" spans="1:5" ht="16.5" thickBot="1" x14ac:dyDescent="0.3">
      <c r="A24" s="256" t="s">
        <v>287</v>
      </c>
      <c r="B24" s="276">
        <v>15</v>
      </c>
      <c r="C24" s="365">
        <v>120000</v>
      </c>
      <c r="D24" s="366"/>
      <c r="E24" s="286">
        <f t="shared" si="0"/>
        <v>1800000</v>
      </c>
    </row>
    <row r="25" spans="1:5" ht="16.5" thickBot="1" x14ac:dyDescent="0.3">
      <c r="A25" s="256" t="s">
        <v>288</v>
      </c>
      <c r="B25" s="276">
        <v>10</v>
      </c>
      <c r="C25" s="365">
        <v>250000</v>
      </c>
      <c r="D25" s="366"/>
      <c r="E25" s="286">
        <f t="shared" si="0"/>
        <v>2500000</v>
      </c>
    </row>
    <row r="26" spans="1:5" ht="16.5" thickBot="1" x14ac:dyDescent="0.3">
      <c r="A26" s="256" t="s">
        <v>289</v>
      </c>
      <c r="B26" s="276">
        <v>2</v>
      </c>
      <c r="C26" s="365">
        <v>1000000</v>
      </c>
      <c r="D26" s="366"/>
      <c r="E26" s="286">
        <f t="shared" si="0"/>
        <v>2000000</v>
      </c>
    </row>
    <row r="27" spans="1:5" ht="16.5" thickBot="1" x14ac:dyDescent="0.3">
      <c r="A27" s="258" t="s">
        <v>290</v>
      </c>
      <c r="B27" s="276">
        <v>5</v>
      </c>
      <c r="C27" s="365">
        <v>300000</v>
      </c>
      <c r="D27" s="366"/>
      <c r="E27" s="286">
        <f t="shared" si="0"/>
        <v>1500000</v>
      </c>
    </row>
    <row r="28" spans="1:5" ht="16.5" thickBot="1" x14ac:dyDescent="0.3">
      <c r="A28" s="257" t="s">
        <v>291</v>
      </c>
      <c r="B28" s="276">
        <v>1</v>
      </c>
      <c r="C28" s="365">
        <v>7000000</v>
      </c>
      <c r="D28" s="366"/>
      <c r="E28" s="286">
        <f t="shared" ref="E28" si="1">C28*B28</f>
        <v>7000000</v>
      </c>
    </row>
    <row r="29" spans="1:5" ht="16.5" thickBot="1" x14ac:dyDescent="0.3">
      <c r="A29" s="288" t="s">
        <v>11</v>
      </c>
      <c r="B29" s="289"/>
      <c r="C29" s="395"/>
      <c r="D29" s="396"/>
      <c r="E29" s="290">
        <f>SUM(E16:E28)</f>
        <v>32650000</v>
      </c>
    </row>
    <row r="30" spans="1:5" ht="16.5" thickBot="1" x14ac:dyDescent="0.3">
      <c r="A30" s="384" t="s">
        <v>210</v>
      </c>
      <c r="B30" s="385"/>
      <c r="C30" s="385"/>
      <c r="D30" s="385"/>
      <c r="E30" s="386"/>
    </row>
    <row r="31" spans="1:5" ht="16.5" thickBot="1" x14ac:dyDescent="0.3">
      <c r="A31" s="291" t="s">
        <v>211</v>
      </c>
      <c r="B31" s="292">
        <v>1</v>
      </c>
      <c r="C31" s="387">
        <v>1500000</v>
      </c>
      <c r="D31" s="388"/>
      <c r="E31" s="293">
        <f>C31*B31</f>
        <v>1500000</v>
      </c>
    </row>
    <row r="32" spans="1:5" ht="16.5" thickBot="1" x14ac:dyDescent="0.3">
      <c r="A32" s="294" t="s">
        <v>212</v>
      </c>
      <c r="B32" s="295">
        <v>1</v>
      </c>
      <c r="C32" s="408">
        <v>400000</v>
      </c>
      <c r="D32" s="409"/>
      <c r="E32" s="296">
        <f>C32*B32</f>
        <v>400000</v>
      </c>
    </row>
    <row r="33" spans="1:5" ht="16.5" thickBot="1" x14ac:dyDescent="0.3">
      <c r="A33" s="294" t="s">
        <v>213</v>
      </c>
      <c r="B33" s="297">
        <v>1</v>
      </c>
      <c r="C33" s="391">
        <v>1500000</v>
      </c>
      <c r="D33" s="392"/>
      <c r="E33" s="296">
        <f>C33*B33</f>
        <v>1500000</v>
      </c>
    </row>
    <row r="34" spans="1:5" ht="16.5" thickBot="1" x14ac:dyDescent="0.3">
      <c r="A34" s="288" t="s">
        <v>11</v>
      </c>
      <c r="B34" s="289"/>
      <c r="C34" s="395"/>
      <c r="D34" s="396"/>
      <c r="E34" s="298">
        <f>SUM(E31:E33)</f>
        <v>3400000</v>
      </c>
    </row>
    <row r="35" spans="1:5" ht="16.5" thickBot="1" x14ac:dyDescent="0.3">
      <c r="A35" s="401" t="s">
        <v>12</v>
      </c>
      <c r="B35" s="385"/>
      <c r="C35" s="385"/>
      <c r="D35" s="385"/>
      <c r="E35" s="402"/>
    </row>
    <row r="36" spans="1:5" ht="16.5" thickBot="1" x14ac:dyDescent="0.3">
      <c r="A36" s="299" t="s">
        <v>279</v>
      </c>
      <c r="B36" s="285">
        <v>6</v>
      </c>
      <c r="C36" s="397">
        <v>800000</v>
      </c>
      <c r="D36" s="398"/>
      <c r="E36" s="300">
        <f>C36*B36</f>
        <v>4800000</v>
      </c>
    </row>
    <row r="37" spans="1:5" ht="16.5" thickBot="1" x14ac:dyDescent="0.3">
      <c r="A37" s="301" t="s">
        <v>292</v>
      </c>
      <c r="B37" s="276">
        <v>2</v>
      </c>
      <c r="C37" s="363">
        <v>31500000</v>
      </c>
      <c r="D37" s="364"/>
      <c r="E37" s="302">
        <f>C37*B37</f>
        <v>63000000</v>
      </c>
    </row>
    <row r="38" spans="1:5" ht="16.5" thickBot="1" x14ac:dyDescent="0.3">
      <c r="A38" s="303" t="s">
        <v>11</v>
      </c>
      <c r="B38" s="276"/>
      <c r="C38" s="393"/>
      <c r="D38" s="394"/>
      <c r="E38" s="304">
        <f>SUM(E36:E37)</f>
        <v>67800000</v>
      </c>
    </row>
    <row r="39" spans="1:5" ht="16.5" thickBot="1" x14ac:dyDescent="0.3">
      <c r="A39" s="401" t="s">
        <v>294</v>
      </c>
      <c r="B39" s="385"/>
      <c r="C39" s="385"/>
      <c r="D39" s="385"/>
      <c r="E39" s="402"/>
    </row>
    <row r="40" spans="1:5" ht="16.5" thickBot="1" x14ac:dyDescent="0.3">
      <c r="A40" s="305" t="s">
        <v>295</v>
      </c>
      <c r="B40" s="276">
        <v>10</v>
      </c>
      <c r="C40" s="363">
        <v>270000</v>
      </c>
      <c r="D40" s="364"/>
      <c r="E40" s="300">
        <f t="shared" ref="E40:E45" si="2">C40*B40</f>
        <v>2700000</v>
      </c>
    </row>
    <row r="41" spans="1:5" ht="16.5" thickBot="1" x14ac:dyDescent="0.3">
      <c r="A41" s="306" t="s">
        <v>296</v>
      </c>
      <c r="B41" s="276">
        <v>10</v>
      </c>
      <c r="C41" s="363">
        <v>70000</v>
      </c>
      <c r="D41" s="364"/>
      <c r="E41" s="300">
        <f t="shared" si="2"/>
        <v>700000</v>
      </c>
    </row>
    <row r="42" spans="1:5" ht="16.5" thickBot="1" x14ac:dyDescent="0.3">
      <c r="A42" s="306" t="s">
        <v>297</v>
      </c>
      <c r="B42" s="276">
        <v>10</v>
      </c>
      <c r="C42" s="363">
        <v>118483</v>
      </c>
      <c r="D42" s="364"/>
      <c r="E42" s="300">
        <f t="shared" si="2"/>
        <v>1184830</v>
      </c>
    </row>
    <row r="43" spans="1:5" ht="16.5" thickBot="1" x14ac:dyDescent="0.3">
      <c r="A43" s="306" t="s">
        <v>298</v>
      </c>
      <c r="B43" s="276">
        <v>10</v>
      </c>
      <c r="C43" s="363">
        <v>65883</v>
      </c>
      <c r="D43" s="364"/>
      <c r="E43" s="300">
        <f t="shared" si="2"/>
        <v>658830</v>
      </c>
    </row>
    <row r="44" spans="1:5" ht="16.5" thickBot="1" x14ac:dyDescent="0.3">
      <c r="A44" s="306" t="s">
        <v>299</v>
      </c>
      <c r="B44" s="276">
        <v>10</v>
      </c>
      <c r="C44" s="363">
        <v>195000</v>
      </c>
      <c r="D44" s="364"/>
      <c r="E44" s="300">
        <f t="shared" si="2"/>
        <v>1950000</v>
      </c>
    </row>
    <row r="45" spans="1:5" ht="16.5" thickBot="1" x14ac:dyDescent="0.3">
      <c r="A45" s="307" t="s">
        <v>300</v>
      </c>
      <c r="B45" s="276">
        <v>1</v>
      </c>
      <c r="C45" s="363">
        <v>4000000</v>
      </c>
      <c r="D45" s="364"/>
      <c r="E45" s="300">
        <f t="shared" si="2"/>
        <v>4000000</v>
      </c>
    </row>
    <row r="46" spans="1:5" ht="16.5" thickBot="1" x14ac:dyDescent="0.3">
      <c r="A46" s="303" t="s">
        <v>11</v>
      </c>
      <c r="B46" s="276"/>
      <c r="C46" s="393"/>
      <c r="D46" s="394"/>
      <c r="E46" s="304">
        <f>SUM(E40:E45)</f>
        <v>11193660</v>
      </c>
    </row>
    <row r="47" spans="1:5" ht="16.5" thickBot="1" x14ac:dyDescent="0.3">
      <c r="A47" s="375" t="s">
        <v>13</v>
      </c>
      <c r="B47" s="376"/>
      <c r="C47" s="376"/>
      <c r="D47" s="376"/>
      <c r="E47" s="377"/>
    </row>
    <row r="48" spans="1:5" ht="16.5" thickBot="1" x14ac:dyDescent="0.3">
      <c r="A48" s="275" t="s">
        <v>8</v>
      </c>
      <c r="B48" s="308"/>
      <c r="C48" s="393"/>
      <c r="D48" s="394"/>
      <c r="E48" s="300">
        <f t="shared" ref="E48" si="3">C48*B48</f>
        <v>0</v>
      </c>
    </row>
    <row r="49" spans="1:5" ht="16.5" thickBot="1" x14ac:dyDescent="0.3">
      <c r="A49" s="273" t="s">
        <v>11</v>
      </c>
      <c r="B49" s="308"/>
      <c r="C49" s="373"/>
      <c r="D49" s="374"/>
      <c r="E49" s="309">
        <f>SUM(E48:E48)</f>
        <v>0</v>
      </c>
    </row>
    <row r="50" spans="1:5" ht="16.5" thickBot="1" x14ac:dyDescent="0.3">
      <c r="A50" s="310" t="s">
        <v>280</v>
      </c>
      <c r="B50" s="311"/>
      <c r="C50" s="382"/>
      <c r="D50" s="383"/>
      <c r="E50" s="312">
        <f>E6+E10+E14+E29+E34+E38+E46+E49+I9</f>
        <v>119283660</v>
      </c>
    </row>
  </sheetData>
  <mergeCells count="49">
    <mergeCell ref="C38:D38"/>
    <mergeCell ref="A39:E39"/>
    <mergeCell ref="C28:D28"/>
    <mergeCell ref="A1:E1"/>
    <mergeCell ref="A4:E4"/>
    <mergeCell ref="A35:E35"/>
    <mergeCell ref="C5:D5"/>
    <mergeCell ref="C32:D32"/>
    <mergeCell ref="C17:D17"/>
    <mergeCell ref="C18:D18"/>
    <mergeCell ref="C19:D19"/>
    <mergeCell ref="C20:D20"/>
    <mergeCell ref="C21:D21"/>
    <mergeCell ref="C22:D22"/>
    <mergeCell ref="C23:D23"/>
    <mergeCell ref="C24:D24"/>
    <mergeCell ref="C50:D50"/>
    <mergeCell ref="A15:E15"/>
    <mergeCell ref="C31:D31"/>
    <mergeCell ref="C12:D12"/>
    <mergeCell ref="C14:D14"/>
    <mergeCell ref="A30:E30"/>
    <mergeCell ref="C33:D33"/>
    <mergeCell ref="C46:D46"/>
    <mergeCell ref="C29:D29"/>
    <mergeCell ref="C49:D49"/>
    <mergeCell ref="C36:D36"/>
    <mergeCell ref="C34:D34"/>
    <mergeCell ref="C37:D37"/>
    <mergeCell ref="C48:D48"/>
    <mergeCell ref="A47:E47"/>
    <mergeCell ref="C16:D16"/>
    <mergeCell ref="C25:D25"/>
    <mergeCell ref="C26:D26"/>
    <mergeCell ref="C27:D27"/>
    <mergeCell ref="A2:E2"/>
    <mergeCell ref="A11:E11"/>
    <mergeCell ref="C10:D10"/>
    <mergeCell ref="A7:E7"/>
    <mergeCell ref="C6:D6"/>
    <mergeCell ref="C8:D8"/>
    <mergeCell ref="C9:D9"/>
    <mergeCell ref="C13:D13"/>
    <mergeCell ref="C40:D40"/>
    <mergeCell ref="C45:D45"/>
    <mergeCell ref="C44:D44"/>
    <mergeCell ref="C43:D43"/>
    <mergeCell ref="C42:D42"/>
    <mergeCell ref="C41:D41"/>
  </mergeCells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1"/>
  <sheetViews>
    <sheetView topLeftCell="B2" workbookViewId="0">
      <selection activeCell="C17" sqref="C17"/>
    </sheetView>
  </sheetViews>
  <sheetFormatPr defaultColWidth="9" defaultRowHeight="15" x14ac:dyDescent="0.25"/>
  <cols>
    <col min="1" max="1" width="40" customWidth="1"/>
    <col min="2" max="2" width="14.5703125" customWidth="1"/>
    <col min="3" max="3" width="21" customWidth="1"/>
    <col min="4" max="4" width="19.85546875" customWidth="1"/>
    <col min="5" max="5" width="16.5703125" customWidth="1"/>
    <col min="6" max="6" width="18.7109375" customWidth="1"/>
    <col min="7" max="7" width="21.5703125" customWidth="1"/>
    <col min="8" max="11" width="10"/>
    <col min="12" max="12" width="11.28515625" customWidth="1"/>
    <col min="13" max="256" width="10" customWidth="1"/>
  </cols>
  <sheetData>
    <row r="1" spans="1:12" ht="15.75" x14ac:dyDescent="0.25">
      <c r="A1" s="467" t="s">
        <v>122</v>
      </c>
      <c r="B1" s="467"/>
      <c r="C1" s="467"/>
      <c r="D1" s="467"/>
      <c r="E1" s="467"/>
      <c r="F1" s="467"/>
      <c r="G1" s="467"/>
    </row>
    <row r="2" spans="1:12" ht="15.75" x14ac:dyDescent="0.25">
      <c r="A2" s="96" t="s">
        <v>16</v>
      </c>
      <c r="B2" s="96">
        <v>2019</v>
      </c>
      <c r="C2" s="96">
        <f>B2+1</f>
        <v>2020</v>
      </c>
      <c r="D2" s="96">
        <f>C2+1</f>
        <v>2021</v>
      </c>
      <c r="E2" s="96">
        <f>D2+1</f>
        <v>2022</v>
      </c>
      <c r="F2" s="96">
        <f>E2+1</f>
        <v>2023</v>
      </c>
      <c r="G2" s="96">
        <f>F2+1</f>
        <v>2024</v>
      </c>
    </row>
    <row r="3" spans="1:12" x14ac:dyDescent="0.2">
      <c r="A3" s="97" t="s">
        <v>123</v>
      </c>
      <c r="B3" s="128">
        <v>0</v>
      </c>
      <c r="C3" s="128">
        <f>D.RESULTADOS!C5/D.RESULTADOS!C3*100</f>
        <v>100</v>
      </c>
      <c r="D3" s="128">
        <f>D.RESULTADOS!D5/D.RESULTADOS!D3*100</f>
        <v>100</v>
      </c>
      <c r="E3" s="128">
        <f>D.RESULTADOS!E5/D.RESULTADOS!E3*100</f>
        <v>100</v>
      </c>
      <c r="F3" s="128">
        <f>D.RESULTADOS!F5/D.RESULTADOS!F3*100</f>
        <v>100</v>
      </c>
      <c r="G3" s="128">
        <f>D.RESULTADOS!G5/D.RESULTADOS!G3*100</f>
        <v>100</v>
      </c>
    </row>
    <row r="4" spans="1:12" x14ac:dyDescent="0.2">
      <c r="A4" s="97" t="s">
        <v>124</v>
      </c>
      <c r="B4" s="128">
        <v>0</v>
      </c>
      <c r="C4" s="128">
        <f>D.RESULTADOS!C3/B.Previsional!C10*100</f>
        <v>196.99765528610089</v>
      </c>
      <c r="D4" s="128">
        <f>D.RESULTADOS!D3/B.Previsional!D10*100</f>
        <v>175.13864763988599</v>
      </c>
      <c r="E4" s="128">
        <f>D.RESULTADOS!E3/B.Previsional!E10*100</f>
        <v>148.62958899522144</v>
      </c>
      <c r="F4" s="128">
        <f>D.RESULTADOS!F3/B.Previsional!F10*100</f>
        <v>124.18930118617166</v>
      </c>
      <c r="G4" s="128" t="e">
        <f>D.RESULTADOS!G3/B.Previsional!#REF!*100</f>
        <v>#REF!</v>
      </c>
    </row>
    <row r="5" spans="1:12" x14ac:dyDescent="0.2">
      <c r="A5" s="97" t="s">
        <v>125</v>
      </c>
      <c r="B5" s="128">
        <v>0</v>
      </c>
      <c r="C5" s="128">
        <f>D.RESULTADOS!C17/B.Previsional!C16*100</f>
        <v>35.799102933180542</v>
      </c>
      <c r="D5" s="128">
        <f>D.RESULTADOS!D17/B.Previsional!D16*100</f>
        <v>38.085424229501996</v>
      </c>
      <c r="E5" s="128">
        <f>D.RESULTADOS!E17/B.Previsional!E16*100</f>
        <v>36.500014442887569</v>
      </c>
      <c r="F5" s="128">
        <f>D.RESULTADOS!F17/B.Previsional!F16*100</f>
        <v>33.787821194713722</v>
      </c>
      <c r="G5" s="128" t="e">
        <f>D.RESULTADOS!G17/B.Previsional!#REF!*100</f>
        <v>#REF!</v>
      </c>
    </row>
    <row r="6" spans="1:12" x14ac:dyDescent="0.2">
      <c r="A6" s="97" t="s">
        <v>126</v>
      </c>
      <c r="B6" s="128">
        <v>0</v>
      </c>
      <c r="C6" s="128">
        <f>D.RESULTADOS!C14/B.Previsional!C10*100</f>
        <v>38.555983352880304</v>
      </c>
      <c r="D6" s="128">
        <f>D.RESULTADOS!D14/B.Previsional!D10*100</f>
        <v>48.58760928581367</v>
      </c>
      <c r="E6" s="128">
        <f>D.RESULTADOS!E14/B.Previsional!E10*100</f>
        <v>52.157209534869722</v>
      </c>
      <c r="F6" s="128">
        <f>D.RESULTADOS!F14/B.Previsional!F10*100</f>
        <v>51.790223278768089</v>
      </c>
      <c r="G6" s="128" t="e">
        <f>D.RESULTADOS!G14/B.Previsional!#REF!*100</f>
        <v>#REF!</v>
      </c>
    </row>
    <row r="7" spans="1:12" x14ac:dyDescent="0.2">
      <c r="A7" s="101"/>
      <c r="B7" s="129"/>
      <c r="C7" s="101"/>
      <c r="D7" s="101"/>
      <c r="E7" s="101"/>
      <c r="F7" s="101"/>
      <c r="G7" s="101"/>
    </row>
    <row r="8" spans="1:12" ht="15.75" x14ac:dyDescent="0.25">
      <c r="A8" s="467" t="s">
        <v>127</v>
      </c>
      <c r="B8" s="467"/>
      <c r="C8" s="467"/>
      <c r="D8" s="467"/>
      <c r="E8" s="467"/>
      <c r="F8" s="467"/>
      <c r="G8" s="467"/>
    </row>
    <row r="9" spans="1:12" ht="15.75" x14ac:dyDescent="0.25">
      <c r="A9" s="96" t="s">
        <v>16</v>
      </c>
      <c r="B9" s="96">
        <v>2019</v>
      </c>
      <c r="C9" s="96">
        <f>+B9+1</f>
        <v>2020</v>
      </c>
      <c r="D9" s="96">
        <f>+C9+1</f>
        <v>2021</v>
      </c>
      <c r="E9" s="96">
        <f>+D9+1</f>
        <v>2022</v>
      </c>
      <c r="F9" s="96">
        <f>+E9+1</f>
        <v>2023</v>
      </c>
      <c r="G9" s="96">
        <f>+F9+1</f>
        <v>2024</v>
      </c>
    </row>
    <row r="10" spans="1:12" x14ac:dyDescent="0.2">
      <c r="A10" s="97" t="s">
        <v>128</v>
      </c>
      <c r="B10" s="97">
        <v>0</v>
      </c>
      <c r="C10" s="128">
        <f>B.Previsional!C16/B.Previsional!C10*100</f>
        <v>65.697595521194373</v>
      </c>
      <c r="D10" s="128">
        <f>B.Previsional!D16/B.Previsional!D10*100</f>
        <v>77.820957135059558</v>
      </c>
      <c r="E10" s="128">
        <f>B.Previsional!E16/B.Previsional!E10*100</f>
        <v>87.166808840729672</v>
      </c>
      <c r="F10" s="128">
        <f>B.Previsional!F16/B.Previsional!F10*100</f>
        <v>93.50125306390359</v>
      </c>
      <c r="G10" s="128" t="e">
        <f>B.Previsional!#REF!/B.Previsional!#REF!*100</f>
        <v>#REF!</v>
      </c>
    </row>
    <row r="11" spans="1:12" x14ac:dyDescent="0.2">
      <c r="A11" s="97" t="s">
        <v>129</v>
      </c>
      <c r="B11" s="97">
        <v>0</v>
      </c>
      <c r="C11" s="99">
        <f>B.Previsional!B16/B.Previsional!B22*100</f>
        <v>150</v>
      </c>
      <c r="D11" s="99">
        <f>B.Previsional!C16/B.Previsional!C22*100</f>
        <v>191.52475320436167</v>
      </c>
      <c r="E11" s="99">
        <f>B.Previsional!D16/B.Previsional!D22*100</f>
        <v>350.87608427898056</v>
      </c>
      <c r="F11" s="99">
        <f>B.Previsional!E16/B.Previsional!E22*100</f>
        <v>679.22941191258485</v>
      </c>
      <c r="G11" s="99">
        <f>B.Previsional!F16/B.Previsional!F22*100</f>
        <v>1438.7581788200382</v>
      </c>
    </row>
    <row r="12" spans="1:12" ht="15.75" x14ac:dyDescent="0.25">
      <c r="A12" s="97" t="s">
        <v>130</v>
      </c>
      <c r="B12" s="97">
        <v>0</v>
      </c>
      <c r="C12" s="128">
        <f>B.Previsional!B22/B.Previsional!B10*100</f>
        <v>40</v>
      </c>
      <c r="D12" s="128">
        <f>B.Previsional!C22/B.Previsional!C10*100</f>
        <v>34.30240447880562</v>
      </c>
      <c r="E12" s="128">
        <f>B.Previsional!D22/B.Previsional!D10*100</f>
        <v>22.179042864940417</v>
      </c>
      <c r="F12" s="128">
        <f>B.Previsional!E22/B.Previsional!E10*100</f>
        <v>12.833191159270326</v>
      </c>
      <c r="G12" s="128">
        <f>B.Previsional!F22/B.Previsional!F10*100</f>
        <v>6.4987469360964001</v>
      </c>
      <c r="I12" s="460" t="s">
        <v>137</v>
      </c>
      <c r="J12" s="460"/>
      <c r="K12" s="460"/>
      <c r="L12" s="460"/>
    </row>
    <row r="13" spans="1:12" x14ac:dyDescent="0.2">
      <c r="A13" s="101"/>
      <c r="B13" s="101"/>
      <c r="C13" s="101"/>
      <c r="D13" s="101"/>
      <c r="E13" s="101"/>
      <c r="F13" s="101"/>
      <c r="G13" s="101"/>
    </row>
    <row r="14" spans="1:12" x14ac:dyDescent="0.2">
      <c r="A14" s="101"/>
      <c r="B14" s="101"/>
      <c r="C14" s="101"/>
      <c r="D14" s="101"/>
      <c r="E14" s="101"/>
      <c r="F14" s="101"/>
      <c r="G14" s="101"/>
    </row>
    <row r="15" spans="1:12" ht="15.75" x14ac:dyDescent="0.25">
      <c r="A15" s="467" t="s">
        <v>131</v>
      </c>
      <c r="B15" s="467"/>
      <c r="C15" s="467"/>
      <c r="D15" s="467"/>
      <c r="E15" s="467"/>
      <c r="F15" s="467"/>
      <c r="G15" s="467"/>
    </row>
    <row r="16" spans="1:12" ht="15.75" x14ac:dyDescent="0.25">
      <c r="A16" s="96" t="s">
        <v>16</v>
      </c>
      <c r="B16" s="96">
        <v>2019</v>
      </c>
      <c r="C16" s="96">
        <f>+B16+1</f>
        <v>2020</v>
      </c>
      <c r="D16" s="96">
        <f>+C16+1</f>
        <v>2021</v>
      </c>
      <c r="E16" s="96">
        <f>+D16+1</f>
        <v>2022</v>
      </c>
      <c r="F16" s="96">
        <f>+E16+1</f>
        <v>2023</v>
      </c>
      <c r="G16" s="96">
        <f>+F16+1</f>
        <v>2024</v>
      </c>
    </row>
    <row r="17" spans="1:7" x14ac:dyDescent="0.2">
      <c r="A17" s="97" t="s">
        <v>132</v>
      </c>
      <c r="B17" s="97">
        <v>0</v>
      </c>
      <c r="C17" s="130">
        <f>D.RESULTADOS!C5/D.RESULTADOS!C7</f>
        <v>4.1159317698753259</v>
      </c>
      <c r="D17" s="130">
        <f>D.RESULTADOS!D5/D.RESULTADOS!D7</f>
        <v>3.2073865336505833</v>
      </c>
      <c r="E17" s="130">
        <f>D.RESULTADOS!E5/D.RESULTADOS!E7</f>
        <v>2.6713272743449052</v>
      </c>
      <c r="F17" s="130">
        <f>D.RESULTADOS!F5/D.RESULTADOS!F7</f>
        <v>2.3189835904000131</v>
      </c>
      <c r="G17" s="130">
        <f>D.RESULTADOS!G5/D.RESULTADOS!G7</f>
        <v>2.0706918965521441</v>
      </c>
    </row>
    <row r="18" spans="1:7" x14ac:dyDescent="0.2">
      <c r="A18" s="97" t="s">
        <v>133</v>
      </c>
      <c r="B18" s="97">
        <v>0</v>
      </c>
      <c r="C18" s="97">
        <f>D.RESULTADOS!C7/D.RESULTADOS!C6</f>
        <v>0.32093128921112796</v>
      </c>
      <c r="D18" s="97">
        <f>D.RESULTADOS!D7/D.RESULTADOS!D6</f>
        <v>0.45302441813224104</v>
      </c>
      <c r="E18" s="97">
        <f>D.RESULTADOS!E7/D.RESULTADOS!E6</f>
        <v>0.59832685994546508</v>
      </c>
      <c r="F18" s="97">
        <f>D.RESULTADOS!F7/D.RESULTADOS!F6</f>
        <v>0.75815954594001156</v>
      </c>
      <c r="G18" s="97">
        <f>D.RESULTADOS!G7/D.RESULTADOS!G6</f>
        <v>0.93397550053401246</v>
      </c>
    </row>
    <row r="19" spans="1:7" x14ac:dyDescent="0.2">
      <c r="A19" s="97" t="s">
        <v>134</v>
      </c>
      <c r="B19" s="97">
        <v>0</v>
      </c>
      <c r="C19" s="97">
        <f>C17*C18</f>
        <v>1.320931289211128</v>
      </c>
      <c r="D19" s="97">
        <f>D17*D18</f>
        <v>1.4530244181322411</v>
      </c>
      <c r="E19" s="97">
        <f>E17*E18</f>
        <v>1.5983268599454652</v>
      </c>
      <c r="F19" s="97">
        <f>F17*F18</f>
        <v>1.7581595459400117</v>
      </c>
      <c r="G19" s="97">
        <f>G17*G18</f>
        <v>1.9339755005340125</v>
      </c>
    </row>
    <row r="20" spans="1:7" x14ac:dyDescent="0.2">
      <c r="A20" s="97" t="s">
        <v>135</v>
      </c>
      <c r="B20" s="97">
        <v>0</v>
      </c>
      <c r="C20" s="97">
        <f>1-D.RESULTADOS!C6/D.RESULTADOS!C5</f>
        <v>0.24295835205992511</v>
      </c>
      <c r="D20" s="97">
        <f>1-D.RESULTADOS!D6/D.RESULTADOS!D5</f>
        <v>0.31178032005447753</v>
      </c>
      <c r="E20" s="97">
        <f>1-D.RESULTADOS!E6/D.RESULTADOS!E5</f>
        <v>0.3743457455040704</v>
      </c>
      <c r="F20" s="97">
        <f>1-D.RESULTADOS!F6/D.RESULTADOS!F5</f>
        <v>0.43122340500370038</v>
      </c>
      <c r="G20" s="97">
        <f>1-D.RESULTADOS!G6/D.RESULTADOS!G5</f>
        <v>0.48293036818518209</v>
      </c>
    </row>
    <row r="21" spans="1:7" x14ac:dyDescent="0.2">
      <c r="A21" s="97" t="s">
        <v>136</v>
      </c>
      <c r="B21" s="97">
        <v>0</v>
      </c>
      <c r="C21" s="131">
        <f>(D.RESULTADOS!C6)/(D.RESULTADOS!C5/D.RESULTADOS!C3)</f>
        <v>222343132</v>
      </c>
      <c r="D21" s="131">
        <f>(D.RESULTADOS!D6)/(D.RESULTADOS!D5/D.RESULTADOS!D3)</f>
        <v>222343132</v>
      </c>
      <c r="E21" s="131">
        <f>(D.RESULTADOS!E6)/(D.RESULTADOS!E5/D.RESULTADOS!E3)</f>
        <v>222343132</v>
      </c>
      <c r="F21" s="131">
        <f>(+D.RESULTADOS!F6)/(D.RESULTADOS!F5/D.RESULTADOS!F3)</f>
        <v>222343132</v>
      </c>
      <c r="G21" s="131">
        <f>(+D.RESULTADOS!G6)/(D.RESULTADOS!G5/D.RESULTADOS!G3)</f>
        <v>222343132</v>
      </c>
    </row>
  </sheetData>
  <mergeCells count="4">
    <mergeCell ref="A1:G1"/>
    <mergeCell ref="A8:G8"/>
    <mergeCell ref="A15:G15"/>
    <mergeCell ref="I12:L12"/>
  </mergeCells>
  <conditionalFormatting sqref="B2:G2">
    <cfRule type="dataBar" priority="3">
      <dataBar>
        <cfvo type="min"/>
        <cfvo type="max"/>
        <color rgb="FF638EC6"/>
      </dataBar>
    </cfRule>
  </conditionalFormatting>
  <conditionalFormatting sqref="B9:G9">
    <cfRule type="dataBar" priority="2">
      <dataBar>
        <cfvo type="min"/>
        <cfvo type="max"/>
        <color rgb="FF008AEF"/>
      </dataBar>
    </cfRule>
  </conditionalFormatting>
  <conditionalFormatting sqref="B16:G1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J50"/>
  <sheetViews>
    <sheetView topLeftCell="A16" zoomScaleNormal="100" workbookViewId="0">
      <selection sqref="A1:J34"/>
    </sheetView>
  </sheetViews>
  <sheetFormatPr defaultColWidth="9" defaultRowHeight="15" x14ac:dyDescent="0.25"/>
  <cols>
    <col min="1" max="1" width="49" customWidth="1"/>
    <col min="2" max="2" width="7.7109375" customWidth="1"/>
    <col min="3" max="3" width="18.85546875" customWidth="1"/>
    <col min="4" max="5" width="19.42578125" customWidth="1"/>
    <col min="6" max="6" width="25.85546875" customWidth="1"/>
    <col min="7" max="7" width="19.42578125" customWidth="1"/>
    <col min="8" max="8" width="18.85546875" customWidth="1"/>
    <col min="9" max="9" width="19.28515625" customWidth="1"/>
    <col min="10" max="10" width="16.7109375" customWidth="1"/>
    <col min="11" max="256" width="10" customWidth="1"/>
  </cols>
  <sheetData>
    <row r="1" spans="1:10" ht="18.75" x14ac:dyDescent="0.3">
      <c r="A1" s="410" t="s">
        <v>92</v>
      </c>
      <c r="B1" s="410"/>
      <c r="C1" s="410"/>
      <c r="D1" s="410"/>
      <c r="E1" s="410"/>
      <c r="F1" s="410"/>
      <c r="G1" s="410"/>
      <c r="H1" s="410"/>
      <c r="I1" s="410"/>
      <c r="J1" s="145"/>
    </row>
    <row r="2" spans="1:10" ht="15.75" x14ac:dyDescent="0.25">
      <c r="A2" s="132" t="s">
        <v>16</v>
      </c>
      <c r="B2" s="133"/>
      <c r="C2" s="134"/>
      <c r="D2" s="134">
        <f>Pressupostos!B3</f>
        <v>2025</v>
      </c>
      <c r="E2" s="134">
        <f>Pressupostos!C3</f>
        <v>2026</v>
      </c>
      <c r="F2" s="134">
        <f>Pressupostos!D3</f>
        <v>2027</v>
      </c>
      <c r="G2" s="134">
        <f>Pressupostos!E3</f>
        <v>2028</v>
      </c>
      <c r="H2" s="134">
        <f>Pressupostos!F3</f>
        <v>2029</v>
      </c>
      <c r="I2" s="134">
        <f>Pressupostos!G3</f>
        <v>2030</v>
      </c>
      <c r="J2" s="134">
        <f>Pressupostos!H3</f>
        <v>2031</v>
      </c>
    </row>
    <row r="3" spans="1:10" ht="15.75" x14ac:dyDescent="0.25">
      <c r="A3" s="14" t="s">
        <v>90</v>
      </c>
      <c r="B3" s="14"/>
      <c r="C3" s="14"/>
      <c r="D3" s="14">
        <v>0</v>
      </c>
      <c r="E3" s="14">
        <v>14</v>
      </c>
      <c r="F3" s="14">
        <v>14</v>
      </c>
      <c r="G3" s="14">
        <f>F3</f>
        <v>14</v>
      </c>
      <c r="H3" s="14">
        <f>G3</f>
        <v>14</v>
      </c>
      <c r="I3" s="14">
        <f>H3</f>
        <v>14</v>
      </c>
      <c r="J3" s="14">
        <f>I3</f>
        <v>14</v>
      </c>
    </row>
    <row r="4" spans="1:10" ht="15.75" x14ac:dyDescent="0.25">
      <c r="A4" s="14" t="s">
        <v>91</v>
      </c>
      <c r="B4" s="14"/>
      <c r="C4" s="15"/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</row>
    <row r="5" spans="1:10" ht="15.75" x14ac:dyDescent="0.25">
      <c r="A5" s="16"/>
      <c r="B5" s="17"/>
      <c r="C5" s="18"/>
      <c r="D5" s="18"/>
      <c r="E5" s="19"/>
      <c r="F5" s="19"/>
      <c r="G5" s="19"/>
      <c r="H5" s="19"/>
      <c r="I5" s="19"/>
      <c r="J5" s="11"/>
    </row>
    <row r="6" spans="1:10" ht="15.75" x14ac:dyDescent="0.25">
      <c r="A6" s="411"/>
      <c r="B6" s="412"/>
      <c r="C6" s="412"/>
      <c r="D6" s="412"/>
      <c r="E6" s="412"/>
      <c r="F6" s="412"/>
      <c r="G6" s="412"/>
      <c r="H6" s="412"/>
      <c r="I6" s="412"/>
      <c r="J6" s="413"/>
    </row>
    <row r="7" spans="1:10" ht="15.75" x14ac:dyDescent="0.25">
      <c r="A7" s="135" t="s">
        <v>0</v>
      </c>
      <c r="B7" s="132" t="s">
        <v>14</v>
      </c>
      <c r="C7" s="132" t="s">
        <v>15</v>
      </c>
      <c r="D7" s="134">
        <f>Pressupostos!B3</f>
        <v>2025</v>
      </c>
      <c r="E7" s="134">
        <f>Pressupostos!C3</f>
        <v>2026</v>
      </c>
      <c r="F7" s="134">
        <f>Pressupostos!D3</f>
        <v>2027</v>
      </c>
      <c r="G7" s="134">
        <f>Pressupostos!E3</f>
        <v>2028</v>
      </c>
      <c r="H7" s="134">
        <f>Pressupostos!F3</f>
        <v>2029</v>
      </c>
      <c r="I7" s="134">
        <f>Pressupostos!G3</f>
        <v>2030</v>
      </c>
      <c r="J7" s="134">
        <f>Pressupostos!H3</f>
        <v>2031</v>
      </c>
    </row>
    <row r="8" spans="1:10" ht="15.75" x14ac:dyDescent="0.25">
      <c r="A8" s="22" t="s">
        <v>266</v>
      </c>
      <c r="B8" s="14">
        <v>1</v>
      </c>
      <c r="C8" s="23">
        <v>275000</v>
      </c>
      <c r="D8" s="24">
        <f>B8*D3*C8</f>
        <v>0</v>
      </c>
      <c r="E8" s="24">
        <f>B8*E3*C8</f>
        <v>3850000</v>
      </c>
      <c r="F8" s="24">
        <f>B8*F3*C8</f>
        <v>3850000</v>
      </c>
      <c r="G8" s="24">
        <f t="shared" ref="G8:J20" si="0">+F8</f>
        <v>3850000</v>
      </c>
      <c r="H8" s="24">
        <f t="shared" si="0"/>
        <v>3850000</v>
      </c>
      <c r="I8" s="24">
        <f t="shared" si="0"/>
        <v>3850000</v>
      </c>
      <c r="J8" s="24">
        <f t="shared" si="0"/>
        <v>3850000</v>
      </c>
    </row>
    <row r="9" spans="1:10" ht="15.75" x14ac:dyDescent="0.25">
      <c r="A9" s="22" t="s">
        <v>267</v>
      </c>
      <c r="B9" s="14">
        <v>1</v>
      </c>
      <c r="C9" s="23">
        <v>205000</v>
      </c>
      <c r="D9" s="24">
        <v>0</v>
      </c>
      <c r="E9" s="24">
        <f>C9*E3*B9</f>
        <v>2870000</v>
      </c>
      <c r="F9" s="24">
        <f>B9*F3*C9</f>
        <v>2870000</v>
      </c>
      <c r="G9" s="24">
        <f t="shared" si="0"/>
        <v>2870000</v>
      </c>
      <c r="H9" s="24">
        <f t="shared" si="0"/>
        <v>2870000</v>
      </c>
      <c r="I9" s="24">
        <f t="shared" si="0"/>
        <v>2870000</v>
      </c>
      <c r="J9" s="24">
        <f t="shared" si="0"/>
        <v>2870000</v>
      </c>
    </row>
    <row r="10" spans="1:10" ht="15.75" x14ac:dyDescent="0.25">
      <c r="A10" s="22" t="s">
        <v>268</v>
      </c>
      <c r="B10" s="14">
        <v>1</v>
      </c>
      <c r="C10" s="23">
        <v>225000</v>
      </c>
      <c r="D10" s="24">
        <v>0</v>
      </c>
      <c r="E10" s="24">
        <f t="shared" ref="E10:E20" si="1">+C10*14*B10</f>
        <v>3150000</v>
      </c>
      <c r="F10" s="24">
        <f t="shared" ref="F10:F20" si="2">+E10</f>
        <v>3150000</v>
      </c>
      <c r="G10" s="24">
        <f t="shared" si="0"/>
        <v>3150000</v>
      </c>
      <c r="H10" s="24">
        <f t="shared" si="0"/>
        <v>3150000</v>
      </c>
      <c r="I10" s="24">
        <f t="shared" si="0"/>
        <v>3150000</v>
      </c>
      <c r="J10" s="24">
        <f t="shared" si="0"/>
        <v>3150000</v>
      </c>
    </row>
    <row r="11" spans="1:10" ht="15.75" x14ac:dyDescent="0.25">
      <c r="A11" s="22" t="s">
        <v>269</v>
      </c>
      <c r="B11" s="14">
        <v>1</v>
      </c>
      <c r="C11" s="23">
        <v>225000</v>
      </c>
      <c r="D11" s="24">
        <v>0</v>
      </c>
      <c r="E11" s="24">
        <f t="shared" si="1"/>
        <v>3150000</v>
      </c>
      <c r="F11" s="24">
        <f t="shared" si="2"/>
        <v>3150000</v>
      </c>
      <c r="G11" s="24">
        <f t="shared" si="0"/>
        <v>3150000</v>
      </c>
      <c r="H11" s="24">
        <f t="shared" si="0"/>
        <v>3150000</v>
      </c>
      <c r="I11" s="24">
        <f t="shared" si="0"/>
        <v>3150000</v>
      </c>
      <c r="J11" s="24">
        <f t="shared" si="0"/>
        <v>3150000</v>
      </c>
    </row>
    <row r="12" spans="1:10" ht="15.75" x14ac:dyDescent="0.25">
      <c r="A12" s="22" t="s">
        <v>270</v>
      </c>
      <c r="B12" s="14">
        <v>1</v>
      </c>
      <c r="C12" s="23">
        <v>205000</v>
      </c>
      <c r="D12" s="24">
        <v>0</v>
      </c>
      <c r="E12" s="24">
        <f t="shared" si="1"/>
        <v>2870000</v>
      </c>
      <c r="F12" s="24">
        <f t="shared" si="2"/>
        <v>2870000</v>
      </c>
      <c r="G12" s="24">
        <f t="shared" si="0"/>
        <v>2870000</v>
      </c>
      <c r="H12" s="24">
        <f t="shared" si="0"/>
        <v>2870000</v>
      </c>
      <c r="I12" s="24">
        <f t="shared" si="0"/>
        <v>2870000</v>
      </c>
      <c r="J12" s="24">
        <f t="shared" si="0"/>
        <v>2870000</v>
      </c>
    </row>
    <row r="13" spans="1:10" ht="15.75" x14ac:dyDescent="0.25">
      <c r="A13" s="25" t="s">
        <v>271</v>
      </c>
      <c r="B13" s="14">
        <v>1</v>
      </c>
      <c r="C13" s="23">
        <v>205000</v>
      </c>
      <c r="D13" s="24">
        <v>0</v>
      </c>
      <c r="E13" s="24">
        <f t="shared" si="1"/>
        <v>2870000</v>
      </c>
      <c r="F13" s="24">
        <f t="shared" si="2"/>
        <v>2870000</v>
      </c>
      <c r="G13" s="24">
        <f t="shared" si="0"/>
        <v>2870000</v>
      </c>
      <c r="H13" s="24">
        <f t="shared" si="0"/>
        <v>2870000</v>
      </c>
      <c r="I13" s="24">
        <f t="shared" si="0"/>
        <v>2870000</v>
      </c>
      <c r="J13" s="24">
        <f t="shared" si="0"/>
        <v>2870000</v>
      </c>
    </row>
    <row r="14" spans="1:10" ht="15.75" x14ac:dyDescent="0.25">
      <c r="A14" s="25" t="s">
        <v>272</v>
      </c>
      <c r="B14" s="14">
        <v>2</v>
      </c>
      <c r="C14" s="23">
        <v>150000</v>
      </c>
      <c r="D14" s="24">
        <v>0</v>
      </c>
      <c r="E14" s="24">
        <f t="shared" si="1"/>
        <v>4200000</v>
      </c>
      <c r="F14" s="24">
        <f t="shared" si="2"/>
        <v>4200000</v>
      </c>
      <c r="G14" s="24">
        <f t="shared" si="0"/>
        <v>4200000</v>
      </c>
      <c r="H14" s="24">
        <f t="shared" si="0"/>
        <v>4200000</v>
      </c>
      <c r="I14" s="24">
        <f t="shared" si="0"/>
        <v>4200000</v>
      </c>
      <c r="J14" s="24">
        <f t="shared" si="0"/>
        <v>4200000</v>
      </c>
    </row>
    <row r="15" spans="1:10" ht="15.75" x14ac:dyDescent="0.25">
      <c r="A15" s="25" t="s">
        <v>273</v>
      </c>
      <c r="B15" s="39">
        <v>2</v>
      </c>
      <c r="C15" s="23">
        <v>150000</v>
      </c>
      <c r="D15" s="24">
        <v>0</v>
      </c>
      <c r="E15" s="24">
        <f t="shared" ref="E15:E18" si="3">+C15*14*B15</f>
        <v>4200000</v>
      </c>
      <c r="F15" s="24">
        <f t="shared" ref="F15:F18" si="4">+E15</f>
        <v>4200000</v>
      </c>
      <c r="G15" s="24">
        <f t="shared" ref="G15:G18" si="5">+F15</f>
        <v>4200000</v>
      </c>
      <c r="H15" s="24">
        <f t="shared" ref="H15:H18" si="6">+G15</f>
        <v>4200000</v>
      </c>
      <c r="I15" s="24">
        <f t="shared" ref="I15:I18" si="7">+H15</f>
        <v>4200000</v>
      </c>
      <c r="J15" s="24">
        <f t="shared" ref="J15:J18" si="8">+I15</f>
        <v>4200000</v>
      </c>
    </row>
    <row r="16" spans="1:10" ht="15.75" x14ac:dyDescent="0.25">
      <c r="A16" s="25" t="s">
        <v>274</v>
      </c>
      <c r="B16" s="39">
        <v>2</v>
      </c>
      <c r="C16" s="23">
        <v>150000</v>
      </c>
      <c r="D16" s="24">
        <v>0</v>
      </c>
      <c r="E16" s="24">
        <f t="shared" si="3"/>
        <v>4200000</v>
      </c>
      <c r="F16" s="24">
        <f t="shared" si="4"/>
        <v>4200000</v>
      </c>
      <c r="G16" s="24">
        <f t="shared" si="5"/>
        <v>4200000</v>
      </c>
      <c r="H16" s="24">
        <f t="shared" si="6"/>
        <v>4200000</v>
      </c>
      <c r="I16" s="24">
        <f t="shared" si="7"/>
        <v>4200000</v>
      </c>
      <c r="J16" s="24">
        <f t="shared" si="8"/>
        <v>4200000</v>
      </c>
    </row>
    <row r="17" spans="1:10" ht="15.75" x14ac:dyDescent="0.25">
      <c r="A17" s="25" t="s">
        <v>275</v>
      </c>
      <c r="B17" s="39">
        <v>15</v>
      </c>
      <c r="C17" s="23">
        <v>100000</v>
      </c>
      <c r="D17" s="24">
        <v>0</v>
      </c>
      <c r="E17" s="24">
        <f t="shared" si="3"/>
        <v>21000000</v>
      </c>
      <c r="F17" s="24">
        <f t="shared" si="4"/>
        <v>21000000</v>
      </c>
      <c r="G17" s="24">
        <f t="shared" si="5"/>
        <v>21000000</v>
      </c>
      <c r="H17" s="24">
        <f t="shared" si="6"/>
        <v>21000000</v>
      </c>
      <c r="I17" s="24">
        <f t="shared" si="7"/>
        <v>21000000</v>
      </c>
      <c r="J17" s="24">
        <f t="shared" si="8"/>
        <v>21000000</v>
      </c>
    </row>
    <row r="18" spans="1:10" ht="15.75" x14ac:dyDescent="0.25">
      <c r="A18" s="25" t="s">
        <v>276</v>
      </c>
      <c r="B18" s="39">
        <v>20</v>
      </c>
      <c r="C18" s="23">
        <v>100000</v>
      </c>
      <c r="D18" s="24">
        <v>0</v>
      </c>
      <c r="E18" s="24">
        <f t="shared" si="3"/>
        <v>28000000</v>
      </c>
      <c r="F18" s="24">
        <f t="shared" si="4"/>
        <v>28000000</v>
      </c>
      <c r="G18" s="24">
        <f t="shared" si="5"/>
        <v>28000000</v>
      </c>
      <c r="H18" s="24">
        <f t="shared" si="6"/>
        <v>28000000</v>
      </c>
      <c r="I18" s="24">
        <f t="shared" si="7"/>
        <v>28000000</v>
      </c>
      <c r="J18" s="24">
        <f t="shared" si="8"/>
        <v>28000000</v>
      </c>
    </row>
    <row r="19" spans="1:10" ht="15.75" x14ac:dyDescent="0.25">
      <c r="A19" s="22" t="s">
        <v>277</v>
      </c>
      <c r="B19" s="14">
        <v>20</v>
      </c>
      <c r="C19" s="23">
        <v>100000</v>
      </c>
      <c r="D19" s="24">
        <v>0</v>
      </c>
      <c r="E19" s="24">
        <f t="shared" si="1"/>
        <v>28000000</v>
      </c>
      <c r="F19" s="24">
        <f t="shared" si="2"/>
        <v>28000000</v>
      </c>
      <c r="G19" s="24">
        <f t="shared" si="0"/>
        <v>28000000</v>
      </c>
      <c r="H19" s="24">
        <f t="shared" si="0"/>
        <v>28000000</v>
      </c>
      <c r="I19" s="24">
        <f t="shared" si="0"/>
        <v>28000000</v>
      </c>
      <c r="J19" s="24">
        <f t="shared" si="0"/>
        <v>28000000</v>
      </c>
    </row>
    <row r="20" spans="1:10" ht="15.75" x14ac:dyDescent="0.25">
      <c r="A20" s="22" t="s">
        <v>278</v>
      </c>
      <c r="B20" s="14">
        <v>5</v>
      </c>
      <c r="C20" s="23">
        <v>100000</v>
      </c>
      <c r="D20" s="24">
        <v>0</v>
      </c>
      <c r="E20" s="24">
        <f t="shared" si="1"/>
        <v>7000000</v>
      </c>
      <c r="F20" s="24">
        <f t="shared" si="2"/>
        <v>7000000</v>
      </c>
      <c r="G20" s="24">
        <f t="shared" si="0"/>
        <v>7000000</v>
      </c>
      <c r="H20" s="24">
        <f t="shared" si="0"/>
        <v>7000000</v>
      </c>
      <c r="I20" s="24">
        <f t="shared" si="0"/>
        <v>7000000</v>
      </c>
      <c r="J20" s="24">
        <f t="shared" si="0"/>
        <v>7000000</v>
      </c>
    </row>
    <row r="21" spans="1:10" ht="15.75" x14ac:dyDescent="0.25">
      <c r="A21" s="136" t="s">
        <v>9</v>
      </c>
      <c r="B21" s="137">
        <f t="shared" ref="B21:J21" si="9">SUM(B8:B20)</f>
        <v>72</v>
      </c>
      <c r="C21" s="138">
        <f t="shared" si="9"/>
        <v>2190000</v>
      </c>
      <c r="D21" s="138">
        <f t="shared" si="9"/>
        <v>0</v>
      </c>
      <c r="E21" s="138">
        <f t="shared" si="9"/>
        <v>115360000</v>
      </c>
      <c r="F21" s="138">
        <f t="shared" si="9"/>
        <v>115360000</v>
      </c>
      <c r="G21" s="138">
        <f t="shared" si="9"/>
        <v>115360000</v>
      </c>
      <c r="H21" s="138">
        <f t="shared" si="9"/>
        <v>115360000</v>
      </c>
      <c r="I21" s="138">
        <f t="shared" si="9"/>
        <v>115360000</v>
      </c>
      <c r="J21" s="138">
        <f t="shared" si="9"/>
        <v>115360000</v>
      </c>
    </row>
    <row r="22" spans="1:10" ht="15.75" x14ac:dyDescent="0.25">
      <c r="A22" s="26"/>
      <c r="B22" s="27"/>
      <c r="C22" s="28"/>
      <c r="D22" s="28"/>
      <c r="E22" s="29"/>
      <c r="F22" s="28"/>
      <c r="G22" s="28"/>
      <c r="H22" s="30"/>
      <c r="I22" s="31"/>
      <c r="J22" s="11"/>
    </row>
    <row r="23" spans="1:10" ht="18.75" x14ac:dyDescent="0.3">
      <c r="A23" s="416" t="s">
        <v>258</v>
      </c>
      <c r="B23" s="417"/>
      <c r="C23" s="417"/>
      <c r="D23" s="417"/>
      <c r="E23" s="417"/>
      <c r="F23" s="417"/>
      <c r="G23" s="417"/>
      <c r="H23" s="417"/>
      <c r="I23" s="418"/>
      <c r="J23" s="11"/>
    </row>
    <row r="24" spans="1:10" ht="15.75" x14ac:dyDescent="0.25">
      <c r="A24" s="20" t="s">
        <v>16</v>
      </c>
      <c r="B24" s="21" t="s">
        <v>17</v>
      </c>
      <c r="C24" s="32">
        <f>Pressupostos!B3</f>
        <v>2025</v>
      </c>
      <c r="D24" s="32">
        <f>Pressupostos!C3</f>
        <v>2026</v>
      </c>
      <c r="E24" s="32">
        <f>Pressupostos!D3</f>
        <v>2027</v>
      </c>
      <c r="F24" s="32">
        <f>Pressupostos!E3</f>
        <v>2028</v>
      </c>
      <c r="G24" s="32">
        <f>Pressupostos!F3</f>
        <v>2029</v>
      </c>
      <c r="H24" s="32">
        <f>Pressupostos!G3</f>
        <v>2030</v>
      </c>
      <c r="I24" s="32">
        <f>Pressupostos!H3</f>
        <v>2031</v>
      </c>
      <c r="J24" s="11"/>
    </row>
    <row r="25" spans="1:10" ht="15.75" x14ac:dyDescent="0.25">
      <c r="A25" s="14" t="s">
        <v>20</v>
      </c>
      <c r="B25" s="33">
        <v>0.18</v>
      </c>
      <c r="C25" s="24">
        <v>0</v>
      </c>
      <c r="D25" s="34">
        <f>SUM(E21)*B25</f>
        <v>20764800</v>
      </c>
      <c r="E25" s="34">
        <f>SUM(F21)*B25</f>
        <v>20764800</v>
      </c>
      <c r="F25" s="34">
        <f>SUM(G21)*B25</f>
        <v>20764800</v>
      </c>
      <c r="G25" s="34">
        <f>SUM(H21)*B25</f>
        <v>20764800</v>
      </c>
      <c r="H25" s="34">
        <f>SUM(I21)*B25</f>
        <v>20764800</v>
      </c>
      <c r="I25" s="34">
        <f>SUM(J21)*B25</f>
        <v>20764800</v>
      </c>
      <c r="J25" s="11"/>
    </row>
    <row r="26" spans="1:10" ht="15.75" x14ac:dyDescent="0.25">
      <c r="A26" s="14" t="s">
        <v>21</v>
      </c>
      <c r="B26" s="33">
        <v>0.03</v>
      </c>
      <c r="C26" s="24">
        <v>0</v>
      </c>
      <c r="D26" s="34">
        <f>SUM(E21)*B26</f>
        <v>3460800</v>
      </c>
      <c r="E26" s="34">
        <f>SUM(F21)*B26</f>
        <v>3460800</v>
      </c>
      <c r="F26" s="34">
        <f>SUM(G21)*B26</f>
        <v>3460800</v>
      </c>
      <c r="G26" s="34">
        <f>SUM(H21)*B26</f>
        <v>3460800</v>
      </c>
      <c r="H26" s="34">
        <f>SUM(I21)*B26</f>
        <v>3460800</v>
      </c>
      <c r="I26" s="34">
        <f>SUM(J21)*B26</f>
        <v>3460800</v>
      </c>
      <c r="J26" s="11"/>
    </row>
    <row r="27" spans="1:10" ht="15.75" x14ac:dyDescent="0.25">
      <c r="A27" s="14" t="s">
        <v>22</v>
      </c>
      <c r="B27" s="33">
        <v>0.08</v>
      </c>
      <c r="C27" s="24">
        <v>0</v>
      </c>
      <c r="D27" s="34">
        <f>SUM(E21)*B27</f>
        <v>9228800</v>
      </c>
      <c r="E27" s="34">
        <f>SUM(F21)*B27</f>
        <v>9228800</v>
      </c>
      <c r="F27" s="34">
        <f>SUM(G21)*B27</f>
        <v>9228800</v>
      </c>
      <c r="G27" s="34">
        <f>SUM(H21)*B27</f>
        <v>9228800</v>
      </c>
      <c r="H27" s="34">
        <f>SUM(I21)*B27</f>
        <v>9228800</v>
      </c>
      <c r="I27" s="34">
        <f>SUM(J21)*B27</f>
        <v>9228800</v>
      </c>
      <c r="J27" s="11"/>
    </row>
    <row r="28" spans="1:10" ht="15.75" x14ac:dyDescent="0.25">
      <c r="A28" s="135" t="s">
        <v>18</v>
      </c>
      <c r="B28" s="133"/>
      <c r="C28" s="139">
        <f>C25+C26+C27</f>
        <v>0</v>
      </c>
      <c r="D28" s="139">
        <f t="shared" ref="D28:I28" si="10">SUM(D25:D27)</f>
        <v>33454400</v>
      </c>
      <c r="E28" s="139">
        <f t="shared" si="10"/>
        <v>33454400</v>
      </c>
      <c r="F28" s="139">
        <f t="shared" si="10"/>
        <v>33454400</v>
      </c>
      <c r="G28" s="139">
        <f t="shared" si="10"/>
        <v>33454400</v>
      </c>
      <c r="H28" s="139">
        <f t="shared" si="10"/>
        <v>33454400</v>
      </c>
      <c r="I28" s="139">
        <f t="shared" si="10"/>
        <v>33454400</v>
      </c>
      <c r="J28" s="11"/>
    </row>
    <row r="29" spans="1:10" ht="15.75" x14ac:dyDescent="0.25">
      <c r="A29" s="414"/>
      <c r="B29" s="415"/>
      <c r="C29" s="415"/>
      <c r="D29" s="415"/>
      <c r="E29" s="415"/>
      <c r="F29" s="415"/>
      <c r="G29" s="415"/>
      <c r="H29" s="11"/>
      <c r="I29" s="11"/>
      <c r="J29" s="11"/>
    </row>
    <row r="30" spans="1:10" ht="18.75" x14ac:dyDescent="0.3">
      <c r="A30" s="410" t="s">
        <v>257</v>
      </c>
      <c r="B30" s="410"/>
      <c r="C30" s="410"/>
      <c r="D30" s="410"/>
      <c r="E30" s="410"/>
      <c r="F30" s="410"/>
      <c r="G30" s="410"/>
      <c r="H30" s="410"/>
      <c r="I30" s="410"/>
      <c r="J30" s="11"/>
    </row>
    <row r="31" spans="1:10" ht="15.75" x14ac:dyDescent="0.25">
      <c r="A31" s="20" t="s">
        <v>16</v>
      </c>
      <c r="B31" s="14"/>
      <c r="C31" s="32">
        <f t="shared" ref="C31:I31" si="11">C24</f>
        <v>2025</v>
      </c>
      <c r="D31" s="32">
        <f t="shared" si="11"/>
        <v>2026</v>
      </c>
      <c r="E31" s="32">
        <f t="shared" si="11"/>
        <v>2027</v>
      </c>
      <c r="F31" s="32">
        <f t="shared" si="11"/>
        <v>2028</v>
      </c>
      <c r="G31" s="32">
        <f t="shared" si="11"/>
        <v>2029</v>
      </c>
      <c r="H31" s="32">
        <f t="shared" si="11"/>
        <v>2030</v>
      </c>
      <c r="I31" s="32">
        <f t="shared" si="11"/>
        <v>2031</v>
      </c>
      <c r="J31" s="11"/>
    </row>
    <row r="32" spans="1:10" ht="15.75" x14ac:dyDescent="0.25">
      <c r="A32" s="14" t="s">
        <v>23</v>
      </c>
      <c r="B32" s="14"/>
      <c r="C32" s="35">
        <f>+D21</f>
        <v>0</v>
      </c>
      <c r="D32" s="35">
        <f>+E21</f>
        <v>115360000</v>
      </c>
      <c r="E32" s="35">
        <f t="shared" ref="E32:I32" si="12">+F21</f>
        <v>115360000</v>
      </c>
      <c r="F32" s="35">
        <f t="shared" si="12"/>
        <v>115360000</v>
      </c>
      <c r="G32" s="35">
        <f t="shared" si="12"/>
        <v>115360000</v>
      </c>
      <c r="H32" s="35">
        <f t="shared" si="12"/>
        <v>115360000</v>
      </c>
      <c r="I32" s="35">
        <f t="shared" si="12"/>
        <v>115360000</v>
      </c>
      <c r="J32" s="11"/>
    </row>
    <row r="33" spans="1:10" ht="15.75" x14ac:dyDescent="0.25">
      <c r="A33" s="14" t="s">
        <v>19</v>
      </c>
      <c r="B33" s="14"/>
      <c r="C33" s="24">
        <v>0</v>
      </c>
      <c r="D33" s="24">
        <f>D28</f>
        <v>33454400</v>
      </c>
      <c r="E33" s="24">
        <f t="shared" ref="E33:I33" si="13">E28</f>
        <v>33454400</v>
      </c>
      <c r="F33" s="24">
        <f t="shared" si="13"/>
        <v>33454400</v>
      </c>
      <c r="G33" s="24">
        <f t="shared" si="13"/>
        <v>33454400</v>
      </c>
      <c r="H33" s="24">
        <f t="shared" si="13"/>
        <v>33454400</v>
      </c>
      <c r="I33" s="24">
        <f t="shared" si="13"/>
        <v>33454400</v>
      </c>
      <c r="J33" s="11"/>
    </row>
    <row r="34" spans="1:10" ht="15.75" x14ac:dyDescent="0.25">
      <c r="A34" s="140" t="s">
        <v>9</v>
      </c>
      <c r="B34" s="141"/>
      <c r="C34" s="142">
        <f t="shared" ref="C34:I34" si="14">SUM(C32:C33)</f>
        <v>0</v>
      </c>
      <c r="D34" s="142">
        <f t="shared" si="14"/>
        <v>148814400</v>
      </c>
      <c r="E34" s="142">
        <f t="shared" si="14"/>
        <v>148814400</v>
      </c>
      <c r="F34" s="142">
        <f t="shared" si="14"/>
        <v>148814400</v>
      </c>
      <c r="G34" s="142">
        <f t="shared" si="14"/>
        <v>148814400</v>
      </c>
      <c r="H34" s="142">
        <f t="shared" si="14"/>
        <v>148814400</v>
      </c>
      <c r="I34" s="142">
        <f t="shared" si="14"/>
        <v>148814400</v>
      </c>
      <c r="J34" s="11"/>
    </row>
    <row r="50" spans="10:10" x14ac:dyDescent="0.25">
      <c r="J50" s="11"/>
    </row>
  </sheetData>
  <mergeCells count="5">
    <mergeCell ref="A1:I1"/>
    <mergeCell ref="A6:J6"/>
    <mergeCell ref="A29:G29"/>
    <mergeCell ref="A23:I23"/>
    <mergeCell ref="A30:I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"/>
  <sheetViews>
    <sheetView workbookViewId="0">
      <selection activeCell="D10" sqref="D10"/>
    </sheetView>
  </sheetViews>
  <sheetFormatPr defaultRowHeight="15" x14ac:dyDescent="0.25"/>
  <cols>
    <col min="1" max="1" width="44" customWidth="1"/>
    <col min="2" max="2" width="19.28515625" customWidth="1"/>
    <col min="3" max="3" width="19" customWidth="1"/>
    <col min="4" max="4" width="24.28515625" customWidth="1"/>
  </cols>
  <sheetData>
    <row r="2" spans="1:4" ht="15.75" x14ac:dyDescent="0.25">
      <c r="A2" s="419" t="s">
        <v>306</v>
      </c>
      <c r="B2" s="419"/>
      <c r="C2" s="419"/>
      <c r="D2" s="419"/>
    </row>
    <row r="3" spans="1:4" ht="15.75" x14ac:dyDescent="0.25">
      <c r="A3" s="264" t="s">
        <v>205</v>
      </c>
      <c r="B3" s="265" t="s">
        <v>307</v>
      </c>
      <c r="C3" s="264" t="s">
        <v>308</v>
      </c>
      <c r="D3" s="264" t="s">
        <v>309</v>
      </c>
    </row>
    <row r="4" spans="1:4" ht="15.75" x14ac:dyDescent="0.25">
      <c r="A4" s="259" t="s">
        <v>310</v>
      </c>
      <c r="B4" s="263" t="s">
        <v>311</v>
      </c>
      <c r="C4" s="314">
        <v>35000</v>
      </c>
      <c r="D4" s="314">
        <f>12*C4</f>
        <v>420000</v>
      </c>
    </row>
    <row r="5" spans="1:4" ht="15.75" x14ac:dyDescent="0.25">
      <c r="A5" s="259" t="s">
        <v>312</v>
      </c>
      <c r="B5" s="263" t="s">
        <v>311</v>
      </c>
      <c r="C5" s="314">
        <f>35000</f>
        <v>35000</v>
      </c>
      <c r="D5" s="314">
        <f>12*C5</f>
        <v>420000</v>
      </c>
    </row>
    <row r="6" spans="1:4" ht="15.75" x14ac:dyDescent="0.25">
      <c r="A6" s="259" t="s">
        <v>313</v>
      </c>
      <c r="B6" s="263" t="s">
        <v>311</v>
      </c>
      <c r="C6" s="314">
        <f>30000</f>
        <v>30000</v>
      </c>
      <c r="D6" s="314">
        <f>12*C6</f>
        <v>360000</v>
      </c>
    </row>
    <row r="7" spans="1:4" ht="15.75" x14ac:dyDescent="0.25">
      <c r="A7" s="259" t="s">
        <v>322</v>
      </c>
      <c r="B7" s="319">
        <v>72</v>
      </c>
      <c r="C7" s="315">
        <v>100000</v>
      </c>
      <c r="D7" s="314">
        <v>7200000</v>
      </c>
    </row>
    <row r="8" spans="1:4" ht="15.75" x14ac:dyDescent="0.25">
      <c r="A8" s="259" t="s">
        <v>316</v>
      </c>
      <c r="B8" s="263"/>
      <c r="C8" s="316">
        <f>2500000</f>
        <v>2500000</v>
      </c>
      <c r="D8" s="314">
        <f>C8*12</f>
        <v>30000000</v>
      </c>
    </row>
    <row r="9" spans="1:4" ht="15.75" x14ac:dyDescent="0.25">
      <c r="A9" s="259" t="s">
        <v>314</v>
      </c>
      <c r="B9" s="263" t="s">
        <v>315</v>
      </c>
      <c r="C9" s="315">
        <v>700000</v>
      </c>
      <c r="D9" s="317">
        <f>12*C9</f>
        <v>8400000</v>
      </c>
    </row>
    <row r="10" spans="1:4" ht="15.75" x14ac:dyDescent="0.25">
      <c r="A10" s="420" t="s">
        <v>9</v>
      </c>
      <c r="B10" s="420"/>
      <c r="C10" s="420"/>
      <c r="D10" s="318">
        <f>SUM(D4:D9)</f>
        <v>46800000</v>
      </c>
    </row>
  </sheetData>
  <mergeCells count="2">
    <mergeCell ref="A2:D2"/>
    <mergeCell ref="A10:C10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J51"/>
  <sheetViews>
    <sheetView zoomScale="87" zoomScaleNormal="87" workbookViewId="0">
      <selection activeCell="B29" sqref="B29"/>
    </sheetView>
  </sheetViews>
  <sheetFormatPr defaultColWidth="9" defaultRowHeight="15" x14ac:dyDescent="0.25"/>
  <cols>
    <col min="1" max="1" width="46.42578125" customWidth="1"/>
    <col min="2" max="2" width="26.42578125" customWidth="1"/>
    <col min="3" max="3" width="23" customWidth="1"/>
    <col min="4" max="6" width="21.140625" bestFit="1" customWidth="1"/>
    <col min="7" max="7" width="20.85546875" customWidth="1"/>
    <col min="8" max="8" width="21.140625" bestFit="1" customWidth="1"/>
    <col min="9" max="256" width="10" customWidth="1"/>
  </cols>
  <sheetData>
    <row r="1" spans="1:10" ht="18.75" x14ac:dyDescent="0.3">
      <c r="A1" s="421" t="s">
        <v>256</v>
      </c>
      <c r="B1" s="422"/>
      <c r="C1" s="422"/>
      <c r="D1" s="422"/>
      <c r="E1" s="422"/>
      <c r="F1" s="422"/>
      <c r="G1" s="422"/>
      <c r="H1" s="423"/>
    </row>
    <row r="2" spans="1:10" ht="15.75" x14ac:dyDescent="0.25">
      <c r="A2" s="143" t="s">
        <v>16</v>
      </c>
      <c r="B2" s="143">
        <f>Pressupostos!B3</f>
        <v>2025</v>
      </c>
      <c r="C2" s="143">
        <f>Pressupostos!C3</f>
        <v>2026</v>
      </c>
      <c r="D2" s="143">
        <f>Pressupostos!D3</f>
        <v>2027</v>
      </c>
      <c r="E2" s="143">
        <f>Pressupostos!E3</f>
        <v>2028</v>
      </c>
      <c r="F2" s="143">
        <f>Pressupostos!F3</f>
        <v>2029</v>
      </c>
      <c r="G2" s="143">
        <f>Pressupostos!G3</f>
        <v>2030</v>
      </c>
      <c r="H2" s="143">
        <f>Pressupostos!H3</f>
        <v>2031</v>
      </c>
    </row>
    <row r="3" spans="1:10" ht="15.75" x14ac:dyDescent="0.25">
      <c r="A3" s="36" t="s">
        <v>24</v>
      </c>
      <c r="B3" s="37"/>
      <c r="C3" s="37"/>
      <c r="D3" s="37"/>
      <c r="E3" s="37"/>
      <c r="F3" s="37"/>
      <c r="G3" s="37"/>
      <c r="H3" s="37"/>
    </row>
    <row r="4" spans="1:10" ht="15.75" x14ac:dyDescent="0.25">
      <c r="A4" s="38" t="s">
        <v>25</v>
      </c>
      <c r="B4" s="39"/>
      <c r="C4" s="39"/>
      <c r="D4" s="39"/>
      <c r="E4" s="39"/>
      <c r="F4" s="37"/>
      <c r="G4" s="37"/>
      <c r="H4" s="37"/>
    </row>
    <row r="5" spans="1:10" ht="15.75" x14ac:dyDescent="0.25">
      <c r="A5" s="40" t="s">
        <v>94</v>
      </c>
      <c r="B5" s="41">
        <f>'Mapa de Quantidade'!E9</f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2"/>
      <c r="J5" s="42"/>
    </row>
    <row r="6" spans="1:10" ht="15.75" x14ac:dyDescent="0.25">
      <c r="A6" s="43" t="s">
        <v>165</v>
      </c>
      <c r="B6" s="44">
        <f>'Mapa de Quantidade'!E14</f>
        <v>4000000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</row>
    <row r="7" spans="1:10" ht="15.75" x14ac:dyDescent="0.25">
      <c r="A7" s="43" t="s">
        <v>26</v>
      </c>
      <c r="B7" s="44">
        <f>'Mapa de Quantidade'!E38</f>
        <v>67800000</v>
      </c>
      <c r="C7" s="41"/>
      <c r="D7" s="41">
        <f t="shared" ref="D7:H7" si="0">C7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</row>
    <row r="8" spans="1:10" ht="15.75" x14ac:dyDescent="0.25">
      <c r="A8" s="43" t="s">
        <v>27</v>
      </c>
      <c r="B8" s="44">
        <f>'Mapa de Quantidade'!E29</f>
        <v>32650000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</row>
    <row r="9" spans="1:10" ht="15.75" x14ac:dyDescent="0.25">
      <c r="A9" s="43" t="s">
        <v>28</v>
      </c>
      <c r="B9" s="44">
        <f>'Mapa de Quantidade'!E46</f>
        <v>11193660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</row>
    <row r="10" spans="1:10" ht="15.75" x14ac:dyDescent="0.25">
      <c r="A10" s="43" t="s">
        <v>29</v>
      </c>
      <c r="B10" s="44">
        <v>0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</row>
    <row r="11" spans="1:10" ht="15.75" x14ac:dyDescent="0.25">
      <c r="A11" s="45" t="s">
        <v>30</v>
      </c>
      <c r="B11" s="46">
        <f>SUM(B5:B10)</f>
        <v>115643660</v>
      </c>
      <c r="C11" s="46">
        <f t="shared" ref="C11:H11" si="1">SUM(C5:C10)</f>
        <v>0</v>
      </c>
      <c r="D11" s="46">
        <f t="shared" si="1"/>
        <v>0</v>
      </c>
      <c r="E11" s="46">
        <f t="shared" si="1"/>
        <v>0</v>
      </c>
      <c r="F11" s="46">
        <f t="shared" si="1"/>
        <v>0</v>
      </c>
      <c r="G11" s="46">
        <f t="shared" si="1"/>
        <v>0</v>
      </c>
      <c r="H11" s="46">
        <f t="shared" si="1"/>
        <v>0</v>
      </c>
    </row>
    <row r="12" spans="1:10" ht="15.75" x14ac:dyDescent="0.25">
      <c r="A12" s="47" t="s">
        <v>31</v>
      </c>
      <c r="B12" s="44"/>
      <c r="C12" s="41"/>
      <c r="D12" s="41"/>
      <c r="E12" s="41"/>
      <c r="F12" s="48"/>
      <c r="G12" s="48"/>
      <c r="H12" s="48"/>
    </row>
    <row r="13" spans="1:10" ht="15.75" x14ac:dyDescent="0.25">
      <c r="A13" s="49" t="s">
        <v>32</v>
      </c>
      <c r="B13" s="44">
        <f>'Mapa de Quantidade'!E5</f>
        <v>120000</v>
      </c>
      <c r="C13" s="41">
        <v>0</v>
      </c>
      <c r="D13" s="41">
        <v>0</v>
      </c>
      <c r="E13" s="41">
        <v>0</v>
      </c>
      <c r="F13" s="48">
        <v>0</v>
      </c>
      <c r="G13" s="48">
        <v>0</v>
      </c>
      <c r="H13" s="48">
        <v>0</v>
      </c>
    </row>
    <row r="14" spans="1:10" ht="15.75" x14ac:dyDescent="0.25">
      <c r="A14" s="49" t="s">
        <v>36</v>
      </c>
      <c r="B14" s="44">
        <f>'Mapa de Quantidade'!E8</f>
        <v>0</v>
      </c>
      <c r="C14" s="41">
        <v>0</v>
      </c>
      <c r="D14" s="41">
        <v>0</v>
      </c>
      <c r="E14" s="41">
        <v>0</v>
      </c>
      <c r="F14" s="48">
        <v>0</v>
      </c>
      <c r="G14" s="48">
        <v>0</v>
      </c>
      <c r="H14" s="48">
        <v>0</v>
      </c>
    </row>
    <row r="15" spans="1:10" ht="15.75" x14ac:dyDescent="0.25">
      <c r="A15" s="43" t="s">
        <v>214</v>
      </c>
      <c r="B15" s="44">
        <f>'Mapa de Quantidade'!E34</f>
        <v>3400000</v>
      </c>
      <c r="C15" s="44"/>
      <c r="D15" s="41">
        <f t="shared" ref="D15:H15" si="2">C15</f>
        <v>0</v>
      </c>
      <c r="E15" s="41">
        <f t="shared" si="2"/>
        <v>0</v>
      </c>
      <c r="F15" s="41">
        <f t="shared" si="2"/>
        <v>0</v>
      </c>
      <c r="G15" s="41">
        <f t="shared" si="2"/>
        <v>0</v>
      </c>
      <c r="H15" s="41">
        <f t="shared" si="2"/>
        <v>0</v>
      </c>
    </row>
    <row r="16" spans="1:10" ht="15.75" x14ac:dyDescent="0.25">
      <c r="A16" s="45" t="s">
        <v>33</v>
      </c>
      <c r="B16" s="46">
        <f t="shared" ref="B16:H16" si="3">SUM(B13:B15)</f>
        <v>3520000</v>
      </c>
      <c r="C16" s="46">
        <f t="shared" si="3"/>
        <v>0</v>
      </c>
      <c r="D16" s="46">
        <f t="shared" si="3"/>
        <v>0</v>
      </c>
      <c r="E16" s="46">
        <f t="shared" si="3"/>
        <v>0</v>
      </c>
      <c r="F16" s="46">
        <f t="shared" si="3"/>
        <v>0</v>
      </c>
      <c r="G16" s="46">
        <f t="shared" si="3"/>
        <v>0</v>
      </c>
      <c r="H16" s="46">
        <f t="shared" si="3"/>
        <v>0</v>
      </c>
    </row>
    <row r="17" spans="1:8" ht="15.75" x14ac:dyDescent="0.25">
      <c r="A17" s="50" t="s">
        <v>34</v>
      </c>
      <c r="B17" s="51"/>
      <c r="C17" s="48"/>
      <c r="D17" s="48"/>
      <c r="E17" s="48"/>
      <c r="F17" s="48"/>
      <c r="G17" s="48"/>
      <c r="H17" s="48"/>
    </row>
    <row r="18" spans="1:8" ht="15.75" x14ac:dyDescent="0.25">
      <c r="A18" s="52" t="s">
        <v>95</v>
      </c>
      <c r="B18" s="51">
        <f>B20+B19</f>
        <v>8688321.0399999991</v>
      </c>
      <c r="C18" s="51">
        <f t="shared" ref="C18:H18" si="4">C19+C20</f>
        <v>3600000</v>
      </c>
      <c r="D18" s="51">
        <f t="shared" si="4"/>
        <v>3600000</v>
      </c>
      <c r="E18" s="51">
        <f t="shared" si="4"/>
        <v>3600000</v>
      </c>
      <c r="F18" s="51">
        <f t="shared" si="4"/>
        <v>3600000</v>
      </c>
      <c r="G18" s="51">
        <f t="shared" si="4"/>
        <v>3600000</v>
      </c>
      <c r="H18" s="51">
        <f t="shared" si="4"/>
        <v>3600000</v>
      </c>
    </row>
    <row r="19" spans="1:8" ht="15.75" x14ac:dyDescent="0.25">
      <c r="A19" s="49" t="s">
        <v>221</v>
      </c>
      <c r="B19" s="53">
        <f>'Mapa de Quantidade'!E12</f>
        <v>3600000</v>
      </c>
      <c r="C19" s="53">
        <f t="shared" ref="C19:H19" si="5">B19</f>
        <v>3600000</v>
      </c>
      <c r="D19" s="53">
        <f t="shared" si="5"/>
        <v>3600000</v>
      </c>
      <c r="E19" s="53">
        <f t="shared" si="5"/>
        <v>3600000</v>
      </c>
      <c r="F19" s="53">
        <f t="shared" si="5"/>
        <v>3600000</v>
      </c>
      <c r="G19" s="53">
        <f t="shared" si="5"/>
        <v>3600000</v>
      </c>
      <c r="H19" s="53">
        <f t="shared" si="5"/>
        <v>3600000</v>
      </c>
    </row>
    <row r="20" spans="1:8" ht="15.75" x14ac:dyDescent="0.25">
      <c r="A20" s="49" t="s">
        <v>35</v>
      </c>
      <c r="B20" s="53">
        <f>B11*0.044</f>
        <v>5088321.04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</row>
    <row r="21" spans="1:8" ht="15.75" x14ac:dyDescent="0.25">
      <c r="A21" s="136" t="s">
        <v>238</v>
      </c>
      <c r="B21" s="144">
        <f t="shared" ref="B21:H21" si="6">B11+B16+B18</f>
        <v>127851981.03999999</v>
      </c>
      <c r="C21" s="144">
        <f t="shared" si="6"/>
        <v>3600000</v>
      </c>
      <c r="D21" s="144">
        <f t="shared" si="6"/>
        <v>3600000</v>
      </c>
      <c r="E21" s="144">
        <f t="shared" si="6"/>
        <v>3600000</v>
      </c>
      <c r="F21" s="144">
        <f t="shared" si="6"/>
        <v>3600000</v>
      </c>
      <c r="G21" s="144">
        <f t="shared" si="6"/>
        <v>3600000</v>
      </c>
      <c r="H21" s="144">
        <f t="shared" si="6"/>
        <v>3600000</v>
      </c>
    </row>
    <row r="22" spans="1:8" x14ac:dyDescent="0.25">
      <c r="B22" s="54"/>
      <c r="C22" s="54"/>
      <c r="D22" s="54"/>
      <c r="E22" s="54"/>
      <c r="F22" s="54"/>
    </row>
    <row r="23" spans="1:8" x14ac:dyDescent="0.25">
      <c r="B23" s="54"/>
      <c r="C23" s="54"/>
      <c r="D23" s="54"/>
      <c r="E23" s="54"/>
      <c r="F23" s="54"/>
    </row>
    <row r="45" spans="10:10" x14ac:dyDescent="0.25">
      <c r="J45" s="11"/>
    </row>
    <row r="51" hidden="1" x14ac:dyDescent="0.25"/>
  </sheetData>
  <mergeCells count="1">
    <mergeCell ref="A1:H1"/>
  </mergeCells>
  <conditionalFormatting sqref="B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0">
      <dataBar>
        <cfvo type="min"/>
        <cfvo type="max"/>
        <color rgb="FFFF555A"/>
      </dataBar>
    </cfRule>
    <cfRule type="colorScale" priority="30">
      <colorScale>
        <cfvo type="min"/>
        <cfvo type="max"/>
        <color rgb="FFFCFCFF"/>
        <color rgb="FFF8696B"/>
      </colorScale>
    </cfRule>
    <cfRule type="dataBar" priority="30">
      <dataBar>
        <cfvo type="min"/>
        <cfvo type="max"/>
        <color theme="5" tint="0.59999389629810485"/>
      </dataBar>
    </cfRule>
    <cfRule type="dataBar" priority="30">
      <dataBar>
        <cfvo type="min"/>
        <cfvo type="max"/>
        <color rgb="FF008AEF"/>
      </dataBar>
    </cfRule>
  </conditionalFormatting>
  <conditionalFormatting sqref="B2:H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{040C2DC6-3638-448A-A4AC-813DD070C998}</x14:id>
        </ext>
      </extLst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max"/>
        <color rgb="FFFCFCFF"/>
        <color rgb="FFF8696B"/>
      </colorScale>
    </cfRule>
    <cfRule type="dataBar" priority="13">
      <dataBar>
        <cfvo type="min"/>
        <cfvo type="max"/>
        <color rgb="FFFF555A"/>
      </dataBar>
    </cfRule>
    <cfRule type="dataBar" priority="21">
      <dataBar>
        <cfvo type="min"/>
        <cfvo type="max"/>
        <color theme="5" tint="0.59999389629810485"/>
      </dataBar>
    </cfRule>
    <cfRule type="dataBar" priority="28">
      <dataBar>
        <cfvo type="min"/>
        <cfvo type="max"/>
        <color rgb="FF008AEF"/>
      </dataBar>
    </cfRule>
  </conditionalFormatting>
  <conditionalFormatting sqref="D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3">
      <dataBar>
        <cfvo type="min"/>
        <cfvo type="max"/>
        <color rgb="FF008AEF"/>
      </dataBar>
    </cfRule>
    <cfRule type="dataBar" priority="33">
      <dataBar>
        <cfvo type="min"/>
        <cfvo type="max"/>
        <color theme="5" tint="0.59999389629810485"/>
      </dataBar>
    </cfRule>
    <cfRule type="colorScale" priority="33">
      <colorScale>
        <cfvo type="min"/>
        <cfvo type="max"/>
        <color rgb="FFFCFCFF"/>
        <color rgb="FFF8696B"/>
      </colorScale>
    </cfRule>
    <cfRule type="dataBar" priority="33">
      <dataBar>
        <cfvo type="min"/>
        <cfvo type="max"/>
        <color rgb="FFFF555A"/>
      </dataBar>
    </cfRule>
  </conditionalFormatting>
  <conditionalFormatting sqref="E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2">
      <dataBar>
        <cfvo type="min"/>
        <cfvo type="max"/>
        <color theme="5" tint="0.59999389629810485"/>
      </dataBar>
    </cfRule>
    <cfRule type="colorScale" priority="32">
      <colorScale>
        <cfvo type="min"/>
        <cfvo type="max"/>
        <color rgb="FFFCFCFF"/>
        <color rgb="FFF8696B"/>
      </colorScale>
    </cfRule>
    <cfRule type="dataBar" priority="32">
      <dataBar>
        <cfvo type="min"/>
        <cfvo type="max"/>
        <color rgb="FFFF555A"/>
      </dataBar>
    </cfRule>
    <cfRule type="dataBar" priority="32">
      <dataBar>
        <cfvo type="min"/>
        <cfvo type="max"/>
        <color rgb="FF008AEF"/>
      </dataBar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4">
      <dataBar>
        <cfvo type="min"/>
        <cfvo type="max"/>
        <color rgb="FFFF555A"/>
      </dataBar>
    </cfRule>
    <cfRule type="colorScale" priority="34">
      <colorScale>
        <cfvo type="min"/>
        <cfvo type="max"/>
        <color rgb="FFFCFCFF"/>
        <color rgb="FFF8696B"/>
      </colorScale>
    </cfRule>
    <cfRule type="dataBar" priority="34">
      <dataBar>
        <cfvo type="min"/>
        <cfvo type="max"/>
        <color rgb="FF008AEF"/>
      </dataBar>
    </cfRule>
    <cfRule type="dataBar" priority="34">
      <dataBar>
        <cfvo type="min"/>
        <cfvo type="max"/>
        <color theme="5" tint="0.59999389629810485"/>
      </dataBar>
    </cfRule>
  </conditionalFormatting>
  <conditionalFormatting sqref="G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{E59CF416-BCF7-4BC8-B5D0-2FD86467407D}</x14:id>
        </ext>
      </extLst>
    </cfRule>
    <cfRule type="dataBar" priority="29">
      <dataBar>
        <cfvo type="min"/>
        <cfvo type="max"/>
        <color theme="5" tint="0.59999389629810485"/>
      </dataBar>
    </cfRule>
    <cfRule type="dataBar" priority="29">
      <dataBar>
        <cfvo type="min"/>
        <cfvo type="max"/>
        <color rgb="FF008AEF"/>
      </dataBar>
    </cfRule>
    <cfRule type="colorScale" priority="29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31">
      <dataBar>
        <cfvo type="min"/>
        <cfvo type="max"/>
        <color theme="5" tint="0.59999389629810485"/>
      </dataBar>
    </cfRule>
    <cfRule type="colorScale" priority="31">
      <colorScale>
        <cfvo type="min"/>
        <cfvo type="max"/>
        <color rgb="FFFCFCFF"/>
        <color rgb="FFF8696B"/>
      </colorScale>
    </cfRule>
    <cfRule type="dataBar" priority="31">
      <dataBar>
        <cfvo type="min"/>
        <cfvo type="max"/>
        <color rgb="FFFF555A"/>
      </dataBar>
    </cfRule>
    <cfRule type="dataBar" priority="31">
      <dataBar>
        <cfvo type="min"/>
        <cfvo type="max"/>
        <color rgb="FF008AEF"/>
      </dataBar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0C2DC6-3638-448A-A4AC-813DD070C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  <x14:conditionalFormatting xmlns:xm="http://schemas.microsoft.com/office/excel/2006/main">
          <x14:cfRule type="dataBar" id="{E59CF416-BCF7-4BC8-B5D0-2FD86467407D}">
            <x14:dataBar border="1" negativeBarColorSameAsPositive="1" negativeBarBorderColorSameAsPositive="0" axisPosition="none">
              <x14:cfvo type="min"/>
              <x14:cfvo type="max"/>
              <x14:borderColor rgb="FF008AEF"/>
              <x14:negativeBorderColor rgb="FF638EC6"/>
            </x14:dataBar>
          </x14:cfRule>
          <xm:sqref>G2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5E0B3"/>
  </sheetPr>
  <dimension ref="A1:J46"/>
  <sheetViews>
    <sheetView zoomScale="93" zoomScaleNormal="93" workbookViewId="0">
      <selection sqref="A1:H9"/>
    </sheetView>
  </sheetViews>
  <sheetFormatPr defaultColWidth="9" defaultRowHeight="15" x14ac:dyDescent="0.25"/>
  <cols>
    <col min="1" max="1" width="30.85546875" customWidth="1"/>
    <col min="2" max="2" width="25.42578125" customWidth="1"/>
    <col min="3" max="6" width="16" bestFit="1" customWidth="1"/>
    <col min="7" max="7" width="17.42578125" customWidth="1"/>
    <col min="8" max="8" width="17.7109375" customWidth="1"/>
    <col min="9" max="256" width="10" customWidth="1"/>
  </cols>
  <sheetData>
    <row r="1" spans="1:8" ht="34.700000000000003" customHeight="1" x14ac:dyDescent="0.3">
      <c r="A1" s="424" t="s">
        <v>255</v>
      </c>
      <c r="B1" s="422"/>
      <c r="C1" s="422"/>
      <c r="D1" s="422"/>
      <c r="E1" s="422"/>
      <c r="F1" s="422"/>
      <c r="G1" s="422"/>
      <c r="H1" s="423"/>
    </row>
    <row r="2" spans="1:8" ht="15.75" x14ac:dyDescent="0.25">
      <c r="A2" s="143" t="s">
        <v>16</v>
      </c>
      <c r="B2" s="143">
        <f>Pressupostos!B3</f>
        <v>2025</v>
      </c>
      <c r="C2" s="143">
        <f>Pressupostos!C3</f>
        <v>2026</v>
      </c>
      <c r="D2" s="143">
        <f>Pressupostos!D3</f>
        <v>2027</v>
      </c>
      <c r="E2" s="143">
        <f>Pressupostos!E3</f>
        <v>2028</v>
      </c>
      <c r="F2" s="143">
        <f>Pressupostos!F3</f>
        <v>2029</v>
      </c>
      <c r="G2" s="143">
        <f>Pressupostos!G3</f>
        <v>2030</v>
      </c>
      <c r="H2" s="143">
        <f>Pressupostos!H3</f>
        <v>2031</v>
      </c>
    </row>
    <row r="3" spans="1:8" ht="15.75" x14ac:dyDescent="0.25">
      <c r="A3" s="243" t="s">
        <v>325</v>
      </c>
      <c r="B3" s="320">
        <f>B4+B5+B6</f>
        <v>76711188.623999998</v>
      </c>
      <c r="C3" s="321">
        <f t="shared" ref="C3:H3" si="0">C4+C5+C6</f>
        <v>3600000</v>
      </c>
      <c r="D3" s="321">
        <f t="shared" si="0"/>
        <v>3600000</v>
      </c>
      <c r="E3" s="321">
        <f t="shared" si="0"/>
        <v>3600000</v>
      </c>
      <c r="F3" s="321">
        <f t="shared" si="0"/>
        <v>3600000</v>
      </c>
      <c r="G3" s="321">
        <f t="shared" si="0"/>
        <v>3600000</v>
      </c>
      <c r="H3" s="321">
        <f t="shared" si="0"/>
        <v>3600000</v>
      </c>
    </row>
    <row r="4" spans="1:8" ht="15.75" x14ac:dyDescent="0.25">
      <c r="A4" s="1" t="s">
        <v>323</v>
      </c>
      <c r="B4" s="55">
        <f>'Mapa de Investimento'!B21*Pressupostos!B19</f>
        <v>76711188.623999998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</row>
    <row r="5" spans="1:8" ht="15.75" x14ac:dyDescent="0.25">
      <c r="A5" s="1" t="s">
        <v>41</v>
      </c>
      <c r="B5" s="57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</row>
    <row r="6" spans="1:8" ht="15.75" x14ac:dyDescent="0.25">
      <c r="A6" s="1" t="s">
        <v>42</v>
      </c>
      <c r="B6" s="58">
        <v>0</v>
      </c>
      <c r="C6" s="56">
        <f>'Mapa de Investimento'!C18</f>
        <v>3600000</v>
      </c>
      <c r="D6" s="56">
        <f>'Mapa de Investimento'!D18</f>
        <v>3600000</v>
      </c>
      <c r="E6" s="56">
        <f>'Mapa de Investimento'!E18</f>
        <v>3600000</v>
      </c>
      <c r="F6" s="56">
        <f>'Mapa de Investimento'!F18</f>
        <v>3600000</v>
      </c>
      <c r="G6" s="56">
        <f>'Mapa de Investimento'!G18</f>
        <v>3600000</v>
      </c>
      <c r="H6" s="56">
        <f>'Mapa de Investimento'!H18</f>
        <v>3600000</v>
      </c>
    </row>
    <row r="7" spans="1:8" ht="15.75" x14ac:dyDescent="0.25">
      <c r="A7" s="243" t="s">
        <v>324</v>
      </c>
      <c r="B7" s="322">
        <f>B8</f>
        <v>51140792.416000001</v>
      </c>
      <c r="C7" s="323">
        <f>C8</f>
        <v>0</v>
      </c>
      <c r="D7" s="323">
        <f>D8</f>
        <v>0</v>
      </c>
      <c r="E7" s="323">
        <f t="shared" ref="E7:H7" si="1">E8</f>
        <v>0</v>
      </c>
      <c r="F7" s="323">
        <f t="shared" si="1"/>
        <v>0</v>
      </c>
      <c r="G7" s="323">
        <f t="shared" si="1"/>
        <v>0</v>
      </c>
      <c r="H7" s="323">
        <f t="shared" si="1"/>
        <v>0</v>
      </c>
    </row>
    <row r="8" spans="1:8" ht="15.75" x14ac:dyDescent="0.25">
      <c r="A8" s="1" t="s">
        <v>43</v>
      </c>
      <c r="B8" s="59">
        <f>'Mapa de Investimento'!B21*Pressupostos!B20</f>
        <v>51140792.416000001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</row>
    <row r="9" spans="1:8" ht="15.75" x14ac:dyDescent="0.25">
      <c r="A9" s="243" t="s">
        <v>44</v>
      </c>
      <c r="B9" s="322">
        <f>B3+B7</f>
        <v>127851981.03999999</v>
      </c>
      <c r="C9" s="323">
        <f>C6</f>
        <v>3600000</v>
      </c>
      <c r="D9" s="323">
        <f>D6</f>
        <v>3600000</v>
      </c>
      <c r="E9" s="323">
        <f>E6</f>
        <v>3600000</v>
      </c>
      <c r="F9" s="323">
        <f>F6</f>
        <v>3600000</v>
      </c>
      <c r="G9" s="323">
        <f t="shared" ref="G9:H9" si="2">G6</f>
        <v>3600000</v>
      </c>
      <c r="H9" s="323">
        <f t="shared" si="2"/>
        <v>3600000</v>
      </c>
    </row>
    <row r="12" spans="1:8" ht="15.75" x14ac:dyDescent="0.25">
      <c r="A12" s="60"/>
    </row>
    <row r="22" spans="8:8" x14ac:dyDescent="0.25">
      <c r="H22" s="61"/>
    </row>
    <row r="46" spans="10:10" x14ac:dyDescent="0.25">
      <c r="J46" s="11"/>
    </row>
  </sheetData>
  <mergeCells count="1">
    <mergeCell ref="A1:H1"/>
  </mergeCells>
  <conditionalFormatting sqref="B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H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{E304DFDA-3DA0-47FD-B9F3-916FF3B9ACA9}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">
      <colorScale>
        <cfvo type="min"/>
        <cfvo type="max"/>
        <color rgb="FFFCFCFF"/>
        <color rgb="FFF8696B"/>
      </colorScale>
    </cfRule>
    <cfRule type="dataBar" priority="10">
      <dataBar>
        <cfvo type="min"/>
        <cfvo type="max"/>
        <color rgb="FFFF555A"/>
      </dataBar>
    </cfRule>
    <cfRule type="dataBar" priority="11">
      <dataBar>
        <cfvo type="min"/>
        <cfvo type="max"/>
        <color theme="5" tint="0.59999389629810485"/>
      </dataBar>
    </cfRule>
    <cfRule type="dataBar" priority="12">
      <dataBar>
        <cfvo type="min"/>
        <cfvo type="max"/>
        <color rgb="FF008AEF"/>
      </dataBar>
    </cfRule>
  </conditionalFormatting>
  <conditionalFormatting sqref="D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E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6">
      <dataBar>
        <cfvo type="min"/>
        <cfvo type="max"/>
        <color rgb="FF008AEF"/>
      </dataBar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8">
      <dataBar>
        <cfvo type="min"/>
        <cfvo type="max"/>
        <color rgb="FF008AEF"/>
      </dataBar>
    </cfRule>
  </conditionalFormatting>
  <conditionalFormatting sqref="G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{ABDC7596-3A46-420F-ACA7-715DB4168693}</x14:id>
        </ext>
      </extLst>
    </cfRule>
    <cfRule type="dataBar" priority="13">
      <dataBar>
        <cfvo type="min"/>
        <cfvo type="max"/>
        <color rgb="FF008AEF"/>
      </dataBar>
    </cfRule>
  </conditionalFormatting>
  <conditionalFormatting sqref="H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5">
      <dataBar>
        <cfvo type="min"/>
        <cfvo type="max"/>
        <color rgb="FF008AEF"/>
      </dataBar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4DFDA-3DA0-47FD-B9F3-916FF3B9AC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  <x14:conditionalFormatting xmlns:xm="http://schemas.microsoft.com/office/excel/2006/main">
          <x14:cfRule type="dataBar" id="{ABDC7596-3A46-420F-ACA7-715DB4168693}">
            <x14:dataBar border="1" negativeBarColorSameAsPositive="1" negativeBarBorderColorSameAsPositive="0" axisPosition="none">
              <x14:cfvo type="min"/>
              <x14:cfvo type="max"/>
              <x14:borderColor rgb="FF008AEF"/>
              <x14:negativeBorderColor rgb="FF638EC6"/>
            </x14:dataBar>
          </x14:cfRule>
          <xm:sqref>G2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O42"/>
  <sheetViews>
    <sheetView zoomScale="68" zoomScaleNormal="68" workbookViewId="0">
      <selection activeCell="C4" sqref="C4:C9"/>
    </sheetView>
  </sheetViews>
  <sheetFormatPr defaultColWidth="9" defaultRowHeight="15" x14ac:dyDescent="0.25"/>
  <cols>
    <col min="1" max="1" width="26.5703125" customWidth="1"/>
    <col min="2" max="2" width="26.7109375" customWidth="1"/>
    <col min="3" max="3" width="18.85546875" customWidth="1"/>
    <col min="4" max="4" width="25.140625" customWidth="1"/>
    <col min="5" max="5" width="26.7109375" customWidth="1"/>
    <col min="6" max="6" width="26.28515625" customWidth="1"/>
    <col min="7" max="7" width="24.140625" customWidth="1"/>
    <col min="8" max="8" width="23.85546875" customWidth="1"/>
    <col min="9" max="9" width="23.28515625" customWidth="1"/>
    <col min="10" max="10" width="19.7109375" customWidth="1"/>
    <col min="11" max="11" width="22.7109375" customWidth="1"/>
    <col min="12" max="12" width="22" customWidth="1"/>
    <col min="13" max="13" width="20" customWidth="1"/>
    <col min="14" max="14" width="22.7109375" customWidth="1"/>
    <col min="15" max="15" width="22" customWidth="1"/>
    <col min="16" max="16" width="24.5703125" customWidth="1"/>
    <col min="17" max="17" width="20.5703125" customWidth="1"/>
    <col min="18" max="18" width="21.28515625" customWidth="1"/>
    <col min="19" max="19" width="21.42578125" customWidth="1"/>
    <col min="20" max="256" width="10" customWidth="1"/>
  </cols>
  <sheetData>
    <row r="1" spans="1:1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5" ht="18.75" x14ac:dyDescent="0.3">
      <c r="A2" s="426" t="s">
        <v>37</v>
      </c>
      <c r="B2" s="426"/>
      <c r="C2" s="426"/>
      <c r="D2" s="426"/>
      <c r="E2" s="426"/>
      <c r="F2" s="426"/>
      <c r="G2" s="426"/>
      <c r="H2" s="11"/>
      <c r="I2" s="11"/>
      <c r="J2" s="11"/>
    </row>
    <row r="3" spans="1:15" ht="15.75" x14ac:dyDescent="0.25">
      <c r="A3" s="146" t="s">
        <v>138</v>
      </c>
      <c r="B3" s="146" t="s">
        <v>234</v>
      </c>
      <c r="C3" s="146" t="s">
        <v>235</v>
      </c>
      <c r="D3" s="146" t="s">
        <v>38</v>
      </c>
      <c r="E3" s="146" t="s">
        <v>236</v>
      </c>
      <c r="F3" s="146" t="s">
        <v>39</v>
      </c>
      <c r="G3" s="147" t="s">
        <v>40</v>
      </c>
      <c r="H3" s="11"/>
      <c r="I3" s="11"/>
      <c r="J3" s="11"/>
      <c r="K3" s="11"/>
      <c r="L3" s="11"/>
      <c r="M3" s="11"/>
      <c r="N3" s="11"/>
      <c r="O3" s="11"/>
    </row>
    <row r="4" spans="1:15" ht="15.75" x14ac:dyDescent="0.25">
      <c r="A4" s="62">
        <f>Pressupostos!B3</f>
        <v>2025</v>
      </c>
      <c r="B4" s="63">
        <f>'Mapa de Fto'!B7</f>
        <v>51140792.416000001</v>
      </c>
      <c r="C4" s="324">
        <v>0</v>
      </c>
      <c r="D4" s="64">
        <f>B4*C4</f>
        <v>0</v>
      </c>
      <c r="E4" s="64">
        <v>0</v>
      </c>
      <c r="F4" s="64">
        <f>E4+D4</f>
        <v>0</v>
      </c>
      <c r="G4" s="64">
        <f>B4-E4</f>
        <v>51140792.416000001</v>
      </c>
      <c r="H4" s="11"/>
      <c r="I4" s="11"/>
      <c r="J4" s="11"/>
      <c r="K4" s="11"/>
      <c r="L4" s="11"/>
      <c r="M4" s="11"/>
      <c r="N4" s="11"/>
      <c r="O4" s="11"/>
    </row>
    <row r="5" spans="1:15" ht="15.75" x14ac:dyDescent="0.25">
      <c r="A5" s="62">
        <f>A4+1</f>
        <v>2026</v>
      </c>
      <c r="B5" s="63">
        <f>G4</f>
        <v>51140792.416000001</v>
      </c>
      <c r="C5" s="324">
        <f>D17</f>
        <v>0.27129999999999999</v>
      </c>
      <c r="D5" s="64">
        <f t="shared" ref="D5:D9" si="0">B5*C5</f>
        <v>13874496.982460799</v>
      </c>
      <c r="E5" s="64">
        <f>D29</f>
        <v>10228158.483200001</v>
      </c>
      <c r="F5" s="64">
        <f>E5+D5</f>
        <v>24102655.465660799</v>
      </c>
      <c r="G5" s="64">
        <f t="shared" ref="G5:G9" si="1">B5-E5</f>
        <v>40912633.932800002</v>
      </c>
      <c r="H5" s="11"/>
      <c r="I5" s="11"/>
      <c r="J5" s="11"/>
      <c r="K5" s="11"/>
      <c r="L5" s="11"/>
      <c r="M5" s="11"/>
      <c r="N5" s="11"/>
      <c r="O5" s="11"/>
    </row>
    <row r="6" spans="1:15" ht="15.75" x14ac:dyDescent="0.25">
      <c r="A6" s="62">
        <f t="shared" ref="A6:A9" si="2">A5+1</f>
        <v>2027</v>
      </c>
      <c r="B6" s="63">
        <f>G5</f>
        <v>40912633.932800002</v>
      </c>
      <c r="C6" s="324">
        <f>D17</f>
        <v>0.27129999999999999</v>
      </c>
      <c r="D6" s="64">
        <f t="shared" si="0"/>
        <v>11099597.58596864</v>
      </c>
      <c r="E6" s="64">
        <f>D29</f>
        <v>10228158.483200001</v>
      </c>
      <c r="F6" s="64">
        <f t="shared" ref="F6:F9" si="3">E6+D6</f>
        <v>21327756.069168642</v>
      </c>
      <c r="G6" s="64">
        <f t="shared" si="1"/>
        <v>30684475.449600004</v>
      </c>
      <c r="H6" s="11"/>
      <c r="I6" s="11"/>
      <c r="J6" s="11"/>
      <c r="K6" s="11"/>
      <c r="L6" s="11"/>
      <c r="M6" s="11"/>
      <c r="N6" s="11"/>
      <c r="O6" s="11"/>
    </row>
    <row r="7" spans="1:15" ht="15.75" x14ac:dyDescent="0.25">
      <c r="A7" s="62">
        <f t="shared" si="2"/>
        <v>2028</v>
      </c>
      <c r="B7" s="63">
        <f>G6</f>
        <v>30684475.449600004</v>
      </c>
      <c r="C7" s="324">
        <f>D17</f>
        <v>0.27129999999999999</v>
      </c>
      <c r="D7" s="64">
        <f t="shared" si="0"/>
        <v>8324698.1894764807</v>
      </c>
      <c r="E7" s="64">
        <f>D29</f>
        <v>10228158.483200001</v>
      </c>
      <c r="F7" s="64">
        <f t="shared" si="3"/>
        <v>18552856.672676481</v>
      </c>
      <c r="G7" s="64">
        <f t="shared" si="1"/>
        <v>20456316.966400005</v>
      </c>
      <c r="H7" s="11"/>
      <c r="I7" s="11"/>
      <c r="J7" s="11"/>
      <c r="K7" s="11"/>
      <c r="L7" s="11"/>
      <c r="M7" s="11"/>
      <c r="N7" s="11"/>
      <c r="O7" s="11"/>
    </row>
    <row r="8" spans="1:15" ht="15.75" x14ac:dyDescent="0.25">
      <c r="A8" s="62">
        <f t="shared" si="2"/>
        <v>2029</v>
      </c>
      <c r="B8" s="63">
        <f>G7</f>
        <v>20456316.966400005</v>
      </c>
      <c r="C8" s="324">
        <f>D17</f>
        <v>0.27129999999999999</v>
      </c>
      <c r="D8" s="64">
        <f t="shared" si="0"/>
        <v>5549798.7929843208</v>
      </c>
      <c r="E8" s="64">
        <f>D29</f>
        <v>10228158.483200001</v>
      </c>
      <c r="F8" s="64">
        <f t="shared" si="3"/>
        <v>15777957.27618432</v>
      </c>
      <c r="G8" s="64">
        <f t="shared" si="1"/>
        <v>10228158.483200004</v>
      </c>
      <c r="H8" s="11"/>
      <c r="I8" s="11"/>
      <c r="J8" s="11"/>
      <c r="K8" s="11"/>
      <c r="L8" s="11"/>
      <c r="M8" s="11"/>
      <c r="N8" s="11"/>
      <c r="O8" s="11"/>
    </row>
    <row r="9" spans="1:15" ht="15.75" x14ac:dyDescent="0.25">
      <c r="A9" s="62">
        <f t="shared" si="2"/>
        <v>2030</v>
      </c>
      <c r="B9" s="63">
        <f t="shared" ref="B9" si="4">G8</f>
        <v>10228158.483200004</v>
      </c>
      <c r="C9" s="324">
        <f>D17</f>
        <v>0.27129999999999999</v>
      </c>
      <c r="D9" s="64">
        <f t="shared" si="0"/>
        <v>2774899.3964921609</v>
      </c>
      <c r="E9" s="64">
        <f>D29</f>
        <v>10228158.483200001</v>
      </c>
      <c r="F9" s="64">
        <f t="shared" si="3"/>
        <v>13003057.879692161</v>
      </c>
      <c r="G9" s="64">
        <f t="shared" si="1"/>
        <v>0</v>
      </c>
      <c r="H9" s="11"/>
      <c r="I9" s="11"/>
      <c r="J9" s="11"/>
      <c r="K9" s="11"/>
      <c r="L9" s="11"/>
      <c r="M9" s="11"/>
      <c r="N9" s="11"/>
      <c r="O9" s="11"/>
    </row>
    <row r="15" spans="1:15" x14ac:dyDescent="0.25">
      <c r="L15" s="11"/>
    </row>
    <row r="16" spans="1:15" x14ac:dyDescent="0.25">
      <c r="B16" s="11"/>
      <c r="C16" s="425" t="s">
        <v>17</v>
      </c>
      <c r="D16" s="425"/>
      <c r="E16" s="65"/>
    </row>
    <row r="17" spans="2:6" ht="15.75" x14ac:dyDescent="0.25">
      <c r="B17" s="60"/>
      <c r="C17" s="66" t="s">
        <v>321</v>
      </c>
      <c r="D17" s="67">
        <f>D23</f>
        <v>0.27129999999999999</v>
      </c>
      <c r="E17" s="68"/>
    </row>
    <row r="18" spans="2:6" ht="15.75" x14ac:dyDescent="0.25">
      <c r="B18" s="11"/>
      <c r="C18" s="69" t="s">
        <v>232</v>
      </c>
      <c r="D18" s="70" t="s">
        <v>233</v>
      </c>
      <c r="E18" s="71"/>
    </row>
    <row r="19" spans="2:6" ht="15.75" x14ac:dyDescent="0.25">
      <c r="B19" s="11"/>
      <c r="C19" s="72" t="s">
        <v>224</v>
      </c>
      <c r="D19" s="72" t="s">
        <v>17</v>
      </c>
      <c r="E19" s="73"/>
    </row>
    <row r="20" spans="2:6" ht="15.75" x14ac:dyDescent="0.25">
      <c r="B20" s="11"/>
      <c r="C20" s="1" t="s">
        <v>96</v>
      </c>
      <c r="D20" s="74">
        <v>0.1</v>
      </c>
      <c r="E20" s="75"/>
    </row>
    <row r="21" spans="2:6" ht="15.75" x14ac:dyDescent="0.25">
      <c r="B21" s="11"/>
      <c r="C21" s="1" t="s">
        <v>222</v>
      </c>
      <c r="D21" s="74">
        <v>0.1</v>
      </c>
      <c r="E21" s="75"/>
    </row>
    <row r="22" spans="2:6" ht="15.75" x14ac:dyDescent="0.25">
      <c r="B22" s="11"/>
      <c r="C22" s="1" t="s">
        <v>223</v>
      </c>
      <c r="D22" s="74">
        <v>0.1</v>
      </c>
      <c r="E22" s="75"/>
    </row>
    <row r="23" spans="2:6" ht="15.75" x14ac:dyDescent="0.25">
      <c r="B23" s="11"/>
      <c r="C23" s="66" t="s">
        <v>321</v>
      </c>
      <c r="D23" s="74">
        <v>0.27129999999999999</v>
      </c>
      <c r="E23" s="75"/>
    </row>
    <row r="24" spans="2:6" ht="15.75" x14ac:dyDescent="0.25">
      <c r="B24" s="11"/>
      <c r="C24" s="1" t="s">
        <v>216</v>
      </c>
      <c r="D24" s="76">
        <v>0.1</v>
      </c>
      <c r="E24" s="77"/>
    </row>
    <row r="25" spans="2:6" ht="15.75" x14ac:dyDescent="0.25">
      <c r="B25" s="11"/>
      <c r="C25" s="5" t="s">
        <v>97</v>
      </c>
      <c r="D25" s="78">
        <f>SUM(D20:D24)</f>
        <v>0.67130000000000001</v>
      </c>
      <c r="E25" s="79"/>
    </row>
    <row r="26" spans="2:6" ht="15.75" x14ac:dyDescent="0.25">
      <c r="B26" s="11"/>
      <c r="C26" s="1" t="s">
        <v>225</v>
      </c>
      <c r="D26" s="80" t="s">
        <v>226</v>
      </c>
      <c r="E26" s="81"/>
    </row>
    <row r="27" spans="2:6" ht="15.75" x14ac:dyDescent="0.25">
      <c r="B27" s="11"/>
      <c r="C27" s="1" t="s">
        <v>227</v>
      </c>
      <c r="D27" s="82">
        <v>255477</v>
      </c>
      <c r="E27" s="83"/>
    </row>
    <row r="28" spans="2:6" ht="15.75" x14ac:dyDescent="0.25">
      <c r="B28" s="11"/>
      <c r="C28" s="1" t="s">
        <v>228</v>
      </c>
      <c r="D28" s="84" t="s">
        <v>229</v>
      </c>
      <c r="E28" s="85"/>
    </row>
    <row r="29" spans="2:6" ht="15.75" x14ac:dyDescent="0.25">
      <c r="B29" s="11"/>
      <c r="C29" s="1" t="s">
        <v>230</v>
      </c>
      <c r="D29" s="86">
        <f>B4/5</f>
        <v>10228158.483200001</v>
      </c>
      <c r="E29" s="87"/>
      <c r="F29" s="88"/>
    </row>
    <row r="30" spans="2:6" x14ac:dyDescent="0.25">
      <c r="F30" s="11"/>
    </row>
    <row r="32" spans="2:6" x14ac:dyDescent="0.2">
      <c r="F32" s="89"/>
    </row>
    <row r="33" spans="5:6" ht="15.75" x14ac:dyDescent="0.25">
      <c r="E33" s="75"/>
      <c r="F33" s="11"/>
    </row>
    <row r="34" spans="5:6" ht="15.75" x14ac:dyDescent="0.25">
      <c r="E34" s="75"/>
      <c r="F34" s="11"/>
    </row>
    <row r="35" spans="5:6" ht="15.75" x14ac:dyDescent="0.25">
      <c r="E35" s="75"/>
      <c r="F35" s="11"/>
    </row>
    <row r="36" spans="5:6" ht="15.75" x14ac:dyDescent="0.25">
      <c r="E36" s="75"/>
      <c r="F36" s="11"/>
    </row>
    <row r="37" spans="5:6" ht="15.75" x14ac:dyDescent="0.25">
      <c r="E37" s="77"/>
      <c r="F37" s="11"/>
    </row>
    <row r="38" spans="5:6" ht="15.75" x14ac:dyDescent="0.25">
      <c r="E38" s="79"/>
      <c r="F38" s="11"/>
    </row>
    <row r="39" spans="5:6" ht="15.75" x14ac:dyDescent="0.25">
      <c r="E39" s="81"/>
      <c r="F39" s="11"/>
    </row>
    <row r="40" spans="5:6" ht="15.75" x14ac:dyDescent="0.25">
      <c r="E40" s="83"/>
      <c r="F40" s="11"/>
    </row>
    <row r="41" spans="5:6" ht="15.75" x14ac:dyDescent="0.25">
      <c r="E41" s="85"/>
      <c r="F41" s="11"/>
    </row>
    <row r="42" spans="5:6" ht="15.75" x14ac:dyDescent="0.25">
      <c r="E42" s="87"/>
      <c r="F42" s="11"/>
    </row>
  </sheetData>
  <mergeCells count="2">
    <mergeCell ref="C16:D16"/>
    <mergeCell ref="A2:G2"/>
  </mergeCells>
  <conditionalFormatting sqref="A4">
    <cfRule type="dataBar" priority="54">
      <dataBar>
        <cfvo type="min"/>
        <cfvo type="max"/>
        <color rgb="FFFF555A"/>
      </dataBar>
    </cfRule>
    <cfRule type="dataBar" priority="55">
      <dataBar>
        <cfvo type="min"/>
        <cfvo type="max"/>
        <color rgb="FF63C384"/>
      </dataBar>
    </cfRule>
  </conditionalFormatting>
  <conditionalFormatting sqref="A4:A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{A632ACE6-8A3F-4F1C-AB74-3514205DA2B1}</x14:id>
        </ext>
      </extLst>
    </cfRule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5:A9">
    <cfRule type="dataBar" priority="52">
      <dataBar>
        <cfvo type="min"/>
        <cfvo type="max"/>
        <color rgb="FFFF555A"/>
      </dataBar>
    </cfRule>
    <cfRule type="dataBar" priority="53">
      <dataBar>
        <cfvo type="min"/>
        <cfvo type="max"/>
        <color rgb="FF63C384"/>
      </dataBar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2ACE6-8A3F-4F1C-AB74-3514205DA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Q13"/>
  <sheetViews>
    <sheetView zoomScale="75" zoomScaleNormal="75" workbookViewId="0">
      <selection activeCell="A2" sqref="A2:Q13"/>
    </sheetView>
  </sheetViews>
  <sheetFormatPr defaultColWidth="9" defaultRowHeight="15" x14ac:dyDescent="0.25"/>
  <cols>
    <col min="1" max="1" width="40" customWidth="1"/>
    <col min="2" max="2" width="23.5703125" customWidth="1"/>
    <col min="3" max="3" width="7.28515625" customWidth="1"/>
    <col min="4" max="4" width="8.7109375" customWidth="1"/>
    <col min="5" max="5" width="15.7109375" bestFit="1" customWidth="1"/>
    <col min="6" max="6" width="5.7109375" customWidth="1"/>
    <col min="7" max="7" width="17.28515625" bestFit="1" customWidth="1"/>
    <col min="8" max="8" width="6.42578125" bestFit="1" customWidth="1"/>
    <col min="9" max="9" width="17.28515625" bestFit="1" customWidth="1"/>
    <col min="10" max="10" width="7.42578125" bestFit="1" customWidth="1"/>
    <col min="11" max="11" width="16.7109375" customWidth="1"/>
    <col min="12" max="12" width="7.42578125" bestFit="1" customWidth="1"/>
    <col min="13" max="13" width="16.7109375" customWidth="1"/>
    <col min="14" max="14" width="6" customWidth="1"/>
    <col min="15" max="15" width="16.7109375" customWidth="1"/>
    <col min="16" max="16" width="6" customWidth="1"/>
    <col min="17" max="17" width="16.7109375" customWidth="1"/>
    <col min="18" max="256" width="10" customWidth="1"/>
  </cols>
  <sheetData>
    <row r="2" spans="1:17" ht="14.45" customHeight="1" x14ac:dyDescent="0.25">
      <c r="A2" s="432" t="s">
        <v>326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17" ht="14.45" customHeight="1" x14ac:dyDescent="0.25">
      <c r="A3" s="432"/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</row>
    <row r="4" spans="1:17" ht="15.75" x14ac:dyDescent="0.25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6"/>
      <c r="L4" s="166"/>
      <c r="M4" s="166"/>
      <c r="N4" s="166"/>
      <c r="O4" s="166"/>
      <c r="P4" s="166"/>
      <c r="Q4" s="166"/>
    </row>
    <row r="5" spans="1:17" ht="20.25" customHeight="1" x14ac:dyDescent="0.25">
      <c r="A5" s="429" t="s">
        <v>260</v>
      </c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1"/>
    </row>
    <row r="6" spans="1:17" ht="34.700000000000003" customHeight="1" x14ac:dyDescent="0.25">
      <c r="A6" s="429" t="s">
        <v>261</v>
      </c>
      <c r="B6" s="430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1"/>
    </row>
    <row r="7" spans="1:17" ht="26.25" customHeight="1" x14ac:dyDescent="0.25">
      <c r="A7" s="167" t="s">
        <v>205</v>
      </c>
      <c r="B7" s="427" t="s">
        <v>206</v>
      </c>
      <c r="C7" s="427" t="s">
        <v>250</v>
      </c>
      <c r="D7" s="427" t="s">
        <v>207</v>
      </c>
      <c r="E7" s="427">
        <f>Pressupostos!B3</f>
        <v>2025</v>
      </c>
      <c r="F7" s="427" t="s">
        <v>207</v>
      </c>
      <c r="G7" s="427">
        <f>Pressupostos!C3</f>
        <v>2026</v>
      </c>
      <c r="H7" s="427" t="s">
        <v>207</v>
      </c>
      <c r="I7" s="427">
        <f>Pressupostos!D3</f>
        <v>2027</v>
      </c>
      <c r="J7" s="427" t="s">
        <v>207</v>
      </c>
      <c r="K7" s="427">
        <f>Pressupostos!E3</f>
        <v>2028</v>
      </c>
      <c r="L7" s="427" t="s">
        <v>207</v>
      </c>
      <c r="M7" s="427">
        <f>Pressupostos!F3</f>
        <v>2029</v>
      </c>
      <c r="N7" s="427" t="s">
        <v>207</v>
      </c>
      <c r="O7" s="427">
        <f>Pressupostos!G3</f>
        <v>2030</v>
      </c>
      <c r="P7" s="427" t="s">
        <v>207</v>
      </c>
      <c r="Q7" s="427">
        <f>Pressupostos!H3</f>
        <v>2031</v>
      </c>
    </row>
    <row r="8" spans="1:17" ht="26.25" customHeight="1" thickBot="1" x14ac:dyDescent="0.3">
      <c r="A8" s="168" t="s">
        <v>172</v>
      </c>
      <c r="B8" s="428"/>
      <c r="C8" s="434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</row>
    <row r="9" spans="1:17" ht="21" customHeight="1" thickBot="1" x14ac:dyDescent="0.3">
      <c r="A9" s="261" t="s">
        <v>301</v>
      </c>
      <c r="B9" s="169">
        <v>80000</v>
      </c>
      <c r="C9" s="170">
        <v>12</v>
      </c>
      <c r="D9" s="171">
        <v>50</v>
      </c>
      <c r="E9" s="172">
        <f>B9*C9*D9*(1+Pressupostos!$C$7)*0</f>
        <v>0</v>
      </c>
      <c r="F9" s="171">
        <f>D9*(1+0.1)</f>
        <v>55.000000000000007</v>
      </c>
      <c r="G9" s="173">
        <f>B9*'Mapa de Vendas'!C9*F9</f>
        <v>52800000.000000007</v>
      </c>
      <c r="H9" s="171">
        <f>F9+(F9*0.1)</f>
        <v>60.500000000000007</v>
      </c>
      <c r="I9" s="173">
        <f>B9*'Mapa de Vendas'!C9*H9</f>
        <v>58080000.000000007</v>
      </c>
      <c r="J9" s="171">
        <f t="shared" ref="J9:J12" si="0">H9+(H9*0.1)</f>
        <v>66.550000000000011</v>
      </c>
      <c r="K9" s="173">
        <f>$B$9*(1+Pressupostos!$D$7)*'Mapa de Vendas'!$C$9*J9</f>
        <v>63888000.000000007</v>
      </c>
      <c r="L9" s="174">
        <f t="shared" ref="L9:N12" si="1">J9+(J9*0.1)</f>
        <v>73.205000000000013</v>
      </c>
      <c r="M9" s="173">
        <f>$B$9*(1+Pressupostos!$D$7)*'Mapa de Vendas'!$C$9*L9</f>
        <v>70276800.000000015</v>
      </c>
      <c r="N9" s="171">
        <f t="shared" si="1"/>
        <v>80.525500000000008</v>
      </c>
      <c r="O9" s="173">
        <f>$B$9*(1+Pressupostos!$D$7)*'Mapa de Vendas'!$C$9*N9</f>
        <v>77304480.000000015</v>
      </c>
      <c r="P9" s="171">
        <f t="shared" ref="P9:P12" si="2">N9+(N9*0.1)</f>
        <v>88.578050000000005</v>
      </c>
      <c r="Q9" s="175">
        <f>$B$9*(1+Pressupostos!$D$7)*'Mapa de Vendas'!$C$9*P9</f>
        <v>85034928</v>
      </c>
    </row>
    <row r="10" spans="1:17" ht="24.75" customHeight="1" thickBot="1" x14ac:dyDescent="0.3">
      <c r="A10" s="261" t="s">
        <v>302</v>
      </c>
      <c r="B10" s="169">
        <v>75000</v>
      </c>
      <c r="C10" s="176">
        <v>12</v>
      </c>
      <c r="D10" s="171">
        <v>50</v>
      </c>
      <c r="E10" s="172">
        <f>B10*C10*D10*(1+Pressupostos!$C$7)*0</f>
        <v>0</v>
      </c>
      <c r="F10" s="171">
        <f>D10*(1+0.1)</f>
        <v>55.000000000000007</v>
      </c>
      <c r="G10" s="173">
        <f>B10*'Mapa de Vendas'!C10*F10</f>
        <v>49500000.000000007</v>
      </c>
      <c r="H10" s="171">
        <f t="shared" ref="H10:H12" si="3">F10+(F10*0.1)</f>
        <v>60.500000000000007</v>
      </c>
      <c r="I10" s="173">
        <f>B10*'Mapa de Vendas'!C10*H10</f>
        <v>54450000.000000007</v>
      </c>
      <c r="J10" s="171">
        <f t="shared" si="0"/>
        <v>66.550000000000011</v>
      </c>
      <c r="K10" s="173">
        <f>$B$10*(1+Pressupostos!$D$7)*'Mapa de Vendas'!$C$10*J10</f>
        <v>59895000.000000007</v>
      </c>
      <c r="L10" s="174">
        <f t="shared" si="1"/>
        <v>73.205000000000013</v>
      </c>
      <c r="M10" s="173">
        <f>$B$10*(1+Pressupostos!$D$7)*'Mapa de Vendas'!$C$10*L10</f>
        <v>65884500.000000015</v>
      </c>
      <c r="N10" s="171">
        <f t="shared" ref="N10:N12" si="4">L10+(L10*0.1)</f>
        <v>80.525500000000008</v>
      </c>
      <c r="O10" s="173">
        <f>$B$10*(1+Pressupostos!$D$7)*'Mapa de Vendas'!$C$10*N10</f>
        <v>72472950</v>
      </c>
      <c r="P10" s="171">
        <f t="shared" si="2"/>
        <v>88.578050000000005</v>
      </c>
      <c r="Q10" s="175">
        <f>$B$10*(1+Pressupostos!$D$7)*'Mapa de Vendas'!$C$10*P10</f>
        <v>79720245</v>
      </c>
    </row>
    <row r="11" spans="1:17" ht="22.5" customHeight="1" thickBot="1" x14ac:dyDescent="0.3">
      <c r="A11" s="262" t="s">
        <v>303</v>
      </c>
      <c r="B11" s="169">
        <v>100000</v>
      </c>
      <c r="C11" s="176">
        <v>12</v>
      </c>
      <c r="D11" s="171">
        <v>100</v>
      </c>
      <c r="E11" s="172">
        <f>B11*C11*D11*(1+Pressupostos!$C$7)*0</f>
        <v>0</v>
      </c>
      <c r="F11" s="171">
        <f>D11*(1+0.1)</f>
        <v>110.00000000000001</v>
      </c>
      <c r="G11" s="173">
        <f>B11*'Mapa de Vendas'!C11*F11</f>
        <v>132000000.00000001</v>
      </c>
      <c r="H11" s="171">
        <f t="shared" si="3"/>
        <v>121.00000000000001</v>
      </c>
      <c r="I11" s="173">
        <f>B11*'Mapa de Vendas'!C11*H11</f>
        <v>145200000.00000003</v>
      </c>
      <c r="J11" s="171">
        <f t="shared" si="0"/>
        <v>133.10000000000002</v>
      </c>
      <c r="K11" s="173">
        <f>B11*(1+Pressupostos!$D$7)*'Mapa de Vendas'!$C$11*J11</f>
        <v>159720000.00000003</v>
      </c>
      <c r="L11" s="174">
        <f t="shared" si="1"/>
        <v>146.41000000000003</v>
      </c>
      <c r="M11" s="173">
        <f>$B$11*(1+Pressupostos!$D$7)*'Mapa de Vendas'!$C$11*L11</f>
        <v>175692000.00000003</v>
      </c>
      <c r="N11" s="171">
        <f t="shared" si="4"/>
        <v>161.05100000000002</v>
      </c>
      <c r="O11" s="173">
        <f>$B$11*(1+Pressupostos!$D$7)*'Mapa de Vendas'!$C$11*N11</f>
        <v>193261200.00000003</v>
      </c>
      <c r="P11" s="171">
        <f t="shared" si="2"/>
        <v>177.15610000000001</v>
      </c>
      <c r="Q11" s="177">
        <f>$B$11*(1+Pressupostos!$D$7)*'Mapa de Vendas'!$C$11*P11</f>
        <v>212587320</v>
      </c>
    </row>
    <row r="12" spans="1:17" ht="24.75" customHeight="1" thickBot="1" x14ac:dyDescent="0.3">
      <c r="A12" s="260" t="s">
        <v>304</v>
      </c>
      <c r="B12" s="169">
        <v>150000</v>
      </c>
      <c r="C12" s="176">
        <v>12</v>
      </c>
      <c r="D12" s="171">
        <v>30</v>
      </c>
      <c r="E12" s="172">
        <f>B12*C12*D12*(1+Pressupostos!$C$7)*0</f>
        <v>0</v>
      </c>
      <c r="F12" s="171">
        <f>D12*(1+0.1)</f>
        <v>33</v>
      </c>
      <c r="G12" s="173">
        <f>B12*'Mapa de Vendas'!C12*F12</f>
        <v>59400000</v>
      </c>
      <c r="H12" s="171">
        <f t="shared" si="3"/>
        <v>36.299999999999997</v>
      </c>
      <c r="I12" s="173">
        <f>B12*'Mapa de Vendas'!C12*H12</f>
        <v>65339999.999999993</v>
      </c>
      <c r="J12" s="171">
        <f t="shared" si="0"/>
        <v>39.93</v>
      </c>
      <c r="K12" s="173">
        <f>$B$12*(1+Pressupostos!$D$7)*'Mapa de Vendas'!$C$12*J12</f>
        <v>71874000</v>
      </c>
      <c r="L12" s="174">
        <f t="shared" si="1"/>
        <v>43.923000000000002</v>
      </c>
      <c r="M12" s="173">
        <f>$B$12*(1+Pressupostos!$D$7)*'Mapa de Vendas'!$C$12*L12</f>
        <v>79061400</v>
      </c>
      <c r="N12" s="171">
        <f t="shared" si="4"/>
        <v>48.315300000000001</v>
      </c>
      <c r="O12" s="173">
        <f>$B$12*(1+Pressupostos!$D$7)*'Mapa de Vendas'!$C$12*N12</f>
        <v>86967540</v>
      </c>
      <c r="P12" s="171">
        <f t="shared" si="2"/>
        <v>53.146830000000001</v>
      </c>
      <c r="Q12" s="175">
        <f>$B$12*(1+Pressupostos!$D$7)*'Mapa de Vendas'!$C$12*P12</f>
        <v>95664294</v>
      </c>
    </row>
    <row r="13" spans="1:17" ht="26.25" customHeight="1" thickBot="1" x14ac:dyDescent="0.3">
      <c r="A13" s="178" t="s">
        <v>97</v>
      </c>
      <c r="B13" s="179" t="s">
        <v>208</v>
      </c>
      <c r="C13" s="179"/>
      <c r="D13" s="180">
        <f>SUM(D9:D12)</f>
        <v>230</v>
      </c>
      <c r="E13" s="181">
        <f>SUM(E9:E12)</f>
        <v>0</v>
      </c>
      <c r="F13" s="182">
        <f>SUM(F9:F12)</f>
        <v>253.00000000000003</v>
      </c>
      <c r="G13" s="183">
        <f>SUM(G9:G12)</f>
        <v>293700000</v>
      </c>
      <c r="H13" s="182"/>
      <c r="I13" s="183">
        <f t="shared" ref="I13:Q13" si="5">SUM(I9:I12)</f>
        <v>323070000.00000006</v>
      </c>
      <c r="J13" s="182">
        <f t="shared" si="5"/>
        <v>306.13000000000005</v>
      </c>
      <c r="K13" s="183">
        <f t="shared" si="5"/>
        <v>355377000.00000006</v>
      </c>
      <c r="L13" s="182">
        <f t="shared" si="5"/>
        <v>336.74300000000005</v>
      </c>
      <c r="M13" s="183">
        <f t="shared" si="5"/>
        <v>390914700.00000006</v>
      </c>
      <c r="N13" s="182">
        <f t="shared" si="5"/>
        <v>370.41730000000001</v>
      </c>
      <c r="O13" s="183">
        <f t="shared" si="5"/>
        <v>430006170</v>
      </c>
      <c r="P13" s="182">
        <f t="shared" si="5"/>
        <v>407.45903000000004</v>
      </c>
      <c r="Q13" s="184">
        <f t="shared" si="5"/>
        <v>473006787</v>
      </c>
    </row>
  </sheetData>
  <mergeCells count="19">
    <mergeCell ref="L7:L8"/>
    <mergeCell ref="D7:D8"/>
    <mergeCell ref="M7:M8"/>
    <mergeCell ref="Q7:Q8"/>
    <mergeCell ref="A5:Q5"/>
    <mergeCell ref="N7:N8"/>
    <mergeCell ref="A2:Q3"/>
    <mergeCell ref="B7:B8"/>
    <mergeCell ref="O7:O8"/>
    <mergeCell ref="E7:E8"/>
    <mergeCell ref="F7:F8"/>
    <mergeCell ref="H7:H8"/>
    <mergeCell ref="G7:G8"/>
    <mergeCell ref="I7:I8"/>
    <mergeCell ref="K7:K8"/>
    <mergeCell ref="A6:Q6"/>
    <mergeCell ref="J7:J8"/>
    <mergeCell ref="P7:P8"/>
    <mergeCell ref="C7:C8"/>
  </mergeCells>
  <pageMargins left="0.7" right="0.7" top="0.75" bottom="0.75" header="0.3" footer="0.3"/>
  <pageSetup paperSize="0" orientation="portrait" horizontalDpi="0" verticalDpi="0" copies="0"/>
  <ignoredErrors>
    <ignoredError sqref="I9:I12 K9:K12 M9:M12 O9:O12 L9:L12 N9:N12 P9:P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J46"/>
  <sheetViews>
    <sheetView zoomScale="69" zoomScaleNormal="69" workbookViewId="0">
      <selection sqref="A1:H18"/>
    </sheetView>
  </sheetViews>
  <sheetFormatPr defaultColWidth="9" defaultRowHeight="15" x14ac:dyDescent="0.25"/>
  <cols>
    <col min="1" max="1" width="38.5703125" customWidth="1"/>
    <col min="2" max="2" width="15.28515625" customWidth="1"/>
    <col min="3" max="3" width="26.140625" customWidth="1"/>
    <col min="4" max="4" width="28.42578125" customWidth="1"/>
    <col min="5" max="5" width="32.28515625" customWidth="1"/>
    <col min="6" max="6" width="26.42578125" customWidth="1"/>
    <col min="7" max="7" width="26" customWidth="1"/>
    <col min="8" max="8" width="26.85546875" customWidth="1"/>
    <col min="9" max="9" width="9.140625" customWidth="1"/>
    <col min="10" max="256" width="10" customWidth="1"/>
  </cols>
  <sheetData>
    <row r="1" spans="1:8" ht="18.75" x14ac:dyDescent="0.25">
      <c r="A1" s="435" t="s">
        <v>262</v>
      </c>
      <c r="B1" s="435"/>
      <c r="C1" s="435"/>
      <c r="D1" s="435"/>
      <c r="E1" s="435"/>
      <c r="F1" s="435"/>
      <c r="G1" s="435"/>
      <c r="H1" s="435"/>
    </row>
    <row r="2" spans="1:8" ht="15.75" x14ac:dyDescent="0.25">
      <c r="A2" s="148" t="s">
        <v>0</v>
      </c>
      <c r="B2" s="148">
        <f>Pressupostos!B3</f>
        <v>2025</v>
      </c>
      <c r="C2" s="148">
        <f>Pressupostos!C3</f>
        <v>2026</v>
      </c>
      <c r="D2" s="148">
        <f>Pressupostos!D3</f>
        <v>2027</v>
      </c>
      <c r="E2" s="148">
        <f>Pressupostos!E3</f>
        <v>2028</v>
      </c>
      <c r="F2" s="148">
        <f>Pressupostos!F3</f>
        <v>2029</v>
      </c>
      <c r="G2" s="148">
        <f>Pressupostos!G3</f>
        <v>2030</v>
      </c>
      <c r="H2" s="148">
        <f>Pressupostos!H3</f>
        <v>2031</v>
      </c>
    </row>
    <row r="3" spans="1:8" ht="15.75" x14ac:dyDescent="0.25">
      <c r="A3" s="149" t="s">
        <v>46</v>
      </c>
      <c r="B3" s="150">
        <f>B4</f>
        <v>0</v>
      </c>
      <c r="C3" s="150">
        <f>C4</f>
        <v>293700000</v>
      </c>
      <c r="D3" s="150">
        <f>D4</f>
        <v>323070000.00000006</v>
      </c>
      <c r="E3" s="150">
        <f>E4</f>
        <v>355377000.00000006</v>
      </c>
      <c r="F3" s="151">
        <f>F4</f>
        <v>390914700.00000006</v>
      </c>
      <c r="G3" s="151">
        <f t="shared" ref="G3:H3" si="0">G4</f>
        <v>430006170</v>
      </c>
      <c r="H3" s="151">
        <f t="shared" si="0"/>
        <v>473006787</v>
      </c>
    </row>
    <row r="4" spans="1:8" ht="15.75" x14ac:dyDescent="0.25">
      <c r="A4" s="152" t="s">
        <v>209</v>
      </c>
      <c r="B4" s="153">
        <f>'Mapa de Vendas'!E13</f>
        <v>0</v>
      </c>
      <c r="C4" s="153">
        <f>'Mapa de Vendas'!G13</f>
        <v>293700000</v>
      </c>
      <c r="D4" s="153">
        <f>'Mapa de Vendas'!I13</f>
        <v>323070000.00000006</v>
      </c>
      <c r="E4" s="153">
        <f>'Mapa de Vendas'!K13</f>
        <v>355377000.00000006</v>
      </c>
      <c r="F4" s="153">
        <f>'Mapa de Vendas'!M13</f>
        <v>390914700.00000006</v>
      </c>
      <c r="G4" s="153">
        <f>'Mapa de Vendas'!O13</f>
        <v>430006170</v>
      </c>
      <c r="H4" s="153">
        <f>'Mapa de Vendas'!Q13</f>
        <v>473006787</v>
      </c>
    </row>
    <row r="5" spans="1:8" ht="15.75" x14ac:dyDescent="0.25">
      <c r="A5" s="149" t="s">
        <v>47</v>
      </c>
      <c r="B5" s="150">
        <f t="shared" ref="B5:H5" si="1">SUM(B6:B9)</f>
        <v>0</v>
      </c>
      <c r="C5" s="150">
        <f t="shared" si="1"/>
        <v>222343132</v>
      </c>
      <c r="D5" s="150">
        <f t="shared" si="1"/>
        <v>222343132</v>
      </c>
      <c r="E5" s="150">
        <f t="shared" si="1"/>
        <v>222343132</v>
      </c>
      <c r="F5" s="150">
        <f t="shared" si="1"/>
        <v>222343132</v>
      </c>
      <c r="G5" s="150">
        <f t="shared" si="1"/>
        <v>222343132</v>
      </c>
      <c r="H5" s="150">
        <f t="shared" si="1"/>
        <v>222343132</v>
      </c>
    </row>
    <row r="6" spans="1:8" ht="15.75" x14ac:dyDescent="0.25">
      <c r="A6" s="154" t="s">
        <v>320</v>
      </c>
      <c r="B6" s="155">
        <f>'Mapa de Quantidade'!E47</f>
        <v>0</v>
      </c>
      <c r="C6" s="156">
        <f>'Mapa de Investimento'!C19</f>
        <v>3600000</v>
      </c>
      <c r="D6" s="156">
        <f>'Mapa de Investimento'!D19</f>
        <v>3600000</v>
      </c>
      <c r="E6" s="156">
        <f>'Mapa de Investimento'!E19</f>
        <v>3600000</v>
      </c>
      <c r="F6" s="156">
        <f>'Mapa de Investimento'!F19</f>
        <v>3600000</v>
      </c>
      <c r="G6" s="156">
        <f>'Mapa de Investimento'!G19</f>
        <v>3600000</v>
      </c>
      <c r="H6" s="156">
        <f>'Mapa de Investimento'!H19</f>
        <v>3600000</v>
      </c>
    </row>
    <row r="7" spans="1:8" ht="15.75" x14ac:dyDescent="0.25">
      <c r="A7" s="152" t="s">
        <v>45</v>
      </c>
      <c r="B7" s="156">
        <v>0</v>
      </c>
      <c r="C7" s="153">
        <f>'Custos Variáveis '!$D$10</f>
        <v>46800000</v>
      </c>
      <c r="D7" s="153">
        <f>'Custos Variáveis '!$D$10</f>
        <v>46800000</v>
      </c>
      <c r="E7" s="153">
        <f>'Custos Variáveis '!$D$10</f>
        <v>46800000</v>
      </c>
      <c r="F7" s="153">
        <f>'Custos Variáveis '!$D$10</f>
        <v>46800000</v>
      </c>
      <c r="G7" s="153">
        <f>'Custos Variáveis '!$D$10</f>
        <v>46800000</v>
      </c>
      <c r="H7" s="153">
        <f>'Custos Variáveis '!$D$10</f>
        <v>46800000</v>
      </c>
    </row>
    <row r="8" spans="1:8" ht="15.75" x14ac:dyDescent="0.25">
      <c r="A8" s="154" t="s">
        <v>48</v>
      </c>
      <c r="B8" s="153">
        <f>'Mapa custo com pessoal'!C34</f>
        <v>0</v>
      </c>
      <c r="C8" s="153">
        <f>'Mapa custo com pessoal'!D34</f>
        <v>148814400</v>
      </c>
      <c r="D8" s="153">
        <f>'Mapa custo com pessoal'!E34</f>
        <v>148814400</v>
      </c>
      <c r="E8" s="157">
        <f>'Mapa custo com pessoal'!F34</f>
        <v>148814400</v>
      </c>
      <c r="F8" s="157">
        <f>'Mapa custo com pessoal'!G34</f>
        <v>148814400</v>
      </c>
      <c r="G8" s="157">
        <f>'Mapa custo com pessoal'!H34</f>
        <v>148814400</v>
      </c>
      <c r="H8" s="157">
        <f>'Mapa custo com pessoal'!I34</f>
        <v>148814400</v>
      </c>
    </row>
    <row r="9" spans="1:8" ht="15.75" x14ac:dyDescent="0.25">
      <c r="A9" s="154" t="s">
        <v>49</v>
      </c>
      <c r="B9" s="156">
        <v>0</v>
      </c>
      <c r="C9" s="153">
        <f>('Mapa de Investimento'!$B$11)*0.2</f>
        <v>23128732</v>
      </c>
      <c r="D9" s="153">
        <f>('Mapa de Investimento'!$B$11)*0.2</f>
        <v>23128732</v>
      </c>
      <c r="E9" s="153">
        <f>('Mapa de Investimento'!$B$11)*0.2</f>
        <v>23128732</v>
      </c>
      <c r="F9" s="153">
        <f>('Mapa de Investimento'!$B$11)*0.2</f>
        <v>23128732</v>
      </c>
      <c r="G9" s="153">
        <f>('Mapa de Investimento'!$B$11)*0.2</f>
        <v>23128732</v>
      </c>
      <c r="H9" s="153">
        <f>('Mapa de Investimento'!$B$11)*0.2</f>
        <v>23128732</v>
      </c>
    </row>
    <row r="10" spans="1:8" ht="15.75" x14ac:dyDescent="0.25">
      <c r="A10" s="149" t="s">
        <v>50</v>
      </c>
      <c r="B10" s="150">
        <f t="shared" ref="B10:H10" si="2">B3-B5</f>
        <v>0</v>
      </c>
      <c r="C10" s="150">
        <f t="shared" si="2"/>
        <v>71356868</v>
      </c>
      <c r="D10" s="150">
        <f t="shared" si="2"/>
        <v>100726868.00000006</v>
      </c>
      <c r="E10" s="150">
        <f t="shared" si="2"/>
        <v>133033868.00000006</v>
      </c>
      <c r="F10" s="158">
        <f t="shared" si="2"/>
        <v>168571568.00000006</v>
      </c>
      <c r="G10" s="158">
        <f t="shared" si="2"/>
        <v>207663038</v>
      </c>
      <c r="H10" s="158">
        <f t="shared" si="2"/>
        <v>250663655</v>
      </c>
    </row>
    <row r="11" spans="1:8" ht="15.75" x14ac:dyDescent="0.25">
      <c r="A11" s="154" t="s">
        <v>51</v>
      </c>
      <c r="B11" s="156">
        <f>'Mapa Serviço da Dívida'!D4</f>
        <v>0</v>
      </c>
      <c r="C11" s="157">
        <f>'Mapa Serviço da Dívida'!D5</f>
        <v>13874496.982460799</v>
      </c>
      <c r="D11" s="157">
        <f>'Mapa Serviço da Dívida'!D6</f>
        <v>11099597.58596864</v>
      </c>
      <c r="E11" s="157">
        <f>'Mapa Serviço da Dívida'!D7</f>
        <v>8324698.1894764807</v>
      </c>
      <c r="F11" s="157">
        <f>'Mapa Serviço da Dívida'!D8</f>
        <v>5549798.7929843208</v>
      </c>
      <c r="G11" s="157">
        <f>'Mapa Serviço da Dívida'!D9</f>
        <v>2774899.3964921609</v>
      </c>
      <c r="H11" s="157">
        <f>'Mapa Serviço da Dívida'!D10</f>
        <v>0</v>
      </c>
    </row>
    <row r="12" spans="1:8" ht="15.75" x14ac:dyDescent="0.25">
      <c r="A12" s="149" t="s">
        <v>98</v>
      </c>
      <c r="B12" s="159">
        <f>B10-B11</f>
        <v>0</v>
      </c>
      <c r="C12" s="159">
        <f>C10-C11</f>
        <v>57482371.017539203</v>
      </c>
      <c r="D12" s="159">
        <f>D10-D11</f>
        <v>89627270.414031416</v>
      </c>
      <c r="E12" s="159">
        <f>E10-E11</f>
        <v>124709169.81052358</v>
      </c>
      <c r="F12" s="159">
        <f>F10-F11</f>
        <v>163021769.20701575</v>
      </c>
      <c r="G12" s="159">
        <f t="shared" ref="G12:H12" si="3">G10-G11</f>
        <v>204888138.60350785</v>
      </c>
      <c r="H12" s="159">
        <f t="shared" si="3"/>
        <v>250663655</v>
      </c>
    </row>
    <row r="13" spans="1:8" ht="15.75" x14ac:dyDescent="0.25">
      <c r="A13" s="160" t="s">
        <v>252</v>
      </c>
      <c r="B13" s="156"/>
      <c r="C13" s="161">
        <f>C12*Pressupostos!B9</f>
        <v>8047531.9424554892</v>
      </c>
      <c r="D13" s="161">
        <f>D12*Pressupostos!C9</f>
        <v>12547817.8579644</v>
      </c>
      <c r="E13" s="161">
        <f>E12*Pressupostos!D9</f>
        <v>17459283.773473304</v>
      </c>
      <c r="F13" s="161">
        <f>F12*Pressupostos!E9</f>
        <v>22823047.688982207</v>
      </c>
      <c r="G13" s="161">
        <f>G12*Pressupostos!F9</f>
        <v>28684339.4044911</v>
      </c>
      <c r="H13" s="161">
        <f>H12*Pressupostos!G9</f>
        <v>35092911.700000003</v>
      </c>
    </row>
    <row r="14" spans="1:8" ht="15.75" x14ac:dyDescent="0.25">
      <c r="A14" s="160" t="s">
        <v>201</v>
      </c>
      <c r="B14" s="161">
        <f>B12*Pressupostos!B10</f>
        <v>0</v>
      </c>
      <c r="C14" s="161">
        <f>C12*Pressupostos!C10</f>
        <v>14370592.754384801</v>
      </c>
      <c r="D14" s="161">
        <f>D12*Pressupostos!D10</f>
        <v>22406817.603507854</v>
      </c>
      <c r="E14" s="161">
        <f>E12*Pressupostos!E10</f>
        <v>31177292.452630896</v>
      </c>
      <c r="F14" s="161">
        <f>F12*Pressupostos!F10</f>
        <v>40755442.301753938</v>
      </c>
      <c r="G14" s="161">
        <f>G12*Pressupostos!G10</f>
        <v>51222034.650876962</v>
      </c>
      <c r="H14" s="161">
        <f>H12*Pressupostos!H10</f>
        <v>62665913.75</v>
      </c>
    </row>
    <row r="15" spans="1:8" ht="15.75" x14ac:dyDescent="0.25">
      <c r="A15" s="162" t="s">
        <v>52</v>
      </c>
      <c r="B15" s="159">
        <f t="shared" ref="B15:H15" si="4">B12-B13-B14</f>
        <v>0</v>
      </c>
      <c r="C15" s="159">
        <f t="shared" si="4"/>
        <v>35064246.320698917</v>
      </c>
      <c r="D15" s="159">
        <f t="shared" si="4"/>
        <v>54672634.952559166</v>
      </c>
      <c r="E15" s="159">
        <f t="shared" si="4"/>
        <v>76072593.584419385</v>
      </c>
      <c r="F15" s="159">
        <f t="shared" si="4"/>
        <v>99443279.216279596</v>
      </c>
      <c r="G15" s="159">
        <f>G12-G13-G14</f>
        <v>124981764.54813978</v>
      </c>
      <c r="H15" s="159">
        <f t="shared" si="4"/>
        <v>152904829.55000001</v>
      </c>
    </row>
    <row r="16" spans="1:8" ht="15.75" x14ac:dyDescent="0.25">
      <c r="A16" s="154" t="s">
        <v>53</v>
      </c>
      <c r="B16" s="156">
        <v>0</v>
      </c>
      <c r="C16" s="161">
        <f t="shared" ref="C16:G16" si="5">C11</f>
        <v>13874496.982460799</v>
      </c>
      <c r="D16" s="161">
        <f t="shared" si="5"/>
        <v>11099597.58596864</v>
      </c>
      <c r="E16" s="161">
        <f t="shared" si="5"/>
        <v>8324698.1894764807</v>
      </c>
      <c r="F16" s="161">
        <f t="shared" si="5"/>
        <v>5549798.7929843208</v>
      </c>
      <c r="G16" s="161">
        <f t="shared" si="5"/>
        <v>2774899.3964921609</v>
      </c>
      <c r="H16" s="161">
        <f>H11</f>
        <v>0</v>
      </c>
    </row>
    <row r="17" spans="1:8" ht="15.75" x14ac:dyDescent="0.25">
      <c r="A17" s="154" t="s">
        <v>54</v>
      </c>
      <c r="B17" s="156">
        <v>0</v>
      </c>
      <c r="C17" s="161">
        <f t="shared" ref="C17:H17" si="6">C9</f>
        <v>23128732</v>
      </c>
      <c r="D17" s="161">
        <f t="shared" si="6"/>
        <v>23128732</v>
      </c>
      <c r="E17" s="161">
        <f t="shared" si="6"/>
        <v>23128732</v>
      </c>
      <c r="F17" s="161">
        <f t="shared" si="6"/>
        <v>23128732</v>
      </c>
      <c r="G17" s="161">
        <f t="shared" si="6"/>
        <v>23128732</v>
      </c>
      <c r="H17" s="161">
        <f t="shared" si="6"/>
        <v>23128732</v>
      </c>
    </row>
    <row r="18" spans="1:8" ht="15.75" x14ac:dyDescent="0.25">
      <c r="A18" s="163" t="s">
        <v>55</v>
      </c>
      <c r="B18" s="164">
        <f>B15+B16+B17</f>
        <v>0</v>
      </c>
      <c r="C18" s="164">
        <f>C15+C16+C17</f>
        <v>72067475.303159714</v>
      </c>
      <c r="D18" s="164">
        <f>D15+D16+D17</f>
        <v>88900964.538527802</v>
      </c>
      <c r="E18" s="164">
        <f>E15+E16+E17</f>
        <v>107526023.77389586</v>
      </c>
      <c r="F18" s="164">
        <f>F15+F16+F17</f>
        <v>128121810.00926392</v>
      </c>
      <c r="G18" s="164">
        <f t="shared" ref="G18:H18" si="7">G15+G16+G17</f>
        <v>150885395.94463193</v>
      </c>
      <c r="H18" s="164">
        <f t="shared" si="7"/>
        <v>176033561.55000001</v>
      </c>
    </row>
    <row r="46" spans="10:10" x14ac:dyDescent="0.25">
      <c r="J46" s="11"/>
    </row>
  </sheetData>
  <mergeCells count="1">
    <mergeCell ref="A1:H1"/>
  </mergeCells>
  <conditionalFormatting sqref="A2:B2">
    <cfRule type="dataBar" priority="12">
      <dataBar>
        <cfvo type="min"/>
        <cfvo type="max"/>
        <color rgb="FF008AEF"/>
      </dataBar>
    </cfRule>
  </conditionalFormatting>
  <conditionalFormatting sqref="B2">
    <cfRule type="dataBar" priority="7">
      <dataBar>
        <cfvo type="min"/>
        <cfvo type="max"/>
        <color rgb="FFFF555A"/>
      </dataBar>
    </cfRule>
  </conditionalFormatting>
  <conditionalFormatting sqref="B2:H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{758E0D5A-5264-406B-86EC-B5217C204901}</x14:id>
        </ext>
      </extLst>
    </cfRule>
  </conditionalFormatting>
  <conditionalFormatting sqref="C2">
    <cfRule type="dataBar" priority="2">
      <dataBar>
        <cfvo type="min"/>
        <cfvo type="max"/>
        <color rgb="FFFF555A"/>
      </dataBar>
    </cfRule>
    <cfRule type="dataBar" priority="5">
      <dataBar>
        <cfvo type="min"/>
        <cfvo type="max"/>
        <color rgb="FF008AEF"/>
      </dataBar>
    </cfRule>
  </conditionalFormatting>
  <conditionalFormatting sqref="D2">
    <cfRule type="dataBar" priority="11">
      <dataBar>
        <cfvo type="min"/>
        <cfvo type="max"/>
        <color rgb="FF008AEF"/>
      </dataBar>
    </cfRule>
    <cfRule type="dataBar" priority="11">
      <dataBar>
        <cfvo type="min"/>
        <cfvo type="max"/>
        <color rgb="FFFF555A"/>
      </dataBar>
    </cfRule>
  </conditionalFormatting>
  <conditionalFormatting sqref="E2">
    <cfRule type="dataBar" priority="9">
      <dataBar>
        <cfvo type="min"/>
        <cfvo type="max"/>
        <color rgb="FF008AEF"/>
      </dataBar>
    </cfRule>
    <cfRule type="dataBar" priority="9">
      <dataBar>
        <cfvo type="min"/>
        <cfvo type="max"/>
        <color rgb="FFFF555A"/>
      </dataBar>
    </cfRule>
  </conditionalFormatting>
  <conditionalFormatting sqref="F2">
    <cfRule type="dataBar" priority="10">
      <dataBar>
        <cfvo type="min"/>
        <cfvo type="max"/>
        <color rgb="FF008AEF"/>
      </dataBar>
    </cfRule>
    <cfRule type="dataBar" priority="10">
      <dataBar>
        <cfvo type="min"/>
        <cfvo type="max"/>
        <color rgb="FFFF555A"/>
      </dataBar>
    </cfRule>
  </conditionalFormatting>
  <conditionalFormatting sqref="G2">
    <cfRule type="dataBar" priority="6">
      <dataBar>
        <cfvo type="min"/>
        <cfvo type="max"/>
        <color rgb="FF008AEF"/>
      </dataBar>
    </cfRule>
    <cfRule type="dataBar" priority="6">
      <dataBar>
        <cfvo type="min"/>
        <cfvo type="max"/>
        <color rgb="FFFF555A"/>
      </dataBar>
    </cfRule>
  </conditionalFormatting>
  <conditionalFormatting sqref="H2">
    <cfRule type="dataBar" priority="8">
      <dataBar>
        <cfvo type="min"/>
        <cfvo type="max"/>
        <color rgb="FF008AEF"/>
      </dataBar>
    </cfRule>
    <cfRule type="dataBar" priority="8">
      <dataBar>
        <cfvo type="min"/>
        <cfvo type="max"/>
        <color rgb="FFFF555A"/>
      </dataBar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8E0D5A-5264-406B-86EC-B5217C204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B2:H2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Pressupostos</vt:lpstr>
      <vt:lpstr>Mapa de Quantidade</vt:lpstr>
      <vt:lpstr>Mapa custo com pessoal</vt:lpstr>
      <vt:lpstr>Custos Variáveis </vt:lpstr>
      <vt:lpstr>Mapa de Investimento</vt:lpstr>
      <vt:lpstr>Mapa de Fto</vt:lpstr>
      <vt:lpstr>Mapa Serviço da Dívida</vt:lpstr>
      <vt:lpstr>Mapa de Vendas</vt:lpstr>
      <vt:lpstr>Mapa de Exploração</vt:lpstr>
      <vt:lpstr>MOAF</vt:lpstr>
      <vt:lpstr>B.Previsional</vt:lpstr>
      <vt:lpstr>Mapa de orçamento de tesouraria</vt:lpstr>
      <vt:lpstr>Mapa do custos F &amp; V</vt:lpstr>
      <vt:lpstr>D.RESULTADOS</vt:lpstr>
      <vt:lpstr>Cash Flow Liquido</vt:lpstr>
      <vt:lpstr>VAL E PB</vt:lpstr>
      <vt:lpstr>RM</vt:lpstr>
      <vt:lpstr>Mapa de Cenários</vt:lpstr>
      <vt:lpstr>ANALISE</vt:lpstr>
      <vt:lpstr>RÁCIOS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Arcangell Casimiro</dc:creator>
  <cp:lastModifiedBy>Venâncio Martins</cp:lastModifiedBy>
  <dcterms:created xsi:type="dcterms:W3CDTF">2019-06-03T06:56:23Z</dcterms:created>
  <dcterms:modified xsi:type="dcterms:W3CDTF">2025-08-30T16:47:14Z</dcterms:modified>
</cp:coreProperties>
</file>