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_pipe_strain_base_models/"/>
    </mc:Choice>
  </mc:AlternateContent>
  <xr:revisionPtr revIDLastSave="1106" documentId="13_ncr:40009_{17A712BA-3D20-4FC7-9574-FDD8E5CF450C}" xr6:coauthVersionLast="47" xr6:coauthVersionMax="47" xr10:uidLastSave="{47792671-F198-4B8C-9C26-2545B9713AF2}"/>
  <bookViews>
    <workbookView xWindow="1275" yWindow="-120" windowWidth="27645" windowHeight="16440" activeTab="4" xr2:uid="{00000000-000D-0000-FFFF-FFFF00000000}"/>
  </bookViews>
  <sheets>
    <sheet name="Estimation Model Reverse-Slip" sheetId="8" r:id="rId1"/>
    <sheet name="HutabaratEtal2022_reverse" sheetId="9" r:id="rId2"/>
    <sheet name="HutabaratEtal2022_ss_old" sheetId="1" r:id="rId3"/>
    <sheet name="HutabaratEtal2022_normal" sheetId="5" r:id="rId4"/>
    <sheet name="Estimation Model Normal-Slip" sheetId="7" r:id="rId5"/>
    <sheet name="Coefficient Normal" sheetId="6" r:id="rId6"/>
    <sheet name="case_to_run" sheetId="4" r:id="rId7"/>
  </sheets>
  <externalReferences>
    <externalReference r:id="rId8"/>
  </externalReferences>
  <definedNames>
    <definedName name="_Ref100818699" localSheetId="0">'Estimation Model Reverse-Slip'!$P$11</definedName>
  </definedNames>
  <calcPr calcId="191029" iterate="1" iterateCount="1000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2" i="9" l="1"/>
  <c r="AD21" i="9"/>
  <c r="AD12" i="9"/>
  <c r="AD11" i="9"/>
  <c r="AC11" i="9"/>
  <c r="AE11" i="9" s="1"/>
  <c r="AF11" i="9" s="1"/>
  <c r="AG11" i="9" s="1"/>
  <c r="AE12" i="9"/>
  <c r="AF12" i="9" s="1"/>
  <c r="AG12" i="9" s="1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P16" i="9" s="1"/>
  <c r="N17" i="9"/>
  <c r="N18" i="9"/>
  <c r="N19" i="9"/>
  <c r="P19" i="9" s="1"/>
  <c r="N20" i="9"/>
  <c r="N21" i="9"/>
  <c r="N22" i="9"/>
  <c r="N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K4" i="9"/>
  <c r="K5" i="9"/>
  <c r="K6" i="9"/>
  <c r="K7" i="9"/>
  <c r="K8" i="9"/>
  <c r="K9" i="9"/>
  <c r="K10" i="9"/>
  <c r="K11" i="9"/>
  <c r="K12" i="9"/>
  <c r="P12" i="9" s="1"/>
  <c r="K13" i="9"/>
  <c r="K14" i="9"/>
  <c r="K15" i="9"/>
  <c r="K16" i="9"/>
  <c r="K17" i="9"/>
  <c r="K18" i="9"/>
  <c r="K19" i="9"/>
  <c r="K20" i="9"/>
  <c r="K21" i="9"/>
  <c r="K22" i="9"/>
  <c r="K3" i="9"/>
  <c r="AA22" i="9"/>
  <c r="R22" i="9"/>
  <c r="Q22" i="9"/>
  <c r="X22" i="9" s="1"/>
  <c r="F22" i="9"/>
  <c r="S22" i="9" s="1"/>
  <c r="AA21" i="9"/>
  <c r="R21" i="9"/>
  <c r="Q21" i="9"/>
  <c r="V21" i="9" s="1"/>
  <c r="F21" i="9"/>
  <c r="S21" i="9" s="1"/>
  <c r="AA20" i="9"/>
  <c r="R20" i="9"/>
  <c r="Q20" i="9"/>
  <c r="X20" i="9" s="1"/>
  <c r="F20" i="9"/>
  <c r="S20" i="9" s="1"/>
  <c r="AA19" i="9"/>
  <c r="R19" i="9"/>
  <c r="Q19" i="9"/>
  <c r="X19" i="9" s="1"/>
  <c r="F19" i="9"/>
  <c r="S19" i="9" s="1"/>
  <c r="AA18" i="9"/>
  <c r="R18" i="9"/>
  <c r="Q18" i="9"/>
  <c r="X18" i="9" s="1"/>
  <c r="F18" i="9"/>
  <c r="S18" i="9" s="1"/>
  <c r="AA17" i="9"/>
  <c r="R17" i="9"/>
  <c r="Q17" i="9"/>
  <c r="W17" i="9" s="1"/>
  <c r="F17" i="9"/>
  <c r="S17" i="9" s="1"/>
  <c r="AA16" i="9"/>
  <c r="R16" i="9"/>
  <c r="Q16" i="9"/>
  <c r="U16" i="9" s="1"/>
  <c r="F16" i="9"/>
  <c r="S16" i="9" s="1"/>
  <c r="AA15" i="9"/>
  <c r="R15" i="9"/>
  <c r="Q15" i="9"/>
  <c r="X15" i="9" s="1"/>
  <c r="F15" i="9"/>
  <c r="S15" i="9" s="1"/>
  <c r="AA14" i="9"/>
  <c r="R14" i="9"/>
  <c r="Q14" i="9"/>
  <c r="X14" i="9" s="1"/>
  <c r="F14" i="9"/>
  <c r="S14" i="9" s="1"/>
  <c r="AA13" i="9"/>
  <c r="R13" i="9"/>
  <c r="Q13" i="9"/>
  <c r="V13" i="9" s="1"/>
  <c r="F13" i="9"/>
  <c r="S13" i="9" s="1"/>
  <c r="AA12" i="9"/>
  <c r="R12" i="9"/>
  <c r="Q12" i="9"/>
  <c r="X12" i="9" s="1"/>
  <c r="F12" i="9"/>
  <c r="S12" i="9" s="1"/>
  <c r="AA11" i="9"/>
  <c r="V11" i="9"/>
  <c r="U11" i="9"/>
  <c r="S11" i="9"/>
  <c r="R11" i="9"/>
  <c r="Q11" i="9"/>
  <c r="X11" i="9" s="1"/>
  <c r="F11" i="9"/>
  <c r="AA10" i="9"/>
  <c r="R10" i="9"/>
  <c r="Q10" i="9"/>
  <c r="X10" i="9" s="1"/>
  <c r="F10" i="9"/>
  <c r="S10" i="9" s="1"/>
  <c r="AA9" i="9"/>
  <c r="R9" i="9"/>
  <c r="Q9" i="9"/>
  <c r="W9" i="9" s="1"/>
  <c r="F9" i="9"/>
  <c r="S9" i="9" s="1"/>
  <c r="AA8" i="9"/>
  <c r="R8" i="9"/>
  <c r="Q8" i="9"/>
  <c r="X8" i="9" s="1"/>
  <c r="F8" i="9"/>
  <c r="S8" i="9" s="1"/>
  <c r="AA7" i="9"/>
  <c r="R7" i="9"/>
  <c r="Q7" i="9"/>
  <c r="X7" i="9" s="1"/>
  <c r="F7" i="9"/>
  <c r="S7" i="9" s="1"/>
  <c r="AA6" i="9"/>
  <c r="R6" i="9"/>
  <c r="Q6" i="9"/>
  <c r="X6" i="9" s="1"/>
  <c r="F6" i="9"/>
  <c r="S6" i="9" s="1"/>
  <c r="AA5" i="9"/>
  <c r="R5" i="9"/>
  <c r="Q5" i="9"/>
  <c r="V5" i="9" s="1"/>
  <c r="F5" i="9"/>
  <c r="S5" i="9" s="1"/>
  <c r="AA4" i="9"/>
  <c r="R4" i="9"/>
  <c r="Q4" i="9"/>
  <c r="X4" i="9" s="1"/>
  <c r="F4" i="9"/>
  <c r="S4" i="9" s="1"/>
  <c r="AA3" i="9"/>
  <c r="R3" i="9"/>
  <c r="Q3" i="9"/>
  <c r="X3" i="9" s="1"/>
  <c r="F3" i="9"/>
  <c r="S3" i="9" s="1"/>
  <c r="C109" i="8"/>
  <c r="A108" i="8"/>
  <c r="B108" i="8" s="1"/>
  <c r="C108" i="8" s="1"/>
  <c r="A107" i="8"/>
  <c r="B106" i="8" s="1"/>
  <c r="C106" i="8" s="1"/>
  <c r="A106" i="8"/>
  <c r="B105" i="8" s="1"/>
  <c r="C105" i="8" s="1"/>
  <c r="A104" i="8"/>
  <c r="B104" i="8" s="1"/>
  <c r="C104" i="8" s="1"/>
  <c r="A103" i="8"/>
  <c r="A102" i="8"/>
  <c r="B102" i="8" s="1"/>
  <c r="C102" i="8" s="1"/>
  <c r="B101" i="8"/>
  <c r="C101" i="8" s="1"/>
  <c r="A100" i="8"/>
  <c r="B100" i="8" s="1"/>
  <c r="C100" i="8" s="1"/>
  <c r="A99" i="8"/>
  <c r="B99" i="8" s="1"/>
  <c r="C99" i="8" s="1"/>
  <c r="B98" i="8"/>
  <c r="C98" i="8" s="1"/>
  <c r="A98" i="8"/>
  <c r="C97" i="8"/>
  <c r="B97" i="8"/>
  <c r="A96" i="8"/>
  <c r="B96" i="8" s="1"/>
  <c r="C96" i="8" s="1"/>
  <c r="A95" i="8"/>
  <c r="B94" i="8" s="1"/>
  <c r="C94" i="8" s="1"/>
  <c r="A94" i="8"/>
  <c r="B93" i="8" s="1"/>
  <c r="C93" i="8" s="1"/>
  <c r="B92" i="8"/>
  <c r="C92" i="8" s="1"/>
  <c r="A92" i="8"/>
  <c r="A91" i="8"/>
  <c r="B91" i="8" s="1"/>
  <c r="C91" i="8" s="1"/>
  <c r="B90" i="8"/>
  <c r="C90" i="8" s="1"/>
  <c r="A90" i="8"/>
  <c r="B89" i="8"/>
  <c r="C89" i="8" s="1"/>
  <c r="B88" i="8"/>
  <c r="C88" i="8" s="1"/>
  <c r="A88" i="8"/>
  <c r="A87" i="8"/>
  <c r="B87" i="8" s="1"/>
  <c r="C87" i="8" s="1"/>
  <c r="A86" i="8"/>
  <c r="B86" i="8" s="1"/>
  <c r="C86" i="8" s="1"/>
  <c r="B84" i="8"/>
  <c r="C84" i="8" s="1"/>
  <c r="A84" i="8"/>
  <c r="B83" i="8"/>
  <c r="C83" i="8" s="1"/>
  <c r="A83" i="8"/>
  <c r="B82" i="8" s="1"/>
  <c r="C82" i="8" s="1"/>
  <c r="A82" i="8"/>
  <c r="B81" i="8"/>
  <c r="C81" i="8" s="1"/>
  <c r="A80" i="8"/>
  <c r="B80" i="8" s="1"/>
  <c r="C80" i="8" s="1"/>
  <c r="A79" i="8"/>
  <c r="B79" i="8" s="1"/>
  <c r="C79" i="8" s="1"/>
  <c r="A78" i="8"/>
  <c r="B77" i="8" s="1"/>
  <c r="C77" i="8" s="1"/>
  <c r="A76" i="8"/>
  <c r="B76" i="8" s="1"/>
  <c r="C76" i="8" s="1"/>
  <c r="A75" i="8"/>
  <c r="B75" i="8" s="1"/>
  <c r="C75" i="8" s="1"/>
  <c r="A74" i="8"/>
  <c r="B73" i="8"/>
  <c r="C73" i="8" s="1"/>
  <c r="A72" i="8"/>
  <c r="B72" i="8" s="1"/>
  <c r="C72" i="8" s="1"/>
  <c r="A71" i="8"/>
  <c r="B71" i="8" s="1"/>
  <c r="C71" i="8" s="1"/>
  <c r="A70" i="8"/>
  <c r="B69" i="8"/>
  <c r="C69" i="8" s="1"/>
  <c r="B68" i="8"/>
  <c r="C68" i="8" s="1"/>
  <c r="A68" i="8"/>
  <c r="A67" i="8"/>
  <c r="B67" i="8" s="1"/>
  <c r="C67" i="8" s="1"/>
  <c r="A66" i="8"/>
  <c r="B65" i="8" s="1"/>
  <c r="C65" i="8" s="1"/>
  <c r="F65" i="8"/>
  <c r="B42" i="8"/>
  <c r="B36" i="8"/>
  <c r="B31" i="8"/>
  <c r="B30" i="8"/>
  <c r="B37" i="8" s="1"/>
  <c r="B27" i="8"/>
  <c r="B14" i="8" s="1"/>
  <c r="B38" i="8" s="1"/>
  <c r="B25" i="8"/>
  <c r="B24" i="8"/>
  <c r="B23" i="8"/>
  <c r="B22" i="8"/>
  <c r="B13" i="8"/>
  <c r="B11" i="8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3" i="5"/>
  <c r="T23" i="5"/>
  <c r="Z23" i="5" s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3" i="5"/>
  <c r="K31" i="6"/>
  <c r="K32" i="6"/>
  <c r="K33" i="6"/>
  <c r="K34" i="6"/>
  <c r="K35" i="6"/>
  <c r="K30" i="6"/>
  <c r="P18" i="9" l="1"/>
  <c r="P17" i="9"/>
  <c r="W4" i="9"/>
  <c r="V16" i="9"/>
  <c r="P15" i="9"/>
  <c r="W16" i="9"/>
  <c r="X16" i="9"/>
  <c r="P13" i="9"/>
  <c r="T13" i="9" s="1"/>
  <c r="Y13" i="9" s="1"/>
  <c r="P11" i="9"/>
  <c r="T11" i="9" s="1"/>
  <c r="P10" i="9"/>
  <c r="T10" i="9" s="1"/>
  <c r="Y10" i="9" s="1"/>
  <c r="P9" i="9"/>
  <c r="T9" i="9" s="1"/>
  <c r="V4" i="9"/>
  <c r="P8" i="9"/>
  <c r="T8" i="9" s="1"/>
  <c r="Y8" i="9" s="1"/>
  <c r="W13" i="9"/>
  <c r="P22" i="9"/>
  <c r="T22" i="9" s="1"/>
  <c r="Y22" i="9" s="1"/>
  <c r="Y9" i="9"/>
  <c r="P21" i="9"/>
  <c r="T21" i="9" s="1"/>
  <c r="Y21" i="9" s="1"/>
  <c r="P20" i="9"/>
  <c r="T20" i="9" s="1"/>
  <c r="Y20" i="9" s="1"/>
  <c r="P3" i="9"/>
  <c r="T3" i="9" s="1"/>
  <c r="Y3" i="9" s="1"/>
  <c r="P7" i="9"/>
  <c r="T7" i="9" s="1"/>
  <c r="Y7" i="9" s="1"/>
  <c r="P6" i="9"/>
  <c r="T6" i="9" s="1"/>
  <c r="Y6" i="9" s="1"/>
  <c r="P5" i="9"/>
  <c r="T5" i="9" s="1"/>
  <c r="P4" i="9"/>
  <c r="T4" i="9" s="1"/>
  <c r="Y4" i="9" s="1"/>
  <c r="T12" i="9"/>
  <c r="Y12" i="9" s="1"/>
  <c r="U7" i="9"/>
  <c r="AB7" i="9" s="1"/>
  <c r="V9" i="9"/>
  <c r="W11" i="9"/>
  <c r="AB16" i="9"/>
  <c r="AC16" i="9" s="1"/>
  <c r="AD16" i="9" s="1"/>
  <c r="AE16" i="9" s="1"/>
  <c r="AF16" i="9" s="1"/>
  <c r="AG16" i="9" s="1"/>
  <c r="U19" i="9"/>
  <c r="AB19" i="9" s="1"/>
  <c r="X9" i="9"/>
  <c r="V19" i="9"/>
  <c r="W21" i="9"/>
  <c r="P14" i="9"/>
  <c r="T14" i="9" s="1"/>
  <c r="Y14" i="9" s="1"/>
  <c r="AB11" i="9"/>
  <c r="W19" i="9"/>
  <c r="U3" i="9"/>
  <c r="AB3" i="9" s="1"/>
  <c r="W5" i="9"/>
  <c r="X17" i="9"/>
  <c r="V3" i="9"/>
  <c r="U8" i="9"/>
  <c r="AB8" i="9" s="1"/>
  <c r="U15" i="9"/>
  <c r="AB15" i="9" s="1"/>
  <c r="W3" i="9"/>
  <c r="V8" i="9"/>
  <c r="V12" i="9"/>
  <c r="W8" i="9"/>
  <c r="W12" i="9"/>
  <c r="V20" i="9"/>
  <c r="W20" i="9"/>
  <c r="T18" i="9"/>
  <c r="Y18" i="9" s="1"/>
  <c r="T19" i="9"/>
  <c r="Y19" i="9" s="1"/>
  <c r="T16" i="9"/>
  <c r="Y16" i="9" s="1"/>
  <c r="T17" i="9"/>
  <c r="Y17" i="9" s="1"/>
  <c r="T15" i="9"/>
  <c r="Y15" i="9" s="1"/>
  <c r="Y11" i="9"/>
  <c r="Y5" i="9"/>
  <c r="B95" i="8"/>
  <c r="C95" i="8" s="1"/>
  <c r="X5" i="9"/>
  <c r="X13" i="9"/>
  <c r="X21" i="9"/>
  <c r="B66" i="8"/>
  <c r="C66" i="8" s="1"/>
  <c r="B78" i="8"/>
  <c r="C78" i="8" s="1"/>
  <c r="B107" i="8"/>
  <c r="C107" i="8" s="1"/>
  <c r="U6" i="9"/>
  <c r="AB6" i="9" s="1"/>
  <c r="U14" i="9"/>
  <c r="AB14" i="9" s="1"/>
  <c r="U22" i="9"/>
  <c r="AB22" i="9" s="1"/>
  <c r="B34" i="8"/>
  <c r="B85" i="8"/>
  <c r="C85" i="8" s="1"/>
  <c r="V6" i="9"/>
  <c r="V14" i="9"/>
  <c r="V22" i="9"/>
  <c r="B35" i="8"/>
  <c r="B45" i="8" s="1"/>
  <c r="B46" i="8" s="1"/>
  <c r="W6" i="9"/>
  <c r="U9" i="9"/>
  <c r="AB9" i="9" s="1"/>
  <c r="W14" i="9"/>
  <c r="U17" i="9"/>
  <c r="AB17" i="9" s="1"/>
  <c r="W22" i="9"/>
  <c r="B103" i="8"/>
  <c r="C103" i="8" s="1"/>
  <c r="V17" i="9"/>
  <c r="B74" i="8"/>
  <c r="C74" i="8" s="1"/>
  <c r="U4" i="9"/>
  <c r="AB4" i="9" s="1"/>
  <c r="AC4" i="9" s="1"/>
  <c r="AD4" i="9" s="1"/>
  <c r="AE4" i="9" s="1"/>
  <c r="U12" i="9"/>
  <c r="AB12" i="9" s="1"/>
  <c r="U20" i="9"/>
  <c r="AB20" i="9" s="1"/>
  <c r="V7" i="9"/>
  <c r="V15" i="9"/>
  <c r="B70" i="8"/>
  <c r="C70" i="8" s="1"/>
  <c r="W7" i="9"/>
  <c r="U10" i="9"/>
  <c r="AB10" i="9" s="1"/>
  <c r="W15" i="9"/>
  <c r="U18" i="9"/>
  <c r="AB18" i="9" s="1"/>
  <c r="V10" i="9"/>
  <c r="V18" i="9"/>
  <c r="U5" i="9"/>
  <c r="AB5" i="9" s="1"/>
  <c r="AC5" i="9" s="1"/>
  <c r="AD5" i="9" s="1"/>
  <c r="AE5" i="9" s="1"/>
  <c r="W10" i="9"/>
  <c r="U13" i="9"/>
  <c r="AB13" i="9" s="1"/>
  <c r="AC13" i="9" s="1"/>
  <c r="AD13" i="9" s="1"/>
  <c r="W18" i="9"/>
  <c r="U21" i="9"/>
  <c r="AB21" i="9" s="1"/>
  <c r="AC21" i="9" s="1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3" i="5"/>
  <c r="AT4" i="5"/>
  <c r="AU4" i="5"/>
  <c r="AV4" i="5"/>
  <c r="AT5" i="5"/>
  <c r="AU5" i="5"/>
  <c r="AV5" i="5"/>
  <c r="AT6" i="5"/>
  <c r="AU6" i="5"/>
  <c r="AV6" i="5"/>
  <c r="AT7" i="5"/>
  <c r="AU7" i="5"/>
  <c r="AV7" i="5"/>
  <c r="AT8" i="5"/>
  <c r="AU8" i="5"/>
  <c r="AV8" i="5"/>
  <c r="AT9" i="5"/>
  <c r="AU9" i="5"/>
  <c r="AV9" i="5"/>
  <c r="AT10" i="5"/>
  <c r="AU10" i="5"/>
  <c r="AV10" i="5"/>
  <c r="AT11" i="5"/>
  <c r="AU11" i="5"/>
  <c r="AV11" i="5"/>
  <c r="AT12" i="5"/>
  <c r="AU12" i="5"/>
  <c r="AV12" i="5"/>
  <c r="AT13" i="5"/>
  <c r="AU13" i="5"/>
  <c r="AV13" i="5"/>
  <c r="AT14" i="5"/>
  <c r="AU14" i="5"/>
  <c r="AV14" i="5"/>
  <c r="AT15" i="5"/>
  <c r="AU15" i="5"/>
  <c r="AV15" i="5"/>
  <c r="AT16" i="5"/>
  <c r="AU16" i="5"/>
  <c r="AV16" i="5"/>
  <c r="AT17" i="5"/>
  <c r="AU17" i="5"/>
  <c r="AV17" i="5"/>
  <c r="AT18" i="5"/>
  <c r="AU18" i="5"/>
  <c r="AV18" i="5"/>
  <c r="AT19" i="5"/>
  <c r="AU19" i="5"/>
  <c r="AV19" i="5"/>
  <c r="AT20" i="5"/>
  <c r="AU20" i="5"/>
  <c r="AV20" i="5"/>
  <c r="AT21" i="5"/>
  <c r="AU21" i="5"/>
  <c r="AV21" i="5"/>
  <c r="AT22" i="5"/>
  <c r="AU22" i="5"/>
  <c r="AV22" i="5"/>
  <c r="AV3" i="5"/>
  <c r="AU3" i="5"/>
  <c r="AT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3" i="5"/>
  <c r="AP4" i="5"/>
  <c r="AQ4" i="5"/>
  <c r="AR4" i="5"/>
  <c r="AP5" i="5"/>
  <c r="AQ5" i="5"/>
  <c r="AR5" i="5"/>
  <c r="AP6" i="5"/>
  <c r="AQ6" i="5"/>
  <c r="AR6" i="5"/>
  <c r="AP7" i="5"/>
  <c r="AQ7" i="5"/>
  <c r="AR7" i="5"/>
  <c r="AP8" i="5"/>
  <c r="AQ8" i="5"/>
  <c r="AR8" i="5"/>
  <c r="AP9" i="5"/>
  <c r="AQ9" i="5"/>
  <c r="AR9" i="5"/>
  <c r="AP10" i="5"/>
  <c r="AQ10" i="5"/>
  <c r="AR10" i="5"/>
  <c r="AP11" i="5"/>
  <c r="AQ11" i="5"/>
  <c r="AR11" i="5"/>
  <c r="AP12" i="5"/>
  <c r="AQ12" i="5"/>
  <c r="AR12" i="5"/>
  <c r="AP13" i="5"/>
  <c r="AQ13" i="5"/>
  <c r="AR13" i="5"/>
  <c r="AP14" i="5"/>
  <c r="AQ14" i="5"/>
  <c r="AR14" i="5"/>
  <c r="AP15" i="5"/>
  <c r="AQ15" i="5"/>
  <c r="AR15" i="5"/>
  <c r="AP16" i="5"/>
  <c r="AQ16" i="5"/>
  <c r="AR16" i="5"/>
  <c r="AP17" i="5"/>
  <c r="AQ17" i="5"/>
  <c r="AR17" i="5"/>
  <c r="AP18" i="5"/>
  <c r="AQ18" i="5"/>
  <c r="AR18" i="5"/>
  <c r="AP19" i="5"/>
  <c r="AQ19" i="5"/>
  <c r="AR19" i="5"/>
  <c r="AP20" i="5"/>
  <c r="AQ20" i="5"/>
  <c r="AR20" i="5"/>
  <c r="AP21" i="5"/>
  <c r="AQ21" i="5"/>
  <c r="AR21" i="5"/>
  <c r="AP22" i="5"/>
  <c r="AQ22" i="5"/>
  <c r="AR22" i="5"/>
  <c r="AR3" i="5"/>
  <c r="AQ3" i="5"/>
  <c r="AP3" i="5"/>
  <c r="AN4" i="5"/>
  <c r="AO4" i="5"/>
  <c r="AN5" i="5"/>
  <c r="AO5" i="5"/>
  <c r="AN6" i="5"/>
  <c r="AO6" i="5"/>
  <c r="AN7" i="5"/>
  <c r="AO7" i="5"/>
  <c r="AN8" i="5"/>
  <c r="AO8" i="5"/>
  <c r="AN9" i="5"/>
  <c r="AO9" i="5"/>
  <c r="AN10" i="5"/>
  <c r="AO10" i="5"/>
  <c r="AN11" i="5"/>
  <c r="AO11" i="5"/>
  <c r="AN12" i="5"/>
  <c r="AO12" i="5"/>
  <c r="AN13" i="5"/>
  <c r="AO13" i="5"/>
  <c r="AN14" i="5"/>
  <c r="AO14" i="5"/>
  <c r="AN15" i="5"/>
  <c r="AO15" i="5"/>
  <c r="AN16" i="5"/>
  <c r="AO16" i="5"/>
  <c r="AN17" i="5"/>
  <c r="AO17" i="5"/>
  <c r="AN18" i="5"/>
  <c r="AO18" i="5"/>
  <c r="AN19" i="5"/>
  <c r="AO19" i="5"/>
  <c r="AN20" i="5"/>
  <c r="AO20" i="5"/>
  <c r="AN21" i="5"/>
  <c r="AO21" i="5"/>
  <c r="AN22" i="5"/>
  <c r="AO22" i="5"/>
  <c r="AO3" i="5"/>
  <c r="AN3" i="5"/>
  <c r="AK4" i="5"/>
  <c r="AL4" i="5"/>
  <c r="AM4" i="5"/>
  <c r="AK5" i="5"/>
  <c r="AL5" i="5"/>
  <c r="AM5" i="5"/>
  <c r="BH5" i="5" s="1"/>
  <c r="AK6" i="5"/>
  <c r="AL6" i="5"/>
  <c r="AM6" i="5"/>
  <c r="AK7" i="5"/>
  <c r="AL7" i="5"/>
  <c r="AM7" i="5"/>
  <c r="AK8" i="5"/>
  <c r="AL8" i="5"/>
  <c r="AM8" i="5"/>
  <c r="AK9" i="5"/>
  <c r="AL9" i="5"/>
  <c r="AM9" i="5"/>
  <c r="AK10" i="5"/>
  <c r="AL10" i="5"/>
  <c r="AM10" i="5"/>
  <c r="BH10" i="5" s="1"/>
  <c r="AK11" i="5"/>
  <c r="AL11" i="5"/>
  <c r="AM11" i="5"/>
  <c r="AK12" i="5"/>
  <c r="AL12" i="5"/>
  <c r="AM12" i="5"/>
  <c r="AK13" i="5"/>
  <c r="AL13" i="5"/>
  <c r="AM13" i="5"/>
  <c r="AK14" i="5"/>
  <c r="AL14" i="5"/>
  <c r="AM14" i="5"/>
  <c r="AK15" i="5"/>
  <c r="AL15" i="5"/>
  <c r="AM15" i="5"/>
  <c r="AK16" i="5"/>
  <c r="AL16" i="5"/>
  <c r="AM16" i="5"/>
  <c r="BH16" i="5" s="1"/>
  <c r="AK17" i="5"/>
  <c r="AL17" i="5"/>
  <c r="AM17" i="5"/>
  <c r="AK18" i="5"/>
  <c r="AL18" i="5"/>
  <c r="AM18" i="5"/>
  <c r="AK19" i="5"/>
  <c r="AL19" i="5"/>
  <c r="AM19" i="5"/>
  <c r="BH19" i="5" s="1"/>
  <c r="AK20" i="5"/>
  <c r="AL20" i="5"/>
  <c r="AM20" i="5"/>
  <c r="AK21" i="5"/>
  <c r="AL21" i="5"/>
  <c r="AM21" i="5"/>
  <c r="BH21" i="5" s="1"/>
  <c r="AK22" i="5"/>
  <c r="AL22" i="5"/>
  <c r="AM22" i="5"/>
  <c r="AM3" i="5"/>
  <c r="AL3" i="5"/>
  <c r="AK3" i="5"/>
  <c r="AI4" i="5"/>
  <c r="AJ4" i="5"/>
  <c r="AI5" i="5"/>
  <c r="AJ5" i="5"/>
  <c r="AI6" i="5"/>
  <c r="AJ6" i="5"/>
  <c r="AI7" i="5"/>
  <c r="AJ7" i="5"/>
  <c r="AI8" i="5"/>
  <c r="AJ8" i="5"/>
  <c r="AI9" i="5"/>
  <c r="AJ9" i="5"/>
  <c r="AI10" i="5"/>
  <c r="AJ10" i="5"/>
  <c r="AI11" i="5"/>
  <c r="AJ11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I18" i="5"/>
  <c r="AJ18" i="5"/>
  <c r="AI19" i="5"/>
  <c r="AJ19" i="5"/>
  <c r="AI20" i="5"/>
  <c r="AJ20" i="5"/>
  <c r="AI21" i="5"/>
  <c r="AJ21" i="5"/>
  <c r="AI22" i="5"/>
  <c r="AJ22" i="5"/>
  <c r="AJ3" i="5"/>
  <c r="AI3" i="5"/>
  <c r="AF4" i="5"/>
  <c r="AG4" i="5"/>
  <c r="AF5" i="5"/>
  <c r="AG5" i="5"/>
  <c r="AF6" i="5"/>
  <c r="AG6" i="5"/>
  <c r="AF7" i="5"/>
  <c r="AG7" i="5"/>
  <c r="AF8" i="5"/>
  <c r="AG8" i="5"/>
  <c r="AF9" i="5"/>
  <c r="AG9" i="5"/>
  <c r="AF10" i="5"/>
  <c r="AG10" i="5"/>
  <c r="AF11" i="5"/>
  <c r="AG11" i="5"/>
  <c r="AF12" i="5"/>
  <c r="AG12" i="5"/>
  <c r="AF13" i="5"/>
  <c r="AG13" i="5"/>
  <c r="AF14" i="5"/>
  <c r="AG14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AG21" i="5"/>
  <c r="AF22" i="5"/>
  <c r="AG22" i="5"/>
  <c r="AG3" i="5"/>
  <c r="AF3" i="5"/>
  <c r="AA4" i="5"/>
  <c r="AB4" i="5"/>
  <c r="AC4" i="5"/>
  <c r="AD4" i="5"/>
  <c r="AE4" i="5"/>
  <c r="AA5" i="5"/>
  <c r="AB5" i="5"/>
  <c r="AC5" i="5"/>
  <c r="AD5" i="5"/>
  <c r="AE5" i="5"/>
  <c r="AA6" i="5"/>
  <c r="AB6" i="5"/>
  <c r="AC6" i="5"/>
  <c r="AD6" i="5"/>
  <c r="AE6" i="5"/>
  <c r="AA7" i="5"/>
  <c r="AB7" i="5"/>
  <c r="AC7" i="5"/>
  <c r="AD7" i="5"/>
  <c r="AE7" i="5"/>
  <c r="AA8" i="5"/>
  <c r="AB8" i="5"/>
  <c r="AC8" i="5"/>
  <c r="AD8" i="5"/>
  <c r="AE8" i="5"/>
  <c r="AA9" i="5"/>
  <c r="AB9" i="5"/>
  <c r="AC9" i="5"/>
  <c r="AD9" i="5"/>
  <c r="AE9" i="5"/>
  <c r="AA10" i="5"/>
  <c r="AB10" i="5"/>
  <c r="AC10" i="5"/>
  <c r="AD10" i="5"/>
  <c r="AE10" i="5"/>
  <c r="AA11" i="5"/>
  <c r="AB11" i="5"/>
  <c r="AC11" i="5"/>
  <c r="AD11" i="5"/>
  <c r="AE11" i="5"/>
  <c r="AA12" i="5"/>
  <c r="AB12" i="5"/>
  <c r="AC12" i="5"/>
  <c r="AD12" i="5"/>
  <c r="AE12" i="5"/>
  <c r="AA13" i="5"/>
  <c r="AB13" i="5"/>
  <c r="AC13" i="5"/>
  <c r="AD13" i="5"/>
  <c r="AE13" i="5"/>
  <c r="AA14" i="5"/>
  <c r="AB14" i="5"/>
  <c r="AC14" i="5"/>
  <c r="AD14" i="5"/>
  <c r="AE14" i="5"/>
  <c r="AA15" i="5"/>
  <c r="AB15" i="5"/>
  <c r="AC15" i="5"/>
  <c r="AD15" i="5"/>
  <c r="AE15" i="5"/>
  <c r="AA16" i="5"/>
  <c r="AB16" i="5"/>
  <c r="AC16" i="5"/>
  <c r="AD16" i="5"/>
  <c r="AE16" i="5"/>
  <c r="AA17" i="5"/>
  <c r="AB17" i="5"/>
  <c r="AC17" i="5"/>
  <c r="AD17" i="5"/>
  <c r="AE17" i="5"/>
  <c r="AA18" i="5"/>
  <c r="AB18" i="5"/>
  <c r="AC18" i="5"/>
  <c r="AD18" i="5"/>
  <c r="AE18" i="5"/>
  <c r="AA19" i="5"/>
  <c r="AB19" i="5"/>
  <c r="AC19" i="5"/>
  <c r="AD19" i="5"/>
  <c r="AE19" i="5"/>
  <c r="AA20" i="5"/>
  <c r="AB20" i="5"/>
  <c r="AC20" i="5"/>
  <c r="AD20" i="5"/>
  <c r="AE20" i="5"/>
  <c r="AA21" i="5"/>
  <c r="AB21" i="5"/>
  <c r="AC21" i="5"/>
  <c r="AD21" i="5"/>
  <c r="AE21" i="5"/>
  <c r="AA22" i="5"/>
  <c r="AB22" i="5"/>
  <c r="AC22" i="5"/>
  <c r="AD22" i="5"/>
  <c r="AE22" i="5"/>
  <c r="AE3" i="5"/>
  <c r="AD3" i="5"/>
  <c r="AC3" i="5"/>
  <c r="AB3" i="5"/>
  <c r="AA3" i="5"/>
  <c r="U4" i="5"/>
  <c r="U5" i="5"/>
  <c r="U6" i="5"/>
  <c r="U7" i="5"/>
  <c r="U8" i="5"/>
  <c r="U9" i="5"/>
  <c r="U10" i="5"/>
  <c r="U11" i="5"/>
  <c r="U12" i="5"/>
  <c r="U3" i="5"/>
  <c r="Q4" i="5"/>
  <c r="Q5" i="5"/>
  <c r="Q6" i="5"/>
  <c r="Q7" i="5"/>
  <c r="Q8" i="5"/>
  <c r="Q9" i="5"/>
  <c r="Q10" i="5"/>
  <c r="Q11" i="5"/>
  <c r="Z11" i="5" s="1"/>
  <c r="Q12" i="5"/>
  <c r="Q13" i="5"/>
  <c r="Q14" i="5"/>
  <c r="Q15" i="5"/>
  <c r="Q16" i="5"/>
  <c r="Q17" i="5"/>
  <c r="Q18" i="5"/>
  <c r="Q19" i="5"/>
  <c r="Q20" i="5"/>
  <c r="Q21" i="5"/>
  <c r="Q22" i="5"/>
  <c r="Q3" i="5"/>
  <c r="P4" i="5"/>
  <c r="W4" i="5" s="1"/>
  <c r="X4" i="5" s="1"/>
  <c r="P5" i="5"/>
  <c r="W5" i="5" s="1"/>
  <c r="X5" i="5" s="1"/>
  <c r="P6" i="5"/>
  <c r="W6" i="5" s="1"/>
  <c r="X6" i="5" s="1"/>
  <c r="P7" i="5"/>
  <c r="W7" i="5" s="1"/>
  <c r="X7" i="5" s="1"/>
  <c r="BG7" i="5" s="1"/>
  <c r="P8" i="5"/>
  <c r="W8" i="5" s="1"/>
  <c r="X8" i="5" s="1"/>
  <c r="BG8" i="5" s="1"/>
  <c r="P9" i="5"/>
  <c r="W9" i="5" s="1"/>
  <c r="X9" i="5" s="1"/>
  <c r="BG9" i="5" s="1"/>
  <c r="P10" i="5"/>
  <c r="W10" i="5" s="1"/>
  <c r="X10" i="5" s="1"/>
  <c r="P11" i="5"/>
  <c r="W11" i="5" s="1"/>
  <c r="X11" i="5" s="1"/>
  <c r="P12" i="5"/>
  <c r="W12" i="5" s="1"/>
  <c r="X12" i="5" s="1"/>
  <c r="P13" i="5"/>
  <c r="P14" i="5"/>
  <c r="P15" i="5"/>
  <c r="P16" i="5"/>
  <c r="P17" i="5"/>
  <c r="P18" i="5"/>
  <c r="P19" i="5"/>
  <c r="P20" i="5"/>
  <c r="P21" i="5"/>
  <c r="P22" i="5"/>
  <c r="P3" i="5"/>
  <c r="W3" i="5" s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Z15" i="5" s="1"/>
  <c r="N16" i="5"/>
  <c r="N17" i="5"/>
  <c r="N18" i="5"/>
  <c r="N19" i="5"/>
  <c r="N20" i="5"/>
  <c r="N21" i="5"/>
  <c r="N22" i="5"/>
  <c r="N3" i="5"/>
  <c r="I4" i="5"/>
  <c r="I5" i="5"/>
  <c r="I6" i="5"/>
  <c r="I7" i="5"/>
  <c r="I8" i="5"/>
  <c r="I9" i="5"/>
  <c r="J9" i="5" s="1"/>
  <c r="I10" i="5"/>
  <c r="J10" i="5" s="1"/>
  <c r="I11" i="5"/>
  <c r="J11" i="5" s="1"/>
  <c r="I12" i="5"/>
  <c r="J12" i="5" s="1"/>
  <c r="I13" i="5"/>
  <c r="J13" i="5" s="1"/>
  <c r="I14" i="5"/>
  <c r="I15" i="5"/>
  <c r="I16" i="5"/>
  <c r="I17" i="5"/>
  <c r="I18" i="5"/>
  <c r="J18" i="5" s="1"/>
  <c r="I19" i="5"/>
  <c r="J19" i="5" s="1"/>
  <c r="I20" i="5"/>
  <c r="I21" i="5"/>
  <c r="I22" i="5"/>
  <c r="J22" i="5" s="1"/>
  <c r="I3" i="5"/>
  <c r="BB22" i="5"/>
  <c r="AX22" i="5"/>
  <c r="BH22" i="5"/>
  <c r="U22" i="5"/>
  <c r="W22" i="5" s="1"/>
  <c r="Y22" i="5"/>
  <c r="BB21" i="5"/>
  <c r="AX21" i="5"/>
  <c r="U21" i="5"/>
  <c r="W21" i="5" s="1"/>
  <c r="J21" i="5"/>
  <c r="Y21" i="5"/>
  <c r="BB20" i="5"/>
  <c r="AX20" i="5"/>
  <c r="BH20" i="5"/>
  <c r="U20" i="5"/>
  <c r="W20" i="5" s="1"/>
  <c r="X20" i="5" s="1"/>
  <c r="J20" i="5"/>
  <c r="Y20" i="5"/>
  <c r="BE20" i="5" s="1"/>
  <c r="BB19" i="5"/>
  <c r="AX19" i="5"/>
  <c r="Y19" i="5"/>
  <c r="U19" i="5"/>
  <c r="BB18" i="5"/>
  <c r="AX18" i="5"/>
  <c r="BH18" i="5"/>
  <c r="U18" i="5"/>
  <c r="Y18" i="5"/>
  <c r="BE18" i="5" s="1"/>
  <c r="BH17" i="5"/>
  <c r="BB17" i="5"/>
  <c r="AX17" i="5"/>
  <c r="U17" i="5"/>
  <c r="J17" i="5"/>
  <c r="Y17" i="5"/>
  <c r="BE17" i="5" s="1"/>
  <c r="BB16" i="5"/>
  <c r="AX16" i="5"/>
  <c r="U16" i="5"/>
  <c r="W16" i="5" s="1"/>
  <c r="J16" i="5"/>
  <c r="Y16" i="5"/>
  <c r="BH15" i="5"/>
  <c r="BB15" i="5"/>
  <c r="AX15" i="5"/>
  <c r="U15" i="5"/>
  <c r="J15" i="5"/>
  <c r="Y15" i="5"/>
  <c r="BE15" i="5" s="1"/>
  <c r="BH14" i="5"/>
  <c r="BB14" i="5"/>
  <c r="AX14" i="5"/>
  <c r="U14" i="5"/>
  <c r="W14" i="5" s="1"/>
  <c r="J14" i="5"/>
  <c r="Y14" i="5"/>
  <c r="BE14" i="5" s="1"/>
  <c r="BB13" i="5"/>
  <c r="AX13" i="5"/>
  <c r="BH13" i="5"/>
  <c r="U13" i="5"/>
  <c r="Y13" i="5"/>
  <c r="BE13" i="5" s="1"/>
  <c r="BB12" i="5"/>
  <c r="AX12" i="5"/>
  <c r="BH12" i="5"/>
  <c r="Y12" i="5"/>
  <c r="BE12" i="5" s="1"/>
  <c r="BB11" i="5"/>
  <c r="AX11" i="5"/>
  <c r="BH11" i="5"/>
  <c r="Y11" i="5"/>
  <c r="BB10" i="5"/>
  <c r="AX10" i="5"/>
  <c r="Y10" i="5"/>
  <c r="BE10" i="5" s="1"/>
  <c r="BH9" i="5"/>
  <c r="BB9" i="5"/>
  <c r="AX9" i="5"/>
  <c r="Y9" i="5"/>
  <c r="BE9" i="5" s="1"/>
  <c r="BH8" i="5"/>
  <c r="BB8" i="5"/>
  <c r="AX8" i="5"/>
  <c r="J8" i="5"/>
  <c r="Y8" i="5"/>
  <c r="BH7" i="5"/>
  <c r="BB7" i="5"/>
  <c r="AX7" i="5"/>
  <c r="J7" i="5"/>
  <c r="Y7" i="5"/>
  <c r="BH6" i="5"/>
  <c r="BB6" i="5"/>
  <c r="AX6" i="5"/>
  <c r="J6" i="5"/>
  <c r="Y6" i="5"/>
  <c r="BB5" i="5"/>
  <c r="AX5" i="5"/>
  <c r="J5" i="5"/>
  <c r="Y5" i="5"/>
  <c r="BE5" i="5" s="1"/>
  <c r="BH4" i="5"/>
  <c r="BB4" i="5"/>
  <c r="AX4" i="5"/>
  <c r="J4" i="5"/>
  <c r="Y4" i="5"/>
  <c r="BE4" i="5" s="1"/>
  <c r="BB3" i="5"/>
  <c r="AX3" i="5"/>
  <c r="BH3" i="5"/>
  <c r="J3" i="5"/>
  <c r="Y3" i="5"/>
  <c r="BE3" i="5" s="1"/>
  <c r="A127" i="7"/>
  <c r="B127" i="7" s="1"/>
  <c r="C127" i="7" s="1"/>
  <c r="A126" i="7"/>
  <c r="B126" i="7" s="1"/>
  <c r="C126" i="7" s="1"/>
  <c r="A125" i="7"/>
  <c r="B125" i="7" s="1"/>
  <c r="C125" i="7" s="1"/>
  <c r="B124" i="7"/>
  <c r="C124" i="7" s="1"/>
  <c r="A123" i="7"/>
  <c r="B122" i="7" s="1"/>
  <c r="C122" i="7" s="1"/>
  <c r="A122" i="7"/>
  <c r="B121" i="7"/>
  <c r="C121" i="7" s="1"/>
  <c r="A121" i="7"/>
  <c r="B120" i="7"/>
  <c r="C120" i="7" s="1"/>
  <c r="A119" i="7"/>
  <c r="B119" i="7" s="1"/>
  <c r="C119" i="7" s="1"/>
  <c r="A118" i="7"/>
  <c r="B118" i="7" s="1"/>
  <c r="C118" i="7" s="1"/>
  <c r="A117" i="7"/>
  <c r="B116" i="7" s="1"/>
  <c r="C116" i="7" s="1"/>
  <c r="B115" i="7"/>
  <c r="C115" i="7" s="1"/>
  <c r="A115" i="7"/>
  <c r="A114" i="7"/>
  <c r="B114" i="7" s="1"/>
  <c r="C114" i="7" s="1"/>
  <c r="B113" i="7"/>
  <c r="C113" i="7" s="1"/>
  <c r="A113" i="7"/>
  <c r="B112" i="7"/>
  <c r="C112" i="7" s="1"/>
  <c r="A111" i="7"/>
  <c r="B110" i="7" s="1"/>
  <c r="C110" i="7" s="1"/>
  <c r="A110" i="7"/>
  <c r="A109" i="7"/>
  <c r="B109" i="7" s="1"/>
  <c r="C109" i="7" s="1"/>
  <c r="B108" i="7"/>
  <c r="C108" i="7" s="1"/>
  <c r="A107" i="7"/>
  <c r="B107" i="7" s="1"/>
  <c r="C107" i="7" s="1"/>
  <c r="A106" i="7"/>
  <c r="B106" i="7" s="1"/>
  <c r="C106" i="7" s="1"/>
  <c r="B105" i="7"/>
  <c r="C105" i="7" s="1"/>
  <c r="A105" i="7"/>
  <c r="B104" i="7" s="1"/>
  <c r="C104" i="7" s="1"/>
  <c r="A103" i="7"/>
  <c r="B103" i="7" s="1"/>
  <c r="C103" i="7" s="1"/>
  <c r="B102" i="7"/>
  <c r="C102" i="7" s="1"/>
  <c r="A102" i="7"/>
  <c r="A101" i="7"/>
  <c r="B101" i="7" s="1"/>
  <c r="C101" i="7" s="1"/>
  <c r="B100" i="7"/>
  <c r="C100" i="7" s="1"/>
  <c r="B99" i="7"/>
  <c r="C99" i="7" s="1"/>
  <c r="A99" i="7"/>
  <c r="A98" i="7"/>
  <c r="B98" i="7" s="1"/>
  <c r="C98" i="7" s="1"/>
  <c r="A97" i="7"/>
  <c r="B97" i="7" s="1"/>
  <c r="C97" i="7" s="1"/>
  <c r="A95" i="7"/>
  <c r="B95" i="7" s="1"/>
  <c r="C95" i="7" s="1"/>
  <c r="A94" i="7"/>
  <c r="B93" i="7" s="1"/>
  <c r="C93" i="7" s="1"/>
  <c r="A93" i="7"/>
  <c r="B92" i="7"/>
  <c r="C92" i="7" s="1"/>
  <c r="A91" i="7"/>
  <c r="B91" i="7" s="1"/>
  <c r="C91" i="7" s="1"/>
  <c r="A90" i="7"/>
  <c r="B90" i="7" s="1"/>
  <c r="C90" i="7" s="1"/>
  <c r="A89" i="7"/>
  <c r="B89" i="7" s="1"/>
  <c r="C89" i="7" s="1"/>
  <c r="B88" i="7"/>
  <c r="C88" i="7" s="1"/>
  <c r="C87" i="7"/>
  <c r="B87" i="7"/>
  <c r="A87" i="7"/>
  <c r="B86" i="7"/>
  <c r="C86" i="7" s="1"/>
  <c r="A86" i="7"/>
  <c r="A85" i="7"/>
  <c r="B85" i="7" s="1"/>
  <c r="C85" i="7" s="1"/>
  <c r="F84" i="7"/>
  <c r="C128" i="7" s="1"/>
  <c r="B61" i="7"/>
  <c r="E55" i="7"/>
  <c r="E54" i="7"/>
  <c r="E52" i="7"/>
  <c r="E51" i="7"/>
  <c r="E50" i="7"/>
  <c r="E49" i="7"/>
  <c r="E48" i="7"/>
  <c r="E47" i="7"/>
  <c r="E46" i="7"/>
  <c r="E45" i="7"/>
  <c r="B45" i="7"/>
  <c r="E44" i="7"/>
  <c r="B44" i="7"/>
  <c r="E43" i="7"/>
  <c r="B69" i="7" s="1"/>
  <c r="B43" i="7"/>
  <c r="E42" i="7"/>
  <c r="B42" i="7"/>
  <c r="E41" i="7"/>
  <c r="B41" i="7"/>
  <c r="E40" i="7"/>
  <c r="B40" i="7"/>
  <c r="E39" i="7"/>
  <c r="B39" i="7"/>
  <c r="B30" i="7"/>
  <c r="B29" i="7"/>
  <c r="B28" i="7"/>
  <c r="B34" i="7" s="1"/>
  <c r="B27" i="7"/>
  <c r="B32" i="7" s="1"/>
  <c r="B19" i="7" s="1"/>
  <c r="B20" i="7"/>
  <c r="B33" i="7" s="1"/>
  <c r="B35" i="7" s="1"/>
  <c r="B36" i="7" s="1"/>
  <c r="B68" i="7" s="1"/>
  <c r="B17" i="7"/>
  <c r="L13" i="7"/>
  <c r="O13" i="7" s="1"/>
  <c r="O12" i="7"/>
  <c r="L12" i="7"/>
  <c r="O11" i="7"/>
  <c r="L11" i="7"/>
  <c r="B11" i="7"/>
  <c r="B18" i="7" s="1"/>
  <c r="L10" i="7"/>
  <c r="O10" i="7" s="1"/>
  <c r="B14" i="7" s="1"/>
  <c r="B16" i="7" s="1"/>
  <c r="L9" i="7"/>
  <c r="O9" i="7" s="1"/>
  <c r="L8" i="7"/>
  <c r="O8" i="7" s="1"/>
  <c r="F35" i="6"/>
  <c r="I35" i="6" s="1"/>
  <c r="F34" i="6"/>
  <c r="I34" i="6" s="1"/>
  <c r="F33" i="6"/>
  <c r="I33" i="6" s="1"/>
  <c r="F32" i="6"/>
  <c r="I32" i="6" s="1"/>
  <c r="F31" i="6"/>
  <c r="I31" i="6" s="1"/>
  <c r="F30" i="6"/>
  <c r="I30" i="6" s="1"/>
  <c r="B2" i="1"/>
  <c r="B67" i="7" l="1"/>
  <c r="AC19" i="9"/>
  <c r="AD19" i="9" s="1"/>
  <c r="AE19" i="9" s="1"/>
  <c r="AE13" i="9"/>
  <c r="AC22" i="9"/>
  <c r="AC8" i="9"/>
  <c r="AD8" i="9" s="1"/>
  <c r="AE8" i="9" s="1"/>
  <c r="AF5" i="9"/>
  <c r="AG5" i="9" s="1"/>
  <c r="AC3" i="9"/>
  <c r="AD3" i="9" s="1"/>
  <c r="AF19" i="9"/>
  <c r="AG19" i="9" s="1"/>
  <c r="AC9" i="9"/>
  <c r="AD9" i="9" s="1"/>
  <c r="AE9" i="9" s="1"/>
  <c r="AF9" i="9" s="1"/>
  <c r="AG9" i="9" s="1"/>
  <c r="AC7" i="9"/>
  <c r="AD7" i="9" s="1"/>
  <c r="AE7" i="9" s="1"/>
  <c r="AF7" i="9" s="1"/>
  <c r="AG7" i="9" s="1"/>
  <c r="AC10" i="9"/>
  <c r="AD10" i="9" s="1"/>
  <c r="AE10" i="9" s="1"/>
  <c r="AF10" i="9" s="1"/>
  <c r="AG10" i="9" s="1"/>
  <c r="AE3" i="9"/>
  <c r="AF3" i="9" s="1"/>
  <c r="AG3" i="9" s="1"/>
  <c r="AC15" i="9"/>
  <c r="AD15" i="9" s="1"/>
  <c r="AE15" i="9" s="1"/>
  <c r="AF15" i="9" s="1"/>
  <c r="AG15" i="9" s="1"/>
  <c r="AF8" i="9"/>
  <c r="AG8" i="9" s="1"/>
  <c r="AC17" i="9"/>
  <c r="AD17" i="9" s="1"/>
  <c r="AE17" i="9" s="1"/>
  <c r="AF17" i="9" s="1"/>
  <c r="AG17" i="9" s="1"/>
  <c r="AC18" i="9"/>
  <c r="AD18" i="9" s="1"/>
  <c r="AE18" i="9" s="1"/>
  <c r="AF18" i="9" s="1"/>
  <c r="AG18" i="9" s="1"/>
  <c r="AC20" i="9"/>
  <c r="AD20" i="9" s="1"/>
  <c r="AE20" i="9" s="1"/>
  <c r="AF20" i="9" s="1"/>
  <c r="AG20" i="9" s="1"/>
  <c r="AC12" i="9"/>
  <c r="AE21" i="9"/>
  <c r="AF21" i="9" s="1"/>
  <c r="AG21" i="9" s="1"/>
  <c r="AC14" i="9"/>
  <c r="AD14" i="9" s="1"/>
  <c r="AE14" i="9" s="1"/>
  <c r="AF14" i="9" s="1"/>
  <c r="AG14" i="9" s="1"/>
  <c r="AF4" i="9"/>
  <c r="AG4" i="9" s="1"/>
  <c r="AE22" i="9"/>
  <c r="AF22" i="9" s="1"/>
  <c r="AG22" i="9" s="1"/>
  <c r="AF13" i="9"/>
  <c r="AG13" i="9" s="1"/>
  <c r="AC6" i="9"/>
  <c r="AD6" i="9" s="1"/>
  <c r="AE6" i="9" s="1"/>
  <c r="AF6" i="9" s="1"/>
  <c r="AG6" i="9" s="1"/>
  <c r="Z7" i="5"/>
  <c r="W17" i="5"/>
  <c r="W15" i="5"/>
  <c r="X15" i="5" s="1"/>
  <c r="BG15" i="5" s="1"/>
  <c r="W13" i="5"/>
  <c r="X13" i="5" s="1"/>
  <c r="BG13" i="5" s="1"/>
  <c r="Z22" i="5"/>
  <c r="W18" i="5"/>
  <c r="X18" i="5" s="1"/>
  <c r="BG18" i="5" s="1"/>
  <c r="Z21" i="5"/>
  <c r="BF21" i="5" s="1"/>
  <c r="Z20" i="5"/>
  <c r="BF20" i="5" s="1"/>
  <c r="Z19" i="5"/>
  <c r="Z18" i="5"/>
  <c r="BF18" i="5" s="1"/>
  <c r="Z10" i="5"/>
  <c r="BF10" i="5" s="1"/>
  <c r="Z17" i="5"/>
  <c r="BF17" i="5" s="1"/>
  <c r="W19" i="5"/>
  <c r="X19" i="5" s="1"/>
  <c r="BG19" i="5" s="1"/>
  <c r="BE16" i="5"/>
  <c r="BE21" i="5"/>
  <c r="BE19" i="5"/>
  <c r="BE11" i="5"/>
  <c r="BE8" i="5"/>
  <c r="Z16" i="5"/>
  <c r="BF16" i="5" s="1"/>
  <c r="Z4" i="5"/>
  <c r="AH4" i="5" s="1"/>
  <c r="BC4" i="5" s="1"/>
  <c r="Z3" i="5"/>
  <c r="BF3" i="5" s="1"/>
  <c r="X3" i="5"/>
  <c r="BG3" i="5" s="1"/>
  <c r="Z12" i="5"/>
  <c r="AH12" i="5" s="1"/>
  <c r="BC12" i="5" s="1"/>
  <c r="X17" i="5"/>
  <c r="BG17" i="5" s="1"/>
  <c r="BF11" i="5"/>
  <c r="BG5" i="5"/>
  <c r="Z5" i="5"/>
  <c r="AH5" i="5" s="1"/>
  <c r="AW5" i="5" s="1"/>
  <c r="AZ5" i="5" s="1"/>
  <c r="Z9" i="5"/>
  <c r="AH9" i="5" s="1"/>
  <c r="AW9" i="5" s="1"/>
  <c r="AZ9" i="5" s="1"/>
  <c r="BG20" i="5"/>
  <c r="BG11" i="5"/>
  <c r="AH11" i="5"/>
  <c r="BC11" i="5" s="1"/>
  <c r="BG10" i="5"/>
  <c r="X21" i="5"/>
  <c r="BG21" i="5" s="1"/>
  <c r="X14" i="5"/>
  <c r="BG14" i="5" s="1"/>
  <c r="X22" i="5"/>
  <c r="BG22" i="5" s="1"/>
  <c r="X16" i="5"/>
  <c r="BG16" i="5" s="1"/>
  <c r="BG4" i="5"/>
  <c r="BE6" i="5"/>
  <c r="BF7" i="5"/>
  <c r="AH7" i="5"/>
  <c r="AW7" i="5" s="1"/>
  <c r="AZ7" i="5" s="1"/>
  <c r="BG6" i="5"/>
  <c r="BE7" i="5"/>
  <c r="BG12" i="5"/>
  <c r="BE22" i="5"/>
  <c r="BF15" i="5"/>
  <c r="Z13" i="5"/>
  <c r="BF13" i="5" s="1"/>
  <c r="Z6" i="5"/>
  <c r="AH6" i="5" s="1"/>
  <c r="Z14" i="5"/>
  <c r="BF14" i="5" s="1"/>
  <c r="Z8" i="5"/>
  <c r="BF8" i="5" s="1"/>
  <c r="B66" i="7"/>
  <c r="B46" i="7"/>
  <c r="E53" i="7" s="1"/>
  <c r="E56" i="7" s="1"/>
  <c r="B117" i="7"/>
  <c r="C117" i="7" s="1"/>
  <c r="B123" i="7"/>
  <c r="C123" i="7" s="1"/>
  <c r="B84" i="7"/>
  <c r="C84" i="7" s="1"/>
  <c r="B111" i="7"/>
  <c r="C111" i="7" s="1"/>
  <c r="B94" i="7"/>
  <c r="C94" i="7" s="1"/>
  <c r="B96" i="7"/>
  <c r="C96" i="7" s="1"/>
  <c r="AH19" i="5" l="1"/>
  <c r="BC19" i="5" s="1"/>
  <c r="BF19" i="5"/>
  <c r="AH10" i="5"/>
  <c r="BC10" i="5" s="1"/>
  <c r="AH20" i="5"/>
  <c r="BC20" i="5" s="1"/>
  <c r="AH3" i="5"/>
  <c r="BC3" i="5" s="1"/>
  <c r="AH17" i="5"/>
  <c r="BC17" i="5" s="1"/>
  <c r="AH18" i="5"/>
  <c r="BC18" i="5" s="1"/>
  <c r="BF4" i="5"/>
  <c r="BF12" i="5"/>
  <c r="BF9" i="5"/>
  <c r="AH16" i="5"/>
  <c r="AW16" i="5" s="1"/>
  <c r="AZ16" i="5" s="1"/>
  <c r="AH22" i="5"/>
  <c r="AW22" i="5" s="1"/>
  <c r="AZ22" i="5" s="1"/>
  <c r="BF5" i="5"/>
  <c r="AH21" i="5"/>
  <c r="BC21" i="5" s="1"/>
  <c r="AW4" i="5"/>
  <c r="AZ4" i="5" s="1"/>
  <c r="BD4" i="5" s="1"/>
  <c r="BI4" i="5" s="1"/>
  <c r="BJ4" i="5" s="1"/>
  <c r="BC5" i="5"/>
  <c r="BD5" i="5" s="1"/>
  <c r="BC7" i="5"/>
  <c r="BD7" i="5" s="1"/>
  <c r="BI7" i="5" s="1"/>
  <c r="BJ7" i="5" s="1"/>
  <c r="AW11" i="5"/>
  <c r="AZ11" i="5" s="1"/>
  <c r="BD11" i="5" s="1"/>
  <c r="BI11" i="5" s="1"/>
  <c r="BJ11" i="5" s="1"/>
  <c r="AW12" i="5"/>
  <c r="AZ12" i="5" s="1"/>
  <c r="BD12" i="5" s="1"/>
  <c r="AW6" i="5"/>
  <c r="AZ6" i="5" s="1"/>
  <c r="BC6" i="5"/>
  <c r="AH13" i="5"/>
  <c r="BF6" i="5"/>
  <c r="AW20" i="5"/>
  <c r="AZ20" i="5" s="1"/>
  <c r="BD20" i="5" s="1"/>
  <c r="BI20" i="5" s="1"/>
  <c r="BJ20" i="5" s="1"/>
  <c r="AH8" i="5"/>
  <c r="BF22" i="5"/>
  <c r="AH14" i="5"/>
  <c r="BC9" i="5"/>
  <c r="BD9" i="5" s="1"/>
  <c r="BI9" i="5" s="1"/>
  <c r="BJ9" i="5" s="1"/>
  <c r="AH15" i="5"/>
  <c r="B64" i="7"/>
  <c r="B65" i="7"/>
  <c r="B70" i="7" s="1"/>
  <c r="B71" i="7" s="1"/>
  <c r="AW17" i="5" l="1"/>
  <c r="AZ17" i="5" s="1"/>
  <c r="BD17" i="5" s="1"/>
  <c r="BI17" i="5" s="1"/>
  <c r="BJ17" i="5" s="1"/>
  <c r="AW10" i="5"/>
  <c r="AZ10" i="5" s="1"/>
  <c r="BD10" i="5" s="1"/>
  <c r="BI10" i="5" s="1"/>
  <c r="BJ10" i="5" s="1"/>
  <c r="AW19" i="5"/>
  <c r="AZ19" i="5" s="1"/>
  <c r="BD19" i="5" s="1"/>
  <c r="BI19" i="5" s="1"/>
  <c r="BJ19" i="5" s="1"/>
  <c r="AW3" i="5"/>
  <c r="AZ3" i="5" s="1"/>
  <c r="BD3" i="5" s="1"/>
  <c r="BI3" i="5" s="1"/>
  <c r="BJ3" i="5" s="1"/>
  <c r="BI5" i="5"/>
  <c r="BJ5" i="5" s="1"/>
  <c r="BD6" i="5"/>
  <c r="AW18" i="5"/>
  <c r="AZ18" i="5" s="1"/>
  <c r="BD18" i="5" s="1"/>
  <c r="BI18" i="5" s="1"/>
  <c r="BJ18" i="5" s="1"/>
  <c r="BI12" i="5"/>
  <c r="BJ12" i="5" s="1"/>
  <c r="BC16" i="5"/>
  <c r="BD16" i="5" s="1"/>
  <c r="BI16" i="5" s="1"/>
  <c r="BJ16" i="5" s="1"/>
  <c r="BC22" i="5"/>
  <c r="BD22" i="5" s="1"/>
  <c r="BI22" i="5" s="1"/>
  <c r="BJ22" i="5" s="1"/>
  <c r="AW21" i="5"/>
  <c r="AZ21" i="5" s="1"/>
  <c r="BD21" i="5" s="1"/>
  <c r="BI21" i="5" s="1"/>
  <c r="BJ21" i="5" s="1"/>
  <c r="BI6" i="5"/>
  <c r="BJ6" i="5" s="1"/>
  <c r="AW8" i="5"/>
  <c r="AZ8" i="5" s="1"/>
  <c r="BD8" i="5" s="1"/>
  <c r="BI8" i="5" s="1"/>
  <c r="BJ8" i="5" s="1"/>
  <c r="BC8" i="5"/>
  <c r="AW15" i="5"/>
  <c r="AZ15" i="5" s="1"/>
  <c r="BD15" i="5" s="1"/>
  <c r="BI15" i="5" s="1"/>
  <c r="BJ15" i="5" s="1"/>
  <c r="BC15" i="5"/>
  <c r="AW14" i="5"/>
  <c r="AZ14" i="5" s="1"/>
  <c r="BC14" i="5"/>
  <c r="BC13" i="5"/>
  <c r="AW13" i="5"/>
  <c r="AZ13" i="5" s="1"/>
  <c r="BD14" i="5" l="1"/>
  <c r="BI14" i="5" s="1"/>
  <c r="BJ14" i="5" s="1"/>
  <c r="BD13" i="5"/>
  <c r="BI13" i="5" s="1"/>
  <c r="BJ13" i="5" s="1"/>
  <c r="Z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2" i="1"/>
  <c r="AM3" i="1"/>
  <c r="AN3" i="1"/>
  <c r="AO3" i="1"/>
  <c r="AP3" i="1"/>
  <c r="AQ3" i="1"/>
  <c r="AR3" i="1"/>
  <c r="AS3" i="1"/>
  <c r="AT3" i="1"/>
  <c r="AU3" i="1"/>
  <c r="AV3" i="1"/>
  <c r="AM4" i="1"/>
  <c r="AN4" i="1"/>
  <c r="AO4" i="1"/>
  <c r="AP4" i="1"/>
  <c r="AQ4" i="1"/>
  <c r="AR4" i="1"/>
  <c r="AS4" i="1"/>
  <c r="AT4" i="1"/>
  <c r="AU4" i="1"/>
  <c r="AV4" i="1"/>
  <c r="AM5" i="1"/>
  <c r="AN5" i="1"/>
  <c r="AO5" i="1"/>
  <c r="AP5" i="1"/>
  <c r="AQ5" i="1"/>
  <c r="AR5" i="1"/>
  <c r="AS5" i="1"/>
  <c r="AT5" i="1"/>
  <c r="AU5" i="1"/>
  <c r="AV5" i="1"/>
  <c r="AM6" i="1"/>
  <c r="AN6" i="1"/>
  <c r="AO6" i="1"/>
  <c r="AP6" i="1"/>
  <c r="AQ6" i="1"/>
  <c r="AR6" i="1"/>
  <c r="AS6" i="1"/>
  <c r="AT6" i="1"/>
  <c r="AU6" i="1"/>
  <c r="AV6" i="1"/>
  <c r="AM7" i="1"/>
  <c r="AN7" i="1"/>
  <c r="AO7" i="1"/>
  <c r="AP7" i="1"/>
  <c r="AQ7" i="1"/>
  <c r="AR7" i="1"/>
  <c r="AS7" i="1"/>
  <c r="AT7" i="1"/>
  <c r="AU7" i="1"/>
  <c r="AV7" i="1"/>
  <c r="AM8" i="1"/>
  <c r="AN8" i="1"/>
  <c r="AO8" i="1"/>
  <c r="AP8" i="1"/>
  <c r="AQ8" i="1"/>
  <c r="AR8" i="1"/>
  <c r="AS8" i="1"/>
  <c r="AT8" i="1"/>
  <c r="AU8" i="1"/>
  <c r="AV8" i="1"/>
  <c r="AM9" i="1"/>
  <c r="AN9" i="1"/>
  <c r="AO9" i="1"/>
  <c r="AP9" i="1"/>
  <c r="AQ9" i="1"/>
  <c r="AR9" i="1"/>
  <c r="AS9" i="1"/>
  <c r="AT9" i="1"/>
  <c r="AU9" i="1"/>
  <c r="AV9" i="1"/>
  <c r="AM10" i="1"/>
  <c r="AN10" i="1"/>
  <c r="AO10" i="1"/>
  <c r="AP10" i="1"/>
  <c r="AQ10" i="1"/>
  <c r="AR10" i="1"/>
  <c r="AS10" i="1"/>
  <c r="AT10" i="1"/>
  <c r="AU10" i="1"/>
  <c r="AV10" i="1"/>
  <c r="AM11" i="1"/>
  <c r="AN11" i="1"/>
  <c r="AO11" i="1"/>
  <c r="AP11" i="1"/>
  <c r="AQ11" i="1"/>
  <c r="AR11" i="1"/>
  <c r="AS11" i="1"/>
  <c r="AT11" i="1"/>
  <c r="AU11" i="1"/>
  <c r="AV11" i="1"/>
  <c r="AM12" i="1"/>
  <c r="AN12" i="1"/>
  <c r="AO12" i="1"/>
  <c r="AP12" i="1"/>
  <c r="AQ12" i="1"/>
  <c r="AR12" i="1"/>
  <c r="AS12" i="1"/>
  <c r="AT12" i="1"/>
  <c r="AU12" i="1"/>
  <c r="AV12" i="1"/>
  <c r="AM13" i="1"/>
  <c r="AN13" i="1"/>
  <c r="AO13" i="1"/>
  <c r="AP13" i="1"/>
  <c r="AQ13" i="1"/>
  <c r="AR13" i="1"/>
  <c r="AS13" i="1"/>
  <c r="AT13" i="1"/>
  <c r="AU13" i="1"/>
  <c r="AV13" i="1"/>
  <c r="AM14" i="1"/>
  <c r="AN14" i="1"/>
  <c r="AO14" i="1"/>
  <c r="AP14" i="1"/>
  <c r="AQ14" i="1"/>
  <c r="AR14" i="1"/>
  <c r="AS14" i="1"/>
  <c r="AT14" i="1"/>
  <c r="AU14" i="1"/>
  <c r="AV14" i="1"/>
  <c r="AM15" i="1"/>
  <c r="AN15" i="1"/>
  <c r="AO15" i="1"/>
  <c r="AP15" i="1"/>
  <c r="AQ15" i="1"/>
  <c r="AR15" i="1"/>
  <c r="AS15" i="1"/>
  <c r="AT15" i="1"/>
  <c r="AU15" i="1"/>
  <c r="AV15" i="1"/>
  <c r="AM16" i="1"/>
  <c r="AN16" i="1"/>
  <c r="AO16" i="1"/>
  <c r="AP16" i="1"/>
  <c r="AQ16" i="1"/>
  <c r="AR16" i="1"/>
  <c r="AS16" i="1"/>
  <c r="AT16" i="1"/>
  <c r="AU16" i="1"/>
  <c r="AV16" i="1"/>
  <c r="AM17" i="1"/>
  <c r="AN17" i="1"/>
  <c r="AO17" i="1"/>
  <c r="AP17" i="1"/>
  <c r="AQ17" i="1"/>
  <c r="AR17" i="1"/>
  <c r="AS17" i="1"/>
  <c r="AT17" i="1"/>
  <c r="AU17" i="1"/>
  <c r="AV17" i="1"/>
  <c r="AM18" i="1"/>
  <c r="AN18" i="1"/>
  <c r="AO18" i="1"/>
  <c r="AP18" i="1"/>
  <c r="AQ18" i="1"/>
  <c r="AR18" i="1"/>
  <c r="AS18" i="1"/>
  <c r="AT18" i="1"/>
  <c r="AU18" i="1"/>
  <c r="AV18" i="1"/>
  <c r="AM19" i="1"/>
  <c r="AN19" i="1"/>
  <c r="AO19" i="1"/>
  <c r="AP19" i="1"/>
  <c r="AQ19" i="1"/>
  <c r="AR19" i="1"/>
  <c r="AS19" i="1"/>
  <c r="AT19" i="1"/>
  <c r="AU19" i="1"/>
  <c r="AV19" i="1"/>
  <c r="AM20" i="1"/>
  <c r="AN20" i="1"/>
  <c r="AO20" i="1"/>
  <c r="AP20" i="1"/>
  <c r="AQ20" i="1"/>
  <c r="AR20" i="1"/>
  <c r="AS20" i="1"/>
  <c r="AT20" i="1"/>
  <c r="AU20" i="1"/>
  <c r="AV20" i="1"/>
  <c r="AM21" i="1"/>
  <c r="AN21" i="1"/>
  <c r="AO21" i="1"/>
  <c r="AP21" i="1"/>
  <c r="AQ21" i="1"/>
  <c r="AR21" i="1"/>
  <c r="AS21" i="1"/>
  <c r="AT21" i="1"/>
  <c r="AU21" i="1"/>
  <c r="AV21" i="1"/>
  <c r="AM22" i="1"/>
  <c r="AN22" i="1"/>
  <c r="AO22" i="1"/>
  <c r="AP22" i="1"/>
  <c r="AQ22" i="1"/>
  <c r="AR22" i="1"/>
  <c r="AS22" i="1"/>
  <c r="AT22" i="1"/>
  <c r="AU22" i="1"/>
  <c r="AV22" i="1"/>
  <c r="AM23" i="1"/>
  <c r="AN23" i="1"/>
  <c r="AO23" i="1"/>
  <c r="AP23" i="1"/>
  <c r="AQ23" i="1"/>
  <c r="AR23" i="1"/>
  <c r="AS23" i="1"/>
  <c r="AT23" i="1"/>
  <c r="AU23" i="1"/>
  <c r="AV23" i="1"/>
  <c r="AM24" i="1"/>
  <c r="AN24" i="1"/>
  <c r="AO24" i="1"/>
  <c r="AP24" i="1"/>
  <c r="AQ24" i="1"/>
  <c r="AR24" i="1"/>
  <c r="AS24" i="1"/>
  <c r="AT24" i="1"/>
  <c r="AU24" i="1"/>
  <c r="AV24" i="1"/>
  <c r="AM25" i="1"/>
  <c r="AN25" i="1"/>
  <c r="AO25" i="1"/>
  <c r="AP25" i="1"/>
  <c r="AQ25" i="1"/>
  <c r="AR25" i="1"/>
  <c r="AS25" i="1"/>
  <c r="AT25" i="1"/>
  <c r="AU25" i="1"/>
  <c r="AV25" i="1"/>
  <c r="AM26" i="1"/>
  <c r="AN26" i="1"/>
  <c r="AO26" i="1"/>
  <c r="AP26" i="1"/>
  <c r="AQ26" i="1"/>
  <c r="AR26" i="1"/>
  <c r="AS26" i="1"/>
  <c r="AT26" i="1"/>
  <c r="AU26" i="1"/>
  <c r="AV26" i="1"/>
  <c r="AM27" i="1"/>
  <c r="AN27" i="1"/>
  <c r="AO27" i="1"/>
  <c r="AP27" i="1"/>
  <c r="AQ27" i="1"/>
  <c r="AR27" i="1"/>
  <c r="AS27" i="1"/>
  <c r="AT27" i="1"/>
  <c r="AU27" i="1"/>
  <c r="AV27" i="1"/>
  <c r="AM28" i="1"/>
  <c r="AN28" i="1"/>
  <c r="AO28" i="1"/>
  <c r="AP28" i="1"/>
  <c r="AQ28" i="1"/>
  <c r="AR28" i="1"/>
  <c r="AS28" i="1"/>
  <c r="AT28" i="1"/>
  <c r="AU28" i="1"/>
  <c r="AV28" i="1"/>
  <c r="AM29" i="1"/>
  <c r="AN29" i="1"/>
  <c r="AO29" i="1"/>
  <c r="AP29" i="1"/>
  <c r="AQ29" i="1"/>
  <c r="AR29" i="1"/>
  <c r="AS29" i="1"/>
  <c r="AT29" i="1"/>
  <c r="AU29" i="1"/>
  <c r="AV29" i="1"/>
  <c r="AM30" i="1"/>
  <c r="AN30" i="1"/>
  <c r="AO30" i="1"/>
  <c r="AP30" i="1"/>
  <c r="AQ30" i="1"/>
  <c r="AR30" i="1"/>
  <c r="AS30" i="1"/>
  <c r="AT30" i="1"/>
  <c r="AU30" i="1"/>
  <c r="AV30" i="1"/>
  <c r="AM31" i="1"/>
  <c r="AN31" i="1"/>
  <c r="AO31" i="1"/>
  <c r="AP31" i="1"/>
  <c r="AQ31" i="1"/>
  <c r="AR31" i="1"/>
  <c r="AS31" i="1"/>
  <c r="AT31" i="1"/>
  <c r="AU31" i="1"/>
  <c r="AV31" i="1"/>
  <c r="AM32" i="1"/>
  <c r="AN32" i="1"/>
  <c r="AO32" i="1"/>
  <c r="AP32" i="1"/>
  <c r="AQ32" i="1"/>
  <c r="AR32" i="1"/>
  <c r="AS32" i="1"/>
  <c r="AT32" i="1"/>
  <c r="AU32" i="1"/>
  <c r="AV32" i="1"/>
  <c r="AM33" i="1"/>
  <c r="AN33" i="1"/>
  <c r="AO33" i="1"/>
  <c r="AP33" i="1"/>
  <c r="AQ33" i="1"/>
  <c r="AR33" i="1"/>
  <c r="AS33" i="1"/>
  <c r="AT33" i="1"/>
  <c r="AU33" i="1"/>
  <c r="AV33" i="1"/>
  <c r="AM34" i="1"/>
  <c r="AN34" i="1"/>
  <c r="AO34" i="1"/>
  <c r="AP34" i="1"/>
  <c r="AQ34" i="1"/>
  <c r="AR34" i="1"/>
  <c r="AS34" i="1"/>
  <c r="AT34" i="1"/>
  <c r="AU34" i="1"/>
  <c r="AV34" i="1"/>
  <c r="AM35" i="1"/>
  <c r="AN35" i="1"/>
  <c r="AO35" i="1"/>
  <c r="AP35" i="1"/>
  <c r="AQ35" i="1"/>
  <c r="AR35" i="1"/>
  <c r="AS35" i="1"/>
  <c r="AT35" i="1"/>
  <c r="AU35" i="1"/>
  <c r="AV35" i="1"/>
  <c r="AM36" i="1"/>
  <c r="AN36" i="1"/>
  <c r="AO36" i="1"/>
  <c r="AP36" i="1"/>
  <c r="AQ36" i="1"/>
  <c r="AR36" i="1"/>
  <c r="AS36" i="1"/>
  <c r="AT36" i="1"/>
  <c r="AU36" i="1"/>
  <c r="AV36" i="1"/>
  <c r="AM37" i="1"/>
  <c r="AN37" i="1"/>
  <c r="AO37" i="1"/>
  <c r="AP37" i="1"/>
  <c r="AQ37" i="1"/>
  <c r="AR37" i="1"/>
  <c r="AS37" i="1"/>
  <c r="AT37" i="1"/>
  <c r="AU37" i="1"/>
  <c r="AV37" i="1"/>
  <c r="AM38" i="1"/>
  <c r="AN38" i="1"/>
  <c r="AO38" i="1"/>
  <c r="AP38" i="1"/>
  <c r="AQ38" i="1"/>
  <c r="AR38" i="1"/>
  <c r="AS38" i="1"/>
  <c r="AT38" i="1"/>
  <c r="AU38" i="1"/>
  <c r="AV38" i="1"/>
  <c r="AM39" i="1"/>
  <c r="AN39" i="1"/>
  <c r="AO39" i="1"/>
  <c r="AP39" i="1"/>
  <c r="AQ39" i="1"/>
  <c r="AR39" i="1"/>
  <c r="AS39" i="1"/>
  <c r="AT39" i="1"/>
  <c r="AU39" i="1"/>
  <c r="AV39" i="1"/>
  <c r="AM40" i="1"/>
  <c r="AN40" i="1"/>
  <c r="AO40" i="1"/>
  <c r="AP40" i="1"/>
  <c r="AQ40" i="1"/>
  <c r="AR40" i="1"/>
  <c r="AS40" i="1"/>
  <c r="AT40" i="1"/>
  <c r="AU40" i="1"/>
  <c r="AV40" i="1"/>
  <c r="AM41" i="1"/>
  <c r="AN41" i="1"/>
  <c r="AO41" i="1"/>
  <c r="AP41" i="1"/>
  <c r="AQ41" i="1"/>
  <c r="AR41" i="1"/>
  <c r="AS41" i="1"/>
  <c r="AT41" i="1"/>
  <c r="AU41" i="1"/>
  <c r="AV41" i="1"/>
  <c r="AM42" i="1"/>
  <c r="AN42" i="1"/>
  <c r="AO42" i="1"/>
  <c r="AP42" i="1"/>
  <c r="AQ42" i="1"/>
  <c r="AR42" i="1"/>
  <c r="AS42" i="1"/>
  <c r="AT42" i="1"/>
  <c r="AU42" i="1"/>
  <c r="AV42" i="1"/>
  <c r="AM43" i="1"/>
  <c r="AN43" i="1"/>
  <c r="AO43" i="1"/>
  <c r="AP43" i="1"/>
  <c r="AQ43" i="1"/>
  <c r="AR43" i="1"/>
  <c r="AS43" i="1"/>
  <c r="AT43" i="1"/>
  <c r="AU43" i="1"/>
  <c r="AV43" i="1"/>
  <c r="AM44" i="1"/>
  <c r="AN44" i="1"/>
  <c r="AO44" i="1"/>
  <c r="AP44" i="1"/>
  <c r="AQ44" i="1"/>
  <c r="AR44" i="1"/>
  <c r="AS44" i="1"/>
  <c r="AT44" i="1"/>
  <c r="AU44" i="1"/>
  <c r="AV44" i="1"/>
  <c r="AM45" i="1"/>
  <c r="AN45" i="1"/>
  <c r="AO45" i="1"/>
  <c r="AP45" i="1"/>
  <c r="AQ45" i="1"/>
  <c r="AR45" i="1"/>
  <c r="AS45" i="1"/>
  <c r="AT45" i="1"/>
  <c r="AU45" i="1"/>
  <c r="AV45" i="1"/>
  <c r="AV2" i="1"/>
  <c r="AU2" i="1"/>
  <c r="AT2" i="1"/>
  <c r="AS2" i="1"/>
  <c r="AR2" i="1"/>
  <c r="AQ2" i="1"/>
  <c r="AP2" i="1"/>
  <c r="AO2" i="1"/>
  <c r="AN2" i="1"/>
  <c r="AM2" i="1"/>
  <c r="Z3" i="1"/>
  <c r="AB3" i="1"/>
  <c r="AC3" i="1"/>
  <c r="AD3" i="1"/>
  <c r="AE3" i="1"/>
  <c r="AF3" i="1"/>
  <c r="Z4" i="1"/>
  <c r="AB4" i="1"/>
  <c r="AC4" i="1"/>
  <c r="AD4" i="1"/>
  <c r="AE4" i="1"/>
  <c r="AF4" i="1"/>
  <c r="Z5" i="1"/>
  <c r="AB5" i="1"/>
  <c r="AC5" i="1"/>
  <c r="AD5" i="1"/>
  <c r="AE5" i="1"/>
  <c r="AF5" i="1"/>
  <c r="Z6" i="1"/>
  <c r="AB6" i="1"/>
  <c r="AC6" i="1"/>
  <c r="AD6" i="1"/>
  <c r="AE6" i="1"/>
  <c r="AF6" i="1"/>
  <c r="Z7" i="1"/>
  <c r="AB7" i="1"/>
  <c r="AC7" i="1"/>
  <c r="AD7" i="1"/>
  <c r="AE7" i="1"/>
  <c r="AF7" i="1"/>
  <c r="Z8" i="1"/>
  <c r="AB8" i="1"/>
  <c r="AC8" i="1"/>
  <c r="AD8" i="1"/>
  <c r="AE8" i="1"/>
  <c r="AF8" i="1"/>
  <c r="Z9" i="1"/>
  <c r="AB9" i="1"/>
  <c r="AC9" i="1"/>
  <c r="AD9" i="1"/>
  <c r="AE9" i="1"/>
  <c r="AF9" i="1"/>
  <c r="Z10" i="1"/>
  <c r="AB10" i="1"/>
  <c r="AC10" i="1"/>
  <c r="AD10" i="1"/>
  <c r="AE10" i="1"/>
  <c r="AF10" i="1"/>
  <c r="Z11" i="1"/>
  <c r="AB11" i="1"/>
  <c r="AC11" i="1"/>
  <c r="AD11" i="1"/>
  <c r="AE11" i="1"/>
  <c r="AF11" i="1"/>
  <c r="Z12" i="1"/>
  <c r="AB12" i="1"/>
  <c r="AC12" i="1"/>
  <c r="AD12" i="1"/>
  <c r="AE12" i="1"/>
  <c r="AF12" i="1"/>
  <c r="Z13" i="1"/>
  <c r="AB13" i="1"/>
  <c r="AC13" i="1"/>
  <c r="AD13" i="1"/>
  <c r="AE13" i="1"/>
  <c r="AF13" i="1"/>
  <c r="Z14" i="1"/>
  <c r="AB14" i="1"/>
  <c r="AC14" i="1"/>
  <c r="AD14" i="1"/>
  <c r="AE14" i="1"/>
  <c r="AF14" i="1"/>
  <c r="Z15" i="1"/>
  <c r="AB15" i="1"/>
  <c r="AC15" i="1"/>
  <c r="AD15" i="1"/>
  <c r="AE15" i="1"/>
  <c r="AF15" i="1"/>
  <c r="Z16" i="1"/>
  <c r="AB16" i="1"/>
  <c r="AC16" i="1"/>
  <c r="AD16" i="1"/>
  <c r="AE16" i="1"/>
  <c r="AF16" i="1"/>
  <c r="Z17" i="1"/>
  <c r="AB17" i="1"/>
  <c r="AC17" i="1"/>
  <c r="AD17" i="1"/>
  <c r="AE17" i="1"/>
  <c r="AF17" i="1"/>
  <c r="Z18" i="1"/>
  <c r="AB18" i="1"/>
  <c r="AC18" i="1"/>
  <c r="AD18" i="1"/>
  <c r="AE18" i="1"/>
  <c r="AF18" i="1"/>
  <c r="Z19" i="1"/>
  <c r="AB19" i="1"/>
  <c r="AC19" i="1"/>
  <c r="AD19" i="1"/>
  <c r="AE19" i="1"/>
  <c r="AF19" i="1"/>
  <c r="Z20" i="1"/>
  <c r="AB20" i="1"/>
  <c r="AC20" i="1"/>
  <c r="AD20" i="1"/>
  <c r="AE20" i="1"/>
  <c r="AF20" i="1"/>
  <c r="Z21" i="1"/>
  <c r="AB21" i="1"/>
  <c r="AC21" i="1"/>
  <c r="AD21" i="1"/>
  <c r="AE21" i="1"/>
  <c r="AF21" i="1"/>
  <c r="Z22" i="1"/>
  <c r="AB22" i="1"/>
  <c r="AC22" i="1"/>
  <c r="AD22" i="1"/>
  <c r="AE22" i="1"/>
  <c r="AF22" i="1"/>
  <c r="Z23" i="1"/>
  <c r="AB23" i="1"/>
  <c r="AC23" i="1"/>
  <c r="AD23" i="1"/>
  <c r="AE23" i="1"/>
  <c r="AF23" i="1"/>
  <c r="Z24" i="1"/>
  <c r="AB24" i="1"/>
  <c r="AC24" i="1"/>
  <c r="AD24" i="1"/>
  <c r="AE24" i="1"/>
  <c r="AF24" i="1"/>
  <c r="Z25" i="1"/>
  <c r="AB25" i="1"/>
  <c r="AC25" i="1"/>
  <c r="AD25" i="1"/>
  <c r="AE25" i="1"/>
  <c r="AF25" i="1"/>
  <c r="Z26" i="1"/>
  <c r="AB26" i="1"/>
  <c r="AC26" i="1"/>
  <c r="AD26" i="1"/>
  <c r="AE26" i="1"/>
  <c r="AF26" i="1"/>
  <c r="Z27" i="1"/>
  <c r="AB27" i="1"/>
  <c r="AC27" i="1"/>
  <c r="AD27" i="1"/>
  <c r="AE27" i="1"/>
  <c r="AF27" i="1"/>
  <c r="Z28" i="1"/>
  <c r="AB28" i="1"/>
  <c r="AC28" i="1"/>
  <c r="AD28" i="1"/>
  <c r="AE28" i="1"/>
  <c r="AF28" i="1"/>
  <c r="Z29" i="1"/>
  <c r="AB29" i="1"/>
  <c r="AC29" i="1"/>
  <c r="AD29" i="1"/>
  <c r="AE29" i="1"/>
  <c r="AF29" i="1"/>
  <c r="Z30" i="1"/>
  <c r="AB30" i="1"/>
  <c r="AC30" i="1"/>
  <c r="AD30" i="1"/>
  <c r="AE30" i="1"/>
  <c r="AF30" i="1"/>
  <c r="Z31" i="1"/>
  <c r="AB31" i="1"/>
  <c r="AC31" i="1"/>
  <c r="AD31" i="1"/>
  <c r="AE31" i="1"/>
  <c r="AF31" i="1"/>
  <c r="Z32" i="1"/>
  <c r="AB32" i="1"/>
  <c r="AC32" i="1"/>
  <c r="AD32" i="1"/>
  <c r="AE32" i="1"/>
  <c r="AF32" i="1"/>
  <c r="Z33" i="1"/>
  <c r="AB33" i="1"/>
  <c r="AC33" i="1"/>
  <c r="AD33" i="1"/>
  <c r="AE33" i="1"/>
  <c r="AF33" i="1"/>
  <c r="Z34" i="1"/>
  <c r="AB34" i="1"/>
  <c r="AC34" i="1"/>
  <c r="AD34" i="1"/>
  <c r="AE34" i="1"/>
  <c r="AF34" i="1"/>
  <c r="Z35" i="1"/>
  <c r="AB35" i="1"/>
  <c r="AC35" i="1"/>
  <c r="AD35" i="1"/>
  <c r="AE35" i="1"/>
  <c r="AF35" i="1"/>
  <c r="Z36" i="1"/>
  <c r="AB36" i="1"/>
  <c r="AC36" i="1"/>
  <c r="AD36" i="1"/>
  <c r="AE36" i="1"/>
  <c r="AF36" i="1"/>
  <c r="Z37" i="1"/>
  <c r="AB37" i="1"/>
  <c r="AC37" i="1"/>
  <c r="AD37" i="1"/>
  <c r="AE37" i="1"/>
  <c r="AF37" i="1"/>
  <c r="Z38" i="1"/>
  <c r="AB38" i="1"/>
  <c r="AC38" i="1"/>
  <c r="AD38" i="1"/>
  <c r="AE38" i="1"/>
  <c r="AF38" i="1"/>
  <c r="Z39" i="1"/>
  <c r="AB39" i="1"/>
  <c r="AC39" i="1"/>
  <c r="AD39" i="1"/>
  <c r="AE39" i="1"/>
  <c r="AF39" i="1"/>
  <c r="Z40" i="1"/>
  <c r="AB40" i="1"/>
  <c r="AC40" i="1"/>
  <c r="AD40" i="1"/>
  <c r="AE40" i="1"/>
  <c r="AF40" i="1"/>
  <c r="Z41" i="1"/>
  <c r="AB41" i="1"/>
  <c r="AC41" i="1"/>
  <c r="AD41" i="1"/>
  <c r="AE41" i="1"/>
  <c r="AF41" i="1"/>
  <c r="Z42" i="1"/>
  <c r="AB42" i="1"/>
  <c r="AC42" i="1"/>
  <c r="AD42" i="1"/>
  <c r="AE42" i="1"/>
  <c r="AF42" i="1"/>
  <c r="Z43" i="1"/>
  <c r="AB43" i="1"/>
  <c r="AC43" i="1"/>
  <c r="AD43" i="1"/>
  <c r="AE43" i="1"/>
  <c r="AF43" i="1"/>
  <c r="Z44" i="1"/>
  <c r="AB44" i="1"/>
  <c r="AC44" i="1"/>
  <c r="AD44" i="1"/>
  <c r="AE44" i="1"/>
  <c r="AF44" i="1"/>
  <c r="Z45" i="1"/>
  <c r="AB45" i="1"/>
  <c r="AC45" i="1"/>
  <c r="AD45" i="1"/>
  <c r="AE45" i="1"/>
  <c r="AF45" i="1"/>
  <c r="AF2" i="1"/>
  <c r="AE2" i="1"/>
  <c r="AD2" i="1"/>
  <c r="AC2" i="1"/>
  <c r="AB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2" i="1"/>
  <c r="U2" i="1" s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2" i="1"/>
  <c r="R3" i="1"/>
  <c r="X3" i="1" s="1"/>
  <c r="R4" i="1"/>
  <c r="X4" i="1" s="1"/>
  <c r="R5" i="1"/>
  <c r="X5" i="1" s="1"/>
  <c r="R6" i="1"/>
  <c r="X6" i="1" s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6" i="1"/>
  <c r="X26" i="1" s="1"/>
  <c r="R27" i="1"/>
  <c r="X27" i="1" s="1"/>
  <c r="R28" i="1"/>
  <c r="X28" i="1" s="1"/>
  <c r="R29" i="1"/>
  <c r="X29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2" i="1"/>
  <c r="Y2" i="1" s="1"/>
  <c r="Y41" i="1" l="1"/>
  <c r="AG41" i="1" s="1"/>
  <c r="AH41" i="1" s="1"/>
  <c r="Y38" i="1"/>
  <c r="AG38" i="1" s="1"/>
  <c r="AH38" i="1" s="1"/>
  <c r="Y25" i="1"/>
  <c r="AG25" i="1" s="1"/>
  <c r="AH25" i="1" s="1"/>
  <c r="Y21" i="1"/>
  <c r="AG21" i="1" s="1"/>
  <c r="AH21" i="1" s="1"/>
  <c r="Y17" i="1"/>
  <c r="AG17" i="1" s="1"/>
  <c r="AH17" i="1" s="1"/>
  <c r="X2" i="1"/>
  <c r="AG2" i="1" s="1"/>
  <c r="AH2" i="1" s="1"/>
  <c r="Y45" i="1"/>
  <c r="AG45" i="1" s="1"/>
  <c r="AH45" i="1" s="1"/>
  <c r="Y22" i="1"/>
  <c r="AG22" i="1" s="1"/>
  <c r="AH22" i="1" s="1"/>
  <c r="Y37" i="1"/>
  <c r="AG37" i="1" s="1"/>
  <c r="AH37" i="1" s="1"/>
  <c r="Y14" i="1"/>
  <c r="AG14" i="1" s="1"/>
  <c r="AH14" i="1" s="1"/>
  <c r="Y33" i="1"/>
  <c r="AG33" i="1" s="1"/>
  <c r="AH33" i="1" s="1"/>
  <c r="Y13" i="1"/>
  <c r="AG13" i="1" s="1"/>
  <c r="AH13" i="1" s="1"/>
  <c r="Y30" i="1"/>
  <c r="AG30" i="1" s="1"/>
  <c r="AH30" i="1" s="1"/>
  <c r="Y9" i="1"/>
  <c r="AG9" i="1" s="1"/>
  <c r="AH9" i="1" s="1"/>
  <c r="Y29" i="1"/>
  <c r="AG29" i="1" s="1"/>
  <c r="AH29" i="1" s="1"/>
  <c r="Y6" i="1"/>
  <c r="AG6" i="1" s="1"/>
  <c r="AH6" i="1" s="1"/>
  <c r="Y42" i="1"/>
  <c r="AG42" i="1" s="1"/>
  <c r="AH42" i="1" s="1"/>
  <c r="Y34" i="1"/>
  <c r="AG34" i="1" s="1"/>
  <c r="AH34" i="1" s="1"/>
  <c r="Y26" i="1"/>
  <c r="AG26" i="1" s="1"/>
  <c r="AH26" i="1" s="1"/>
  <c r="Y18" i="1"/>
  <c r="AG18" i="1" s="1"/>
  <c r="AH18" i="1" s="1"/>
  <c r="Y10" i="1"/>
  <c r="AG10" i="1" s="1"/>
  <c r="AH10" i="1" s="1"/>
  <c r="Y5" i="1"/>
  <c r="AG5" i="1" s="1"/>
  <c r="AH5" i="1" s="1"/>
  <c r="Y44" i="1"/>
  <c r="AG44" i="1" s="1"/>
  <c r="AH44" i="1" s="1"/>
  <c r="Y40" i="1"/>
  <c r="AG40" i="1" s="1"/>
  <c r="AH40" i="1" s="1"/>
  <c r="Y36" i="1"/>
  <c r="AG36" i="1" s="1"/>
  <c r="AH36" i="1" s="1"/>
  <c r="Y32" i="1"/>
  <c r="AG32" i="1" s="1"/>
  <c r="AH32" i="1" s="1"/>
  <c r="Y28" i="1"/>
  <c r="AG28" i="1" s="1"/>
  <c r="AH28" i="1" s="1"/>
  <c r="Y24" i="1"/>
  <c r="AG24" i="1" s="1"/>
  <c r="AH24" i="1" s="1"/>
  <c r="Y20" i="1"/>
  <c r="AG20" i="1" s="1"/>
  <c r="AH20" i="1" s="1"/>
  <c r="Y16" i="1"/>
  <c r="AG16" i="1" s="1"/>
  <c r="AH16" i="1" s="1"/>
  <c r="Y12" i="1"/>
  <c r="AG12" i="1" s="1"/>
  <c r="AH12" i="1" s="1"/>
  <c r="Y8" i="1"/>
  <c r="AG8" i="1" s="1"/>
  <c r="AH8" i="1" s="1"/>
  <c r="Y4" i="1"/>
  <c r="AG4" i="1" s="1"/>
  <c r="AH4" i="1" s="1"/>
  <c r="Y43" i="1"/>
  <c r="AG43" i="1" s="1"/>
  <c r="AH43" i="1" s="1"/>
  <c r="Y39" i="1"/>
  <c r="AG39" i="1" s="1"/>
  <c r="AH39" i="1" s="1"/>
  <c r="Y35" i="1"/>
  <c r="AG35" i="1" s="1"/>
  <c r="AH35" i="1" s="1"/>
  <c r="Y31" i="1"/>
  <c r="AG31" i="1" s="1"/>
  <c r="AH31" i="1" s="1"/>
  <c r="Y27" i="1"/>
  <c r="AG27" i="1" s="1"/>
  <c r="AH27" i="1" s="1"/>
  <c r="Y23" i="1"/>
  <c r="AG23" i="1" s="1"/>
  <c r="AH23" i="1" s="1"/>
  <c r="Y19" i="1"/>
  <c r="AG19" i="1" s="1"/>
  <c r="AH19" i="1" s="1"/>
  <c r="Y15" i="1"/>
  <c r="AG15" i="1" s="1"/>
  <c r="AH15" i="1" s="1"/>
  <c r="Y11" i="1"/>
  <c r="AG11" i="1" s="1"/>
  <c r="AH11" i="1" s="1"/>
  <c r="Y7" i="1"/>
  <c r="AG7" i="1" s="1"/>
  <c r="AH7" i="1" s="1"/>
  <c r="Y3" i="1"/>
  <c r="AG3" i="1" s="1"/>
  <c r="AH3" i="1" s="1"/>
  <c r="AL29" i="1" l="1"/>
  <c r="AK29" i="1"/>
  <c r="AW29" i="1" s="1"/>
  <c r="AX29" i="1" s="1"/>
  <c r="AL9" i="1"/>
  <c r="AK9" i="1"/>
  <c r="AW9" i="1" s="1"/>
  <c r="AX9" i="1" s="1"/>
  <c r="AK20" i="1"/>
  <c r="AL20" i="1"/>
  <c r="AK30" i="1"/>
  <c r="AL30" i="1"/>
  <c r="AK16" i="1"/>
  <c r="AL16" i="1"/>
  <c r="AL13" i="1"/>
  <c r="AK13" i="1"/>
  <c r="AW13" i="1" s="1"/>
  <c r="AX13" i="1" s="1"/>
  <c r="AL28" i="1"/>
  <c r="AK28" i="1"/>
  <c r="AW28" i="1" s="1"/>
  <c r="AX28" i="1" s="1"/>
  <c r="AK33" i="1"/>
  <c r="AL33" i="1"/>
  <c r="AK32" i="1"/>
  <c r="AL32" i="1"/>
  <c r="AK14" i="1"/>
  <c r="AL14" i="1"/>
  <c r="AL12" i="1"/>
  <c r="AK12" i="1"/>
  <c r="AK36" i="1"/>
  <c r="AL36" i="1"/>
  <c r="AL37" i="1"/>
  <c r="AK37" i="1"/>
  <c r="AK19" i="1"/>
  <c r="AL19" i="1"/>
  <c r="AL40" i="1"/>
  <c r="AK40" i="1"/>
  <c r="AW40" i="1" s="1"/>
  <c r="AX40" i="1" s="1"/>
  <c r="AL22" i="1"/>
  <c r="AK22" i="1"/>
  <c r="AL24" i="1"/>
  <c r="AK24" i="1"/>
  <c r="AW24" i="1" s="1"/>
  <c r="AX24" i="1" s="1"/>
  <c r="AL44" i="1"/>
  <c r="AK44" i="1"/>
  <c r="AL45" i="1"/>
  <c r="AK45" i="1"/>
  <c r="AW45" i="1" s="1"/>
  <c r="AX45" i="1" s="1"/>
  <c r="AL23" i="1"/>
  <c r="AK23" i="1"/>
  <c r="AL27" i="1"/>
  <c r="AK27" i="1"/>
  <c r="AK5" i="1"/>
  <c r="AL5" i="1"/>
  <c r="AL6" i="1"/>
  <c r="AK6" i="1"/>
  <c r="AW6" i="1" s="1"/>
  <c r="AX6" i="1" s="1"/>
  <c r="AK31" i="1"/>
  <c r="AL31" i="1"/>
  <c r="AL10" i="1"/>
  <c r="AK10" i="1"/>
  <c r="AK17" i="1"/>
  <c r="AL17" i="1"/>
  <c r="AL8" i="1"/>
  <c r="AK8" i="1"/>
  <c r="AK15" i="1"/>
  <c r="AL15" i="1"/>
  <c r="AK35" i="1"/>
  <c r="AL35" i="1"/>
  <c r="AK18" i="1"/>
  <c r="AL18" i="1"/>
  <c r="AK21" i="1"/>
  <c r="AL21" i="1"/>
  <c r="AK3" i="1"/>
  <c r="AL3" i="1"/>
  <c r="AL39" i="1"/>
  <c r="AK39" i="1"/>
  <c r="AW39" i="1" s="1"/>
  <c r="AX39" i="1" s="1"/>
  <c r="AL26" i="1"/>
  <c r="AK26" i="1"/>
  <c r="AW26" i="1" s="1"/>
  <c r="AX26" i="1" s="1"/>
  <c r="AL25" i="1"/>
  <c r="AK25" i="1"/>
  <c r="AW25" i="1" s="1"/>
  <c r="AX25" i="1" s="1"/>
  <c r="AL11" i="1"/>
  <c r="AK11" i="1"/>
  <c r="AL43" i="1"/>
  <c r="AK43" i="1"/>
  <c r="AK34" i="1"/>
  <c r="AL34" i="1"/>
  <c r="AL38" i="1"/>
  <c r="AK38" i="1"/>
  <c r="AW38" i="1" s="1"/>
  <c r="AX38" i="1" s="1"/>
  <c r="AL7" i="1"/>
  <c r="AK7" i="1"/>
  <c r="AK4" i="1"/>
  <c r="AL4" i="1"/>
  <c r="AL42" i="1"/>
  <c r="AK42" i="1"/>
  <c r="AW42" i="1" s="1"/>
  <c r="AX42" i="1" s="1"/>
  <c r="AL41" i="1"/>
  <c r="AK41" i="1"/>
  <c r="AK2" i="1"/>
  <c r="AL2" i="1"/>
  <c r="AW31" i="1" l="1"/>
  <c r="AX31" i="1" s="1"/>
  <c r="AW34" i="1"/>
  <c r="AX34" i="1" s="1"/>
  <c r="AW33" i="1"/>
  <c r="AX33" i="1" s="1"/>
  <c r="AW18" i="1"/>
  <c r="AX18" i="1" s="1"/>
  <c r="AW36" i="1"/>
  <c r="AX36" i="1" s="1"/>
  <c r="AW22" i="1"/>
  <c r="AX22" i="1" s="1"/>
  <c r="AW16" i="1"/>
  <c r="AX16" i="1" s="1"/>
  <c r="AW11" i="1"/>
  <c r="AX11" i="1" s="1"/>
  <c r="AW37" i="1"/>
  <c r="AX37" i="1" s="1"/>
  <c r="AW15" i="1"/>
  <c r="AX15" i="1" s="1"/>
  <c r="AW10" i="1"/>
  <c r="AX10" i="1" s="1"/>
  <c r="AW43" i="1"/>
  <c r="AX43" i="1" s="1"/>
  <c r="AW3" i="1"/>
  <c r="AX3" i="1" s="1"/>
  <c r="AW27" i="1"/>
  <c r="AX27" i="1" s="1"/>
  <c r="AW17" i="1"/>
  <c r="AX17" i="1" s="1"/>
  <c r="AW14" i="1"/>
  <c r="AX14" i="1" s="1"/>
  <c r="AW21" i="1"/>
  <c r="AX21" i="1" s="1"/>
  <c r="AW23" i="1"/>
  <c r="AX23" i="1" s="1"/>
  <c r="AW30" i="1"/>
  <c r="AX30" i="1" s="1"/>
  <c r="AW4" i="1"/>
  <c r="AX4" i="1" s="1"/>
  <c r="AW32" i="1"/>
  <c r="AX32" i="1" s="1"/>
  <c r="AW19" i="1"/>
  <c r="AX19" i="1" s="1"/>
  <c r="AW7" i="1"/>
  <c r="AX7" i="1" s="1"/>
  <c r="AW20" i="1"/>
  <c r="AX20" i="1" s="1"/>
  <c r="AW35" i="1"/>
  <c r="AX35" i="1" s="1"/>
  <c r="AW44" i="1"/>
  <c r="AX44" i="1" s="1"/>
  <c r="AW41" i="1"/>
  <c r="AX41" i="1" s="1"/>
  <c r="AW8" i="1"/>
  <c r="AX8" i="1" s="1"/>
  <c r="AW5" i="1"/>
  <c r="AX5" i="1" s="1"/>
  <c r="AW12" i="1"/>
  <c r="AX12" i="1" s="1"/>
  <c r="AW2" i="1"/>
  <c r="AX2" i="1" s="1"/>
</calcChain>
</file>

<file path=xl/sharedStrings.xml><?xml version="1.0" encoding="utf-8"?>
<sst xmlns="http://schemas.openxmlformats.org/spreadsheetml/2006/main" count="1058" uniqueCount="358">
  <si>
    <t>soil_type</t>
  </si>
  <si>
    <t>d_pipe</t>
  </si>
  <si>
    <t>t_pipe</t>
  </si>
  <si>
    <t>sigma_y</t>
  </si>
  <si>
    <t>n_param</t>
  </si>
  <si>
    <t>r_param</t>
  </si>
  <si>
    <t>adhesion</t>
  </si>
  <si>
    <t>s_u</t>
  </si>
  <si>
    <t>gamma_t</t>
  </si>
  <si>
    <t>h_cover</t>
  </si>
  <si>
    <t>phi</t>
  </si>
  <si>
    <t>delta</t>
  </si>
  <si>
    <t>pgdef</t>
  </si>
  <si>
    <t>t_u</t>
  </si>
  <si>
    <t>eps_pipe</t>
  </si>
  <si>
    <t>sand</t>
  </si>
  <si>
    <t>clay</t>
  </si>
  <si>
    <t>f_t_u_gt_70</t>
  </si>
  <si>
    <t>beta_cross</t>
  </si>
  <si>
    <t>d_t</t>
  </si>
  <si>
    <t>f_t_u_le_70</t>
  </si>
  <si>
    <t>f_d_t_le_100</t>
  </si>
  <si>
    <t>f_d_t_gt_100</t>
  </si>
  <si>
    <t>f_anc_length_le_50</t>
  </si>
  <si>
    <t>f_anc_length_gt_50</t>
  </si>
  <si>
    <t>a1</t>
  </si>
  <si>
    <t>a2</t>
  </si>
  <si>
    <t>c3</t>
  </si>
  <si>
    <t>c41</t>
  </si>
  <si>
    <t>c42</t>
  </si>
  <si>
    <t>c51</t>
  </si>
  <si>
    <t>c52</t>
  </si>
  <si>
    <t>a0</t>
  </si>
  <si>
    <t>anc_length</t>
  </si>
  <si>
    <t>delta_f_u</t>
  </si>
  <si>
    <t>steel_grade</t>
  </si>
  <si>
    <t>sigma_ult</t>
  </si>
  <si>
    <t>eps_ult</t>
  </si>
  <si>
    <t>b0</t>
  </si>
  <si>
    <t>b1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</si>
  <si>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</si>
  <si>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</si>
  <si>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</si>
  <si>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</si>
  <si>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</si>
  <si>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</si>
  <si>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</si>
  <si>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</si>
  <si>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</si>
  <si>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flag_pgdef_le_delta_f_u</t>
  </si>
  <si>
    <t>flag_pgdef_gt_delta_f_u</t>
  </si>
  <si>
    <t>model_to_use</t>
  </si>
  <si>
    <t>psi_dip</t>
  </si>
  <si>
    <t>β</t>
  </si>
  <si>
    <t>θ</t>
  </si>
  <si>
    <t>&lt;= 90</t>
  </si>
  <si>
    <t>&gt; 90</t>
  </si>
  <si>
    <t>= 0</t>
  </si>
  <si>
    <t>normal</t>
  </si>
  <si>
    <t>= -90</t>
  </si>
  <si>
    <t>= -180</t>
  </si>
  <si>
    <t>case</t>
  </si>
  <si>
    <t>case to run</t>
  </si>
  <si>
    <t>&gt; -180 and &lt; -90</t>
  </si>
  <si>
    <t>&gt; -90 and &lt; 0</t>
  </si>
  <si>
    <t>= 90</t>
  </si>
  <si>
    <t>reverse</t>
  </si>
  <si>
    <t>&gt; 0 and &lt; 90</t>
  </si>
  <si>
    <t>&gt; 90 and &lt; 180</t>
  </si>
  <si>
    <t>n</t>
  </si>
  <si>
    <t>no.</t>
  </si>
  <si>
    <t>all cases</t>
  </si>
  <si>
    <t>fault rupture</t>
  </si>
  <si>
    <t>ψ</t>
  </si>
  <si>
    <t>else</t>
  </si>
  <si>
    <t>&gt;= -10 and &lt;= 10</t>
  </si>
  <si>
    <t>lateral spread</t>
  </si>
  <si>
    <t>settlement</t>
  </si>
  <si>
    <t>Bain et al</t>
  </si>
  <si>
    <t>* Hutabaret et al if not specified</t>
  </si>
  <si>
    <t>= 180</t>
  </si>
  <si>
    <t>check box for models</t>
  </si>
  <si>
    <t>Bain et al.</t>
  </si>
  <si>
    <t>Hutabarat - ss_tens</t>
  </si>
  <si>
    <t>Hutabarat - ss_comp</t>
  </si>
  <si>
    <t>Hutabarat - normal</t>
  </si>
  <si>
    <t>Hutabarat - reverse</t>
  </si>
  <si>
    <t>x</t>
  </si>
  <si>
    <t>ss tens</t>
  </si>
  <si>
    <t>- β &lt;= 90 -&gt; ss comp
- β &gt; 90 -&gt; ss tens</t>
  </si>
  <si>
    <t>- β&lt;=90 -&gt; ss comp
- β&gt;90 -&gt; ss tens</t>
  </si>
  <si>
    <t>ss tens and normal</t>
  </si>
  <si>
    <t>ss comp and normal</t>
  </si>
  <si>
    <t>ss comp</t>
  </si>
  <si>
    <t>ss comp and reverse</t>
  </si>
  <si>
    <t>ss tens and reverse</t>
  </si>
  <si>
    <t>always run normal</t>
  </si>
  <si>
    <r>
      <t xml:space="preserve">if </t>
    </r>
    <r>
      <rPr>
        <sz val="11"/>
        <color theme="1"/>
        <rFont val="Calibri"/>
        <family val="2"/>
      </rPr>
      <t>β &lt;= 90</t>
    </r>
  </si>
  <si>
    <t>always run reverse</t>
  </si>
  <si>
    <t>always run ss comp</t>
  </si>
  <si>
    <t>always run ss tens</t>
  </si>
  <si>
    <t>if -90 &lt;= θ &lt;= 90</t>
  </si>
  <si>
    <t>simplified logic for fault rupture</t>
  </si>
  <si>
    <t>- normal at head scarp
- reverse at toe</t>
  </si>
  <si>
    <t>alpha_backfill</t>
  </si>
  <si>
    <t>s_u_backfill</t>
  </si>
  <si>
    <t>gamma_backfill</t>
  </si>
  <si>
    <t>phi_backfill</t>
  </si>
  <si>
    <t>soil_density</t>
  </si>
  <si>
    <t>Case</t>
  </si>
  <si>
    <t>D</t>
  </si>
  <si>
    <t>t</t>
  </si>
  <si>
    <t>D/t</t>
  </si>
  <si>
    <t>La</t>
  </si>
  <si>
    <t>Material</t>
  </si>
  <si>
    <t>eps_ult (%)</t>
  </si>
  <si>
    <t>Log[eps_ult]</t>
  </si>
  <si>
    <t>Soil Type***</t>
  </si>
  <si>
    <t>Soil Density***</t>
  </si>
  <si>
    <t>H (m)***</t>
  </si>
  <si>
    <t>H/D</t>
  </si>
  <si>
    <t>Log[D/t]</t>
  </si>
  <si>
    <t>a3</t>
  </si>
  <si>
    <t>a4</t>
  </si>
  <si>
    <t>a5</t>
  </si>
  <si>
    <t>a6</t>
  </si>
  <si>
    <t>b2</t>
  </si>
  <si>
    <t>b3</t>
  </si>
  <si>
    <t>b4</t>
  </si>
  <si>
    <t>b5</t>
  </si>
  <si>
    <t>Δf (m)</t>
  </si>
  <si>
    <t>Log[Δf]</t>
  </si>
  <si>
    <t>Log[Δf / Δu]</t>
  </si>
  <si>
    <t>b1 Log[Δf / Δu]</t>
  </si>
  <si>
    <t>b2 Log[D/t]</t>
  </si>
  <si>
    <t>b3 Fsoil Log[tult]</t>
  </si>
  <si>
    <t>b4 Log[qVD]</t>
  </si>
  <si>
    <t>b5 Log[D]</t>
  </si>
  <si>
    <t>εlong (%)</t>
  </si>
  <si>
    <t>X-52</t>
  </si>
  <si>
    <t>X-60</t>
  </si>
  <si>
    <t>X-70</t>
  </si>
  <si>
    <t>X-80</t>
  </si>
  <si>
    <t>Cohesionless (Sand)</t>
  </si>
  <si>
    <t>Medium Dense (Sand)</t>
  </si>
  <si>
    <t>Very Dense (Sand)</t>
  </si>
  <si>
    <t>d_t_ratio</t>
  </si>
  <si>
    <t>l_anchor</t>
  </si>
  <si>
    <t>ln_eps_ult</t>
  </si>
  <si>
    <t>h_d_ratio</t>
  </si>
  <si>
    <t>n_gamma_d</t>
  </si>
  <si>
    <r>
      <rPr>
        <sz val="11"/>
        <color theme="1"/>
        <rFont val="Calibri"/>
        <family val="2"/>
      </rPr>
      <t>γ (kN/m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</si>
  <si>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φ (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)</t>
    </r>
  </si>
  <si>
    <r>
      <t>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(kPa)</t>
    </r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</si>
  <si>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 xml:space="preserve"> (for clay)</t>
    </r>
  </si>
  <si>
    <r>
      <t>t</t>
    </r>
    <r>
      <rPr>
        <vertAlign val="subscript"/>
        <sz val="11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 xml:space="preserve"> (kN/m)</t>
    </r>
  </si>
  <si>
    <r>
      <t>N</t>
    </r>
    <r>
      <rPr>
        <vertAlign val="subscript"/>
        <sz val="11"/>
        <color theme="1"/>
        <rFont val="Calibri"/>
        <family val="2"/>
        <scheme val="minor"/>
      </rPr>
      <t>qVD</t>
    </r>
  </si>
  <si>
    <r>
      <t>N</t>
    </r>
    <r>
      <rPr>
        <vertAlign val="subscript"/>
        <sz val="11"/>
        <color theme="1"/>
        <rFont val="Calibri"/>
        <family val="2"/>
      </rPr>
      <t>γ</t>
    </r>
    <r>
      <rPr>
        <vertAlign val="subscript"/>
        <sz val="11"/>
        <color theme="1"/>
        <rFont val="Calibri"/>
        <family val="2"/>
        <scheme val="minor"/>
      </rPr>
      <t>D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</si>
  <si>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VD </t>
    </r>
    <r>
      <rPr>
        <sz val="11"/>
        <color theme="1"/>
        <rFont val="Calibri"/>
        <family val="2"/>
        <scheme val="minor"/>
      </rPr>
      <t>(kN/m)</t>
    </r>
  </si>
  <si>
    <r>
      <t>Log[q</t>
    </r>
    <r>
      <rPr>
        <vertAlign val="subscript"/>
        <sz val="11"/>
        <color theme="1"/>
        <rFont val="Calibri"/>
        <family val="2"/>
        <scheme val="minor"/>
      </rPr>
      <t xml:space="preserve">VD </t>
    </r>
    <r>
      <rPr>
        <sz val="11"/>
        <color theme="1"/>
        <rFont val="Calibri"/>
        <family val="2"/>
        <scheme val="minor"/>
      </rPr>
      <t>(kN/m)]</t>
    </r>
  </si>
  <si>
    <r>
      <t>Log[t</t>
    </r>
    <r>
      <rPr>
        <vertAlign val="subscript"/>
        <sz val="11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>]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</si>
  <si>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</si>
  <si>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</si>
  <si>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</si>
  <si>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</si>
  <si>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</si>
  <si>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</si>
  <si>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</si>
  <si>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Log[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u]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</si>
  <si>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</si>
  <si>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</si>
  <si>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</si>
  <si>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</si>
  <si>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</si>
  <si>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</si>
  <si>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</si>
  <si>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41</t>
    </r>
  </si>
  <si>
    <r>
      <t>d</t>
    </r>
    <r>
      <rPr>
        <vertAlign val="subscript"/>
        <sz val="11"/>
        <color theme="1"/>
        <rFont val="Calibri"/>
        <family val="2"/>
        <scheme val="minor"/>
      </rPr>
      <t>42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</si>
  <si>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</si>
  <si>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</si>
  <si>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71</t>
    </r>
  </si>
  <si>
    <r>
      <t>d</t>
    </r>
    <r>
      <rPr>
        <vertAlign val="subscript"/>
        <sz val="11"/>
        <color theme="1"/>
        <rFont val="Calibri"/>
        <family val="2"/>
        <scheme val="minor"/>
      </rPr>
      <t>72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</si>
  <si>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</si>
  <si>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7.7"/>
        <color theme="1"/>
        <rFont val="Calibri"/>
        <family val="2"/>
      </rPr>
      <t>f</t>
    </r>
  </si>
  <si>
    <r>
      <t>F</t>
    </r>
    <r>
      <rPr>
        <vertAlign val="subscript"/>
        <sz val="11"/>
        <color theme="1"/>
        <rFont val="Calibri"/>
        <family val="2"/>
      </rPr>
      <t>La</t>
    </r>
  </si>
  <si>
    <r>
      <t>F</t>
    </r>
    <r>
      <rPr>
        <vertAlign val="subscript"/>
        <sz val="11"/>
        <color theme="1"/>
        <rFont val="Calibri"/>
        <family val="2"/>
      </rPr>
      <t>soil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</si>
  <si>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</si>
  <si>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Log[Δf / Δu]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</si>
  <si>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Log[D/t]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</si>
  <si>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Fsoil Log[tult]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</si>
  <si>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Log[qVD]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</si>
  <si>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Log[D]</t>
    </r>
  </si>
  <si>
    <r>
      <t xml:space="preserve">ln 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long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</si>
  <si>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 xml:space="preserve">long </t>
    </r>
    <r>
      <rPr>
        <sz val="11"/>
        <color theme="1"/>
        <rFont val="Calibri"/>
        <family val="2"/>
        <scheme val="minor"/>
      </rPr>
      <t>(%)</t>
    </r>
  </si>
  <si>
    <t>ln_d_t</t>
  </si>
  <si>
    <r>
      <t xml:space="preserve">Coefficient to Calculate </t>
    </r>
    <r>
      <rPr>
        <sz val="11"/>
        <color theme="1"/>
        <rFont val="Calibri"/>
        <family val="2"/>
      </rPr>
      <t>Δu</t>
    </r>
  </si>
  <si>
    <r>
      <t>Coefficient to Calculate Log[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long</t>
    </r>
    <r>
      <rPr>
        <sz val="11"/>
        <color theme="1"/>
        <rFont val="Calibri"/>
        <family val="2"/>
      </rPr>
      <t>]</t>
    </r>
  </si>
  <si>
    <t>σln</t>
  </si>
  <si>
    <r>
      <t>Coefficient to Calculate N</t>
    </r>
    <r>
      <rPr>
        <vertAlign val="subscript"/>
        <sz val="11"/>
        <color theme="1"/>
        <rFont val="Calibri"/>
        <family val="2"/>
        <scheme val="minor"/>
      </rPr>
      <t>qVD</t>
    </r>
  </si>
  <si>
    <t>Medium</t>
  </si>
  <si>
    <t>Dense</t>
  </si>
  <si>
    <t>Very Dense</t>
  </si>
  <si>
    <t>Steel Grade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</si>
  <si>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yield</t>
    </r>
    <r>
      <rPr>
        <sz val="11"/>
        <color theme="1"/>
        <rFont val="Calibri"/>
        <family val="2"/>
        <scheme val="minor"/>
      </rPr>
      <t xml:space="preserve"> (MPa)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</si>
  <si>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ult</t>
    </r>
    <r>
      <rPr>
        <sz val="11"/>
        <color theme="1"/>
        <rFont val="Calibri"/>
        <family val="2"/>
        <scheme val="minor"/>
      </rPr>
      <t xml:space="preserve"> (MPa)</t>
    </r>
  </si>
  <si>
    <t>R-O Parameters</t>
  </si>
  <si>
    <r>
      <t>ε</t>
    </r>
    <r>
      <rPr>
        <vertAlign val="subscript"/>
        <sz val="11"/>
        <color theme="1"/>
        <rFont val="Calibri"/>
        <family val="2"/>
      </rPr>
      <t>ult (%)</t>
    </r>
  </si>
  <si>
    <t>r</t>
  </si>
  <si>
    <t>Grade-B</t>
  </si>
  <si>
    <t>X-42</t>
  </si>
  <si>
    <t>MODEL TO ESTIMATE LONGITUDINAL PIPE TENSILE STRAIN FOR CASE OF STRIKE-SLIP TENSION</t>
  </si>
  <si>
    <t>Spreadsheet Author:</t>
  </si>
  <si>
    <t>Daniel Hutabarat, Jon Bray &amp; Task 4b Members</t>
  </si>
  <si>
    <t>Version:</t>
  </si>
  <si>
    <t>HIGH CONFIDENCE IN VALUE (SUPPORTED BY DATA)</t>
  </si>
  <si>
    <t>CELL REQUIRES USER INPUT</t>
  </si>
  <si>
    <t>Date:</t>
  </si>
  <si>
    <t>MEDIUM CONFIDENCE IN VALUE (EDUCATED GUESS)</t>
  </si>
  <si>
    <t>CELL DOES NOT REQUIRE USER INPUT</t>
  </si>
  <si>
    <t>Level:</t>
  </si>
  <si>
    <t>VERY LOW CONFIDENCE IN VALUE (NOT POSSIBLE TO MAKE EDUCATED GUESS/NO SUPPORTING DATA)</t>
  </si>
  <si>
    <t>PIPELINE SYSTEM VARIABLES</t>
  </si>
  <si>
    <t>Input</t>
  </si>
  <si>
    <t>σ</t>
  </si>
  <si>
    <t>COV (%)</t>
  </si>
  <si>
    <r>
      <t>Limit</t>
    </r>
    <r>
      <rPr>
        <b/>
        <vertAlign val="subscript"/>
        <sz val="11"/>
        <color theme="1"/>
        <rFont val="Calibri"/>
        <family val="2"/>
        <scheme val="minor"/>
      </rPr>
      <t>Low</t>
    </r>
  </si>
  <si>
    <r>
      <t>Limit</t>
    </r>
    <r>
      <rPr>
        <b/>
        <vertAlign val="subscript"/>
        <sz val="11"/>
        <color theme="1"/>
        <rFont val="Calibri"/>
        <family val="2"/>
        <scheme val="minor"/>
      </rPr>
      <t>High</t>
    </r>
  </si>
  <si>
    <t>Distribution (drop-down menu)</t>
  </si>
  <si>
    <t>Notes</t>
  </si>
  <si>
    <t>PIPE OUTSIDE DIAMETER (m)</t>
  </si>
  <si>
    <t>PIPE WALL THICKNESS (m)</t>
  </si>
  <si>
    <t>Diameter-to-thickness Ratio</t>
  </si>
  <si>
    <r>
      <t>L</t>
    </r>
    <r>
      <rPr>
        <i/>
        <vertAlign val="subscript"/>
        <sz val="11"/>
        <color theme="1"/>
        <rFont val="Arial"/>
        <family val="2"/>
      </rPr>
      <t>a</t>
    </r>
  </si>
  <si>
    <t>lognormal</t>
  </si>
  <si>
    <t>Pipeline Anchored Length (m)</t>
  </si>
  <si>
    <t>Material Grade</t>
  </si>
  <si>
    <r>
      <rPr>
        <b/>
        <sz val="11"/>
        <color theme="1"/>
        <rFont val="Calibri"/>
        <family val="2"/>
      </rPr>
      <t>ε</t>
    </r>
    <r>
      <rPr>
        <b/>
        <vertAlign val="subscript"/>
        <sz val="9.35"/>
        <color theme="1"/>
        <rFont val="Calibri"/>
        <family val="2"/>
      </rPr>
      <t>ult</t>
    </r>
    <r>
      <rPr>
        <b/>
        <sz val="9.35"/>
        <color theme="1"/>
        <rFont val="Calibri"/>
        <family val="2"/>
      </rPr>
      <t xml:space="preserve"> (%)</t>
    </r>
  </si>
  <si>
    <t>Strain at material ultimate stress</t>
  </si>
  <si>
    <t>Log[εult]</t>
  </si>
  <si>
    <t>Calculation Step</t>
  </si>
  <si>
    <t>Log[La]</t>
  </si>
  <si>
    <t>Minimum Value of H/D : 1.8 ; Maximum Value of H/D: 11.5</t>
  </si>
  <si>
    <t>GEOTECHNICAL VARIABLES</t>
  </si>
  <si>
    <t>Parameters</t>
  </si>
  <si>
    <t>ψ**</t>
  </si>
  <si>
    <t>Pipe-Fault Dip Angle (deg)</t>
  </si>
  <si>
    <t>Soil Type</t>
  </si>
  <si>
    <t>Soil Strength</t>
  </si>
  <si>
    <t>Soil Unit Weight</t>
  </si>
  <si>
    <t>Friction Angle (deg) for Sand</t>
  </si>
  <si>
    <t>Undrained Shear Strength for Clay</t>
  </si>
  <si>
    <t>Adhesion Factor for Clay Based on ASCE 1984 Guideline</t>
  </si>
  <si>
    <t>Burial Depth to pipe centerline</t>
  </si>
  <si>
    <t>Equation 1</t>
  </si>
  <si>
    <t>Maximum Ko-Condition Frictional Soil Resistance (kN/m)</t>
  </si>
  <si>
    <t>Bearing Capacity factor (Jung et al. 2013)</t>
  </si>
  <si>
    <t>Bearing Capacity factor (O'Rourke &amp; Liu 2012)</t>
  </si>
  <si>
    <r>
      <t>Log[q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>]</t>
    </r>
  </si>
  <si>
    <t>Regression Coefficients (See "Coefficient" sheet")</t>
  </si>
  <si>
    <t>INPUT IM/EDP/EDM FROM OpenSRA</t>
  </si>
  <si>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>f</t>
    </r>
  </si>
  <si>
    <t>Permanent Ground Deformation (m)</t>
  </si>
  <si>
    <r>
      <t>Log[Δ</t>
    </r>
    <r>
      <rPr>
        <b/>
        <sz val="9.35"/>
        <color theme="1"/>
        <rFont val="Calibri"/>
        <family val="2"/>
      </rPr>
      <t>f]</t>
    </r>
  </si>
  <si>
    <t>OUTPUT DAMAGE MEASURE (DM)</t>
  </si>
  <si>
    <r>
      <t>ln ε</t>
    </r>
    <r>
      <rPr>
        <b/>
        <vertAlign val="subscript"/>
        <sz val="11"/>
        <color theme="1"/>
        <rFont val="Calibri"/>
        <family val="2"/>
        <scheme val="minor"/>
      </rPr>
      <t>long</t>
    </r>
  </si>
  <si>
    <t>Computed Pipe Longitudinal Strain (%)</t>
  </si>
  <si>
    <t>τ</t>
  </si>
  <si>
    <t>EPISTEMIC UNCERTAINTY</t>
  </si>
  <si>
    <t>Notes:</t>
  </si>
  <si>
    <t>** : User is required to identify the pipe-fault crossing angle</t>
  </si>
  <si>
    <t>*** : User is required to provide soil information including type of soil (sand or clay), soil strength , and burial depth to pipe centerline for sand material</t>
  </si>
  <si>
    <t>FRAGILITY CURVE LONGITUDINAL PIPE TENSILE STRAIN FOR CASE OF STRIKE-SLIP TENSION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</si>
  <si>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>: Permanent Ground Deformation</t>
    </r>
  </si>
  <si>
    <r>
      <t>Geomean Δ</t>
    </r>
    <r>
      <rPr>
        <b/>
        <sz val="9.35"/>
        <color theme="1"/>
        <rFont val="Calibri"/>
        <family val="2"/>
      </rPr>
      <t>f</t>
    </r>
  </si>
  <si>
    <t>Probability %</t>
  </si>
  <si>
    <t>Fragility Function</t>
  </si>
  <si>
    <t>Note</t>
  </si>
  <si>
    <r>
      <t xml:space="preserve">Median </t>
    </r>
    <r>
      <rPr>
        <sz val="12"/>
        <color rgb="FFFF0000"/>
        <rFont val="Calibri"/>
        <family val="2"/>
      </rPr>
      <t>Δ</t>
    </r>
    <r>
      <rPr>
        <sz val="10.199999999999999"/>
        <color rgb="FFFF0000"/>
        <rFont val="Calibri"/>
        <family val="2"/>
      </rPr>
      <t>f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</si>
  <si>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to produce 4% tensile strain</t>
    </r>
  </si>
  <si>
    <r>
      <t>Zero Probability (</t>
    </r>
    <r>
      <rPr>
        <sz val="12"/>
        <color rgb="FFFF0000"/>
        <rFont val="Calibri"/>
        <family val="2"/>
      </rPr>
      <t>Δ</t>
    </r>
    <r>
      <rPr>
        <sz val="10.199999999999999"/>
        <color rgb="FFFF0000"/>
        <rFont val="Calibri"/>
        <family val="2"/>
      </rPr>
      <t>f</t>
    </r>
    <r>
      <rPr>
        <sz val="12"/>
        <color rgb="FFFF0000"/>
        <rFont val="Calibri"/>
        <family val="2"/>
        <scheme val="minor"/>
      </rPr>
      <t>)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</si>
  <si>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with zero probability of fail</t>
    </r>
  </si>
  <si>
    <t>Standard Deviation</t>
  </si>
  <si>
    <t>Fragility Model</t>
  </si>
  <si>
    <t>P(Fail) = 0.5 for pipe longitudinal strain 4%</t>
  </si>
  <si>
    <t>P(Fail) = 0 for pipe longitudinal strain 0.05%</t>
  </si>
  <si>
    <t>Y-Axis: Probability of longitudinal pipe strain exceeding 4%, given pipe geometry, soil and fault properties</t>
  </si>
  <si>
    <t>X-Axis: Engineering demand parameter</t>
  </si>
  <si>
    <t>soft</t>
  </si>
  <si>
    <t>stiff</t>
  </si>
  <si>
    <t>medium dense</t>
  </si>
  <si>
    <t>dense</t>
  </si>
  <si>
    <t>medium stiff</t>
  </si>
  <si>
    <t>very dense</t>
  </si>
  <si>
    <t>ln_delta_u</t>
  </si>
  <si>
    <t>f_delta_f</t>
  </si>
  <si>
    <t>f_l_anchor</t>
  </si>
  <si>
    <t>ln_delta_f</t>
  </si>
  <si>
    <t>ln_delta_f_delta_u_ratio</t>
  </si>
  <si>
    <t>b1_ln_delta_f_delta_u_ratio</t>
  </si>
  <si>
    <t>b2_ln_d_t_ratio</t>
  </si>
  <si>
    <t>b3_f_soil_ln_t_ult</t>
  </si>
  <si>
    <t>b4_ln_q_vd</t>
  </si>
  <si>
    <t>ln_q_vd</t>
  </si>
  <si>
    <t>q_vd</t>
  </si>
  <si>
    <t>n_q_vd</t>
  </si>
  <si>
    <t>b5_ln_d</t>
  </si>
  <si>
    <t>ln_eps_pipe</t>
  </si>
  <si>
    <t>ln_t_u</t>
  </si>
  <si>
    <t>f_soil_type</t>
  </si>
  <si>
    <t>pgdef_settlement</t>
  </si>
  <si>
    <t>h_pipe</t>
  </si>
  <si>
    <t>d_pipe_m</t>
  </si>
  <si>
    <t>t_pipe_m</t>
  </si>
  <si>
    <t>sigma_eps_pipe</t>
  </si>
  <si>
    <t>sigma_mu_eps_pipe</t>
  </si>
  <si>
    <t>EQUATIONS</t>
  </si>
  <si>
    <t>Equation 1:</t>
  </si>
  <si>
    <t>Equation 2:</t>
  </si>
  <si>
    <t>Where:</t>
  </si>
  <si>
    <t>D = Pipe outside diameter (m) ; t = Pipe wall thickness (mm)</t>
  </si>
  <si>
    <t>H = Burial depth to pipe centerline (Range value of 1.0 - 4.0 m)</t>
  </si>
  <si>
    <r>
      <t>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 Undrained shear strength of clayey soil</t>
    </r>
    <r>
      <rPr>
        <sz val="11"/>
        <color theme="1"/>
        <rFont val="Calibri"/>
        <family val="2"/>
        <scheme val="minor"/>
      </rPr>
      <t xml:space="preserve"> (Range value of 25 - 100 kPa)</t>
    </r>
  </si>
  <si>
    <t>Model Variables</t>
  </si>
  <si>
    <r>
      <t>γ</t>
    </r>
    <r>
      <rPr>
        <vertAlign val="subscript"/>
        <sz val="11"/>
        <color theme="1"/>
        <rFont val="Calibri"/>
        <family val="2"/>
      </rPr>
      <t>soil</t>
    </r>
    <r>
      <rPr>
        <sz val="11"/>
        <color theme="1"/>
        <rFont val="Calibri"/>
        <family val="2"/>
      </rPr>
      <t xml:space="preserve"> = Effective unit weight of soil (Range value of 37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 xml:space="preserve"> - 43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)</t>
    </r>
  </si>
  <si>
    <r>
      <t>F</t>
    </r>
    <r>
      <rPr>
        <b/>
        <vertAlign val="subscript"/>
        <sz val="11"/>
        <color theme="1"/>
        <rFont val="Calibri"/>
        <family val="2"/>
      </rPr>
      <t>ψ</t>
    </r>
  </si>
  <si>
    <t xml:space="preserve">Flag </t>
  </si>
  <si>
    <t xml:space="preserve">α = adhesion factor 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</si>
  <si>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</si>
  <si>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Regression Coefficients</t>
  </si>
  <si>
    <t>PERMANENT GROUND DEFORMATION (m)</t>
  </si>
  <si>
    <t>ln (ε_comp)</t>
  </si>
  <si>
    <t>Equation 3</t>
  </si>
  <si>
    <t>ε_comp (%)</t>
  </si>
  <si>
    <t>Normal 2 Mixture Distribution Model Defined by the following parameters: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</si>
  <si>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</si>
  <si>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μ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</si>
  <si>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σ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</si>
  <si>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σ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</si>
  <si>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π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</si>
  <si>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π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</si>
  <si>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</si>
  <si>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</si>
  <si>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</si>
  <si>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</si>
  <si>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Log[Δf (m)]</t>
  </si>
  <si>
    <t>Log[Δf (m)] - b0</t>
  </si>
  <si>
    <t>(Log[Δf (m)] - b0) / b1</t>
  </si>
  <si>
    <t>ATANH (Log[Δf (m)] - b0) / b1)</t>
  </si>
  <si>
    <t>ATANH (Log[Δf (m)] - b0) / b1)  /  b2</t>
  </si>
  <si>
    <r>
      <t xml:space="preserve">ln 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comp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</si>
  <si>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 xml:space="preserve">comp </t>
    </r>
    <r>
      <rPr>
        <sz val="11"/>
        <color theme="1"/>
        <rFont val="Calibri"/>
        <family val="2"/>
        <scheme val="minor"/>
      </rPr>
      <t>(%)</t>
    </r>
  </si>
  <si>
    <t>Very large strain and failure is expected</t>
  </si>
  <si>
    <t>N\A</t>
  </si>
  <si>
    <t>f_phi_dip</t>
  </si>
  <si>
    <t>f_d_pipe</t>
  </si>
  <si>
    <t>ln_d_t_ratio</t>
  </si>
  <si>
    <t>pgdef_landslide</t>
  </si>
  <si>
    <t>Landslide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</si>
</sst>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0.0000"/>
    <numFmt numFmtId="167" formatCode="0.000"/>
    <numFmt numFmtId="168" formatCode="0.00000%"/>
    <numFmt numFmtId="169" formatCode="0.00000000000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7.7"/>
      <color theme="1"/>
      <name val="Calibri"/>
      <family val="2"/>
    </font>
    <font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sz val="11"/>
      <name val="Calibri"/>
      <family val="2"/>
      <scheme val="minor"/>
    </font>
    <font>
      <b/>
      <vertAlign val="subscript"/>
      <sz val="9.35"/>
      <color theme="1"/>
      <name val="Calibri"/>
      <family val="2"/>
    </font>
    <font>
      <b/>
      <sz val="9.35"/>
      <color theme="1"/>
      <name val="Calibri"/>
      <family val="2"/>
    </font>
    <font>
      <sz val="12"/>
      <color theme="1"/>
      <name val="Tahoma"/>
      <family val="2"/>
    </font>
    <font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.199999999999999"/>
      <color rgb="FFFF0000"/>
      <name val="Calibri"/>
      <family val="2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vertAlign val="subscript"/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/>
    <xf numFmtId="0" fontId="19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0" fillId="0" borderId="0" xfId="0" quotePrefix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/>
    </xf>
    <xf numFmtId="0" fontId="18" fillId="0" borderId="11" xfId="0" applyFont="1" applyBorder="1" applyAlignment="1">
      <alignment horizontal="center"/>
    </xf>
    <xf numFmtId="164" fontId="0" fillId="0" borderId="11" xfId="0" applyNumberFormat="1" applyBorder="1"/>
    <xf numFmtId="165" fontId="0" fillId="0" borderId="0" xfId="0" applyNumberFormat="1"/>
    <xf numFmtId="0" fontId="0" fillId="36" borderId="0" xfId="0" applyFill="1" applyAlignment="1">
      <alignment horizontal="center"/>
    </xf>
    <xf numFmtId="0" fontId="0" fillId="36" borderId="0" xfId="0" applyFill="1"/>
    <xf numFmtId="165" fontId="0" fillId="36" borderId="0" xfId="0" applyNumberFormat="1" applyFill="1"/>
    <xf numFmtId="1" fontId="0" fillId="36" borderId="0" xfId="0" applyNumberFormat="1" applyFill="1" applyAlignment="1">
      <alignment horizontal="center"/>
    </xf>
    <xf numFmtId="167" fontId="0" fillId="36" borderId="0" xfId="0" applyNumberFormat="1" applyFill="1" applyAlignment="1">
      <alignment horizontal="center"/>
    </xf>
    <xf numFmtId="0" fontId="0" fillId="36" borderId="11" xfId="0" applyFill="1" applyBorder="1" applyAlignment="1">
      <alignment horizontal="center"/>
    </xf>
    <xf numFmtId="1" fontId="0" fillId="36" borderId="11" xfId="0" applyNumberFormat="1" applyFill="1" applyBorder="1" applyAlignment="1">
      <alignment horizontal="center"/>
    </xf>
    <xf numFmtId="168" fontId="0" fillId="0" borderId="0" xfId="43" applyNumberFormat="1" applyFont="1"/>
    <xf numFmtId="0" fontId="16" fillId="37" borderId="0" xfId="0" applyFont="1" applyFill="1" applyAlignment="1">
      <alignment horizontal="left" vertical="center"/>
    </xf>
    <xf numFmtId="0" fontId="0" fillId="37" borderId="0" xfId="0" applyFill="1" applyAlignment="1">
      <alignment horizontal="center" vertical="center"/>
    </xf>
    <xf numFmtId="0" fontId="25" fillId="0" borderId="0" xfId="0" applyFont="1" applyAlignment="1">
      <alignment horizontal="left" vertical="center"/>
    </xf>
    <xf numFmtId="15" fontId="25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6" fillId="0" borderId="0" xfId="0" applyNumberFormat="1" applyFont="1" applyAlignment="1">
      <alignment horizontal="left" vertical="center"/>
    </xf>
    <xf numFmtId="0" fontId="0" fillId="38" borderId="0" xfId="0" applyFill="1" applyAlignment="1">
      <alignment horizontal="center" vertical="center"/>
    </xf>
    <xf numFmtId="15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/>
    </xf>
    <xf numFmtId="0" fontId="31" fillId="37" borderId="0" xfId="0" applyFont="1" applyFill="1" applyAlignment="1">
      <alignment horizontal="center" vertical="center"/>
    </xf>
    <xf numFmtId="0" fontId="25" fillId="0" borderId="0" xfId="0" applyFont="1"/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vertical="center"/>
    </xf>
    <xf numFmtId="0" fontId="31" fillId="0" borderId="0" xfId="0" applyFont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34" fillId="0" borderId="0" xfId="0" applyFont="1" applyAlignment="1">
      <alignment vertical="center" wrapText="1"/>
    </xf>
    <xf numFmtId="2" fontId="0" fillId="0" borderId="0" xfId="42" applyNumberFormat="1" applyFont="1" applyFill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0" fillId="37" borderId="0" xfId="0" applyFill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167" fontId="18" fillId="38" borderId="0" xfId="0" applyNumberFormat="1" applyFont="1" applyFill="1" applyAlignment="1">
      <alignment horizontal="center" vertical="center"/>
    </xf>
    <xf numFmtId="167" fontId="0" fillId="37" borderId="0" xfId="0" applyNumberForma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167" fontId="0" fillId="0" borderId="11" xfId="0" applyNumberFormat="1" applyBorder="1" applyAlignment="1">
      <alignment horizontal="center"/>
    </xf>
    <xf numFmtId="0" fontId="36" fillId="0" borderId="0" xfId="0" applyFont="1"/>
    <xf numFmtId="2" fontId="0" fillId="38" borderId="0" xfId="0" applyNumberFormat="1" applyFill="1"/>
    <xf numFmtId="0" fontId="37" fillId="0" borderId="0" xfId="0" applyFont="1"/>
    <xf numFmtId="2" fontId="39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7" fontId="35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167" fontId="41" fillId="0" borderId="0" xfId="0" applyNumberFormat="1" applyFont="1" applyAlignment="1">
      <alignment horizontal="center"/>
    </xf>
    <xf numFmtId="169" fontId="0" fillId="0" borderId="0" xfId="0" applyNumberFormat="1"/>
    <xf numFmtId="0" fontId="16" fillId="35" borderId="0" xfId="0" applyFont="1" applyFill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  <xf numFmtId="0" fontId="42" fillId="35" borderId="0" xfId="0" applyFont="1" applyFill="1" applyAlignment="1">
      <alignment vertical="center" wrapText="1"/>
    </xf>
    <xf numFmtId="0" fontId="43" fillId="35" borderId="0" xfId="0" applyFont="1" applyFill="1" applyAlignment="1">
      <alignment horizontal="right" vertical="center" wrapText="1"/>
    </xf>
    <xf numFmtId="0" fontId="0" fillId="35" borderId="0" xfId="0" applyFill="1" applyAlignment="1">
      <alignment horizontal="right"/>
    </xf>
    <xf numFmtId="0" fontId="34" fillId="35" borderId="0" xfId="0" applyFont="1" applyFill="1" applyAlignment="1">
      <alignment vertical="center" wrapText="1"/>
    </xf>
    <xf numFmtId="0" fontId="18" fillId="35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16" fillId="35" borderId="0" xfId="0" applyFont="1" applyFill="1" applyAlignment="1">
      <alignment vertical="center"/>
    </xf>
    <xf numFmtId="2" fontId="0" fillId="37" borderId="0" xfId="0" applyNumberFormat="1" applyFill="1" applyAlignment="1">
      <alignment horizontal="center" vertical="center"/>
    </xf>
    <xf numFmtId="167" fontId="0" fillId="38" borderId="0" xfId="0" applyNumberForma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167" fontId="0" fillId="38" borderId="0" xfId="0" applyNumberFormat="1" applyFill="1" applyAlignment="1">
      <alignment horizontal="left" vertical="center"/>
    </xf>
    <xf numFmtId="167" fontId="18" fillId="38" borderId="0" xfId="0" applyNumberFormat="1" applyFont="1" applyFill="1" applyAlignment="1">
      <alignment horizontal="right" vertical="center"/>
    </xf>
    <xf numFmtId="0" fontId="35" fillId="35" borderId="0" xfId="0" applyFont="1" applyFill="1" applyAlignment="1">
      <alignment horizontal="center" vertical="center"/>
    </xf>
    <xf numFmtId="2" fontId="35" fillId="35" borderId="0" xfId="0" applyNumberFormat="1" applyFont="1" applyFill="1" applyAlignment="1">
      <alignment horizontal="center"/>
    </xf>
    <xf numFmtId="2" fontId="39" fillId="35" borderId="0" xfId="0" applyNumberFormat="1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40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167" fontId="35" fillId="35" borderId="0" xfId="0" applyNumberFormat="1" applyFont="1" applyFill="1" applyAlignment="1">
      <alignment horizontal="center"/>
    </xf>
    <xf numFmtId="0" fontId="0" fillId="35" borderId="0" xfId="0" applyFill="1" applyAlignment="1">
      <alignment horizontal="left" vertical="center"/>
    </xf>
    <xf numFmtId="2" fontId="41" fillId="35" borderId="0" xfId="0" applyNumberFormat="1" applyFont="1" applyFill="1" applyAlignment="1">
      <alignment horizontal="center"/>
    </xf>
    <xf numFmtId="167" fontId="41" fillId="35" borderId="0" xfId="0" applyNumberFormat="1" applyFont="1" applyFill="1" applyAlignment="1">
      <alignment horizontal="center"/>
    </xf>
    <xf numFmtId="0" fontId="0" fillId="40" borderId="0" xfId="0" applyFill="1"/>
    <xf numFmtId="0" fontId="16" fillId="34" borderId="0" xfId="0" applyFont="1" applyFill="1" applyAlignment="1">
      <alignment vertical="center"/>
    </xf>
    <xf numFmtId="0" fontId="16" fillId="35" borderId="0" xfId="0" applyFont="1" applyFill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35" borderId="13" xfId="0" applyFont="1" applyFill="1" applyBorder="1" applyAlignment="1">
      <alignment horizontal="center" vertical="center"/>
    </xf>
    <xf numFmtId="0" fontId="35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5" fillId="35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Reverse-Slip'!$B$65:$B$109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Reverse-Slip'!$C$65:$C$109</c:f>
              <c:numCache>
                <c:formatCode>0.000</c:formatCode>
                <c:ptCount val="45"/>
                <c:pt idx="0">
                  <c:v>2.3059338971538875E-4</c:v>
                </c:pt>
                <c:pt idx="1">
                  <c:v>2.3147511707623204E-3</c:v>
                </c:pt>
                <c:pt idx="2">
                  <c:v>1.5342108961265734E-2</c:v>
                </c:pt>
                <c:pt idx="3">
                  <c:v>6.8040514359285792E-2</c:v>
                </c:pt>
                <c:pt idx="4">
                  <c:v>0.15604659402560925</c:v>
                </c:pt>
                <c:pt idx="5">
                  <c:v>0.23513853519175701</c:v>
                </c:pt>
                <c:pt idx="6">
                  <c:v>0.33242856928156472</c:v>
                </c:pt>
                <c:pt idx="7">
                  <c:v>0.44259007277827317</c:v>
                </c:pt>
                <c:pt idx="8">
                  <c:v>0.55740992722172655</c:v>
                </c:pt>
                <c:pt idx="9">
                  <c:v>0.6675714307184355</c:v>
                </c:pt>
                <c:pt idx="10">
                  <c:v>0.76486146480824302</c:v>
                </c:pt>
                <c:pt idx="11">
                  <c:v>0.84395340597439061</c:v>
                </c:pt>
                <c:pt idx="12">
                  <c:v>0.90313968795832744</c:v>
                </c:pt>
                <c:pt idx="13">
                  <c:v>0.94390907898972154</c:v>
                </c:pt>
                <c:pt idx="14">
                  <c:v>0.96975969865981237</c:v>
                </c:pt>
                <c:pt idx="15">
                  <c:v>0.98484765157098852</c:v>
                </c:pt>
                <c:pt idx="16">
                  <c:v>0.99295373756441785</c:v>
                </c:pt>
                <c:pt idx="17">
                  <c:v>0.99696251877847386</c:v>
                </c:pt>
                <c:pt idx="18">
                  <c:v>0.99878739051144416</c:v>
                </c:pt>
                <c:pt idx="19">
                  <c:v>0.99955205267969616</c:v>
                </c:pt>
                <c:pt idx="20">
                  <c:v>0.99980753640840891</c:v>
                </c:pt>
                <c:pt idx="21">
                  <c:v>0.99990005346954891</c:v>
                </c:pt>
                <c:pt idx="22">
                  <c:v>0.99994948303929099</c:v>
                </c:pt>
                <c:pt idx="23">
                  <c:v>0.99997515062692877</c:v>
                </c:pt>
                <c:pt idx="24">
                  <c:v>0.9999867391568521</c:v>
                </c:pt>
                <c:pt idx="25">
                  <c:v>0.99999224480466409</c:v>
                </c:pt>
                <c:pt idx="26">
                  <c:v>0.99999552665227287</c:v>
                </c:pt>
                <c:pt idx="27">
                  <c:v>0.99999745504604587</c:v>
                </c:pt>
                <c:pt idx="28">
                  <c:v>0.9999986772739311</c:v>
                </c:pt>
                <c:pt idx="29">
                  <c:v>0.9999993758001845</c:v>
                </c:pt>
                <c:pt idx="30">
                  <c:v>0.99999971186957992</c:v>
                </c:pt>
                <c:pt idx="31">
                  <c:v>0.99999986990833412</c:v>
                </c:pt>
                <c:pt idx="32">
                  <c:v>0.99999993582222668</c:v>
                </c:pt>
                <c:pt idx="33">
                  <c:v>0.99999996513942269</c:v>
                </c:pt>
                <c:pt idx="34">
                  <c:v>0.99999998128822742</c:v>
                </c:pt>
                <c:pt idx="35">
                  <c:v>0.99999999007522866</c:v>
                </c:pt>
                <c:pt idx="36">
                  <c:v>0.99999999615427182</c:v>
                </c:pt>
                <c:pt idx="37">
                  <c:v>0.99999999893734659</c:v>
                </c:pt>
                <c:pt idx="38">
                  <c:v>0.99999999971906628</c:v>
                </c:pt>
                <c:pt idx="39">
                  <c:v>0.99999999992894617</c:v>
                </c:pt>
                <c:pt idx="40">
                  <c:v>0.99999999998671651</c:v>
                </c:pt>
                <c:pt idx="41">
                  <c:v>0.99999999999821521</c:v>
                </c:pt>
                <c:pt idx="42">
                  <c:v>0.99999999999977907</c:v>
                </c:pt>
                <c:pt idx="43">
                  <c:v>0.9999999999999748</c:v>
                </c:pt>
                <c:pt idx="44">
                  <c:v>0.99999999999999178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31B-9181-B9AD24ED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'[1]Estimation Model Normal-Slip'!$B$84:$B$128</c:f>
              <c:numCache>
                <c:formatCode>General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'[1]Estimation Model Normal-Slip'!$C$84:$C$128</c:f>
              <c:numCache>
                <c:formatCode>General</c:formatCode>
                <c:ptCount val="45"/>
                <c:pt idx="0">
                  <c:v>1.9085875631063436E-18</c:v>
                </c:pt>
                <c:pt idx="1">
                  <c:v>5.5739467408180941E-16</c:v>
                </c:pt>
                <c:pt idx="2">
                  <c:v>1.0449777157001486E-13</c:v>
                </c:pt>
                <c:pt idx="3">
                  <c:v>1.2590128861359489E-11</c:v>
                </c:pt>
                <c:pt idx="4">
                  <c:v>2.9588405440300864E-10</c:v>
                </c:pt>
                <c:pt idx="5">
                  <c:v>1.7761506845068918E-9</c:v>
                </c:pt>
                <c:pt idx="6">
                  <c:v>9.8289505132512206E-9</c:v>
                </c:pt>
                <c:pt idx="7">
                  <c:v>5.0151545683384232E-8</c:v>
                </c:pt>
                <c:pt idx="8">
                  <c:v>2.3599506752386917E-7</c:v>
                </c:pt>
                <c:pt idx="9">
                  <c:v>1.0243947312270585E-6</c:v>
                </c:pt>
                <c:pt idx="10">
                  <c:v>4.1029578395117752E-6</c:v>
                </c:pt>
                <c:pt idx="11">
                  <c:v>1.5168043717758784E-5</c:v>
                </c:pt>
                <c:pt idx="12">
                  <c:v>5.1775451297931329E-5</c:v>
                </c:pt>
                <c:pt idx="13">
                  <c:v>1.6325439882083033E-4</c:v>
                </c:pt>
                <c:pt idx="14">
                  <c:v>4.7573895813367317E-4</c:v>
                </c:pt>
                <c:pt idx="15">
                  <c:v>1.2820044461482921E-3</c:v>
                </c:pt>
                <c:pt idx="16">
                  <c:v>3.196891815507173E-3</c:v>
                </c:pt>
                <c:pt idx="17">
                  <c:v>7.383147639853282E-3</c:v>
                </c:pt>
                <c:pt idx="18">
                  <c:v>1.5807319603985841E-2</c:v>
                </c:pt>
                <c:pt idx="19">
                  <c:v>3.1411789569369651E-2</c:v>
                </c:pt>
                <c:pt idx="20">
                  <c:v>5.1386056281393755E-2</c:v>
                </c:pt>
                <c:pt idx="21">
                  <c:v>7.1786149694018073E-2</c:v>
                </c:pt>
                <c:pt idx="22">
                  <c:v>9.788921937675657E-2</c:v>
                </c:pt>
                <c:pt idx="23">
                  <c:v>0.13035192765150305</c:v>
                </c:pt>
                <c:pt idx="24">
                  <c:v>0.16346324966798531</c:v>
                </c:pt>
                <c:pt idx="25">
                  <c:v>0.19476889524471244</c:v>
                </c:pt>
                <c:pt idx="26">
                  <c:v>0.22947153502583181</c:v>
                </c:pt>
                <c:pt idx="27">
                  <c:v>0.26739166210394538</c:v>
                </c:pt>
                <c:pt idx="28">
                  <c:v>0.31377371331755766</c:v>
                </c:pt>
                <c:pt idx="29">
                  <c:v>0.36920067296819342</c:v>
                </c:pt>
                <c:pt idx="30">
                  <c:v>0.42749296947746895</c:v>
                </c:pt>
                <c:pt idx="31">
                  <c:v>0.48741550562592878</c:v>
                </c:pt>
                <c:pt idx="32">
                  <c:v>0.53959372946496931</c:v>
                </c:pt>
                <c:pt idx="33">
                  <c:v>0.58321295563774544</c:v>
                </c:pt>
                <c:pt idx="34">
                  <c:v>0.62583022130002286</c:v>
                </c:pt>
                <c:pt idx="35">
                  <c:v>0.66696182622713318</c:v>
                </c:pt>
                <c:pt idx="36">
                  <c:v>0.7235151679039008</c:v>
                </c:pt>
                <c:pt idx="37">
                  <c:v>0.78992471557995225</c:v>
                </c:pt>
                <c:pt idx="38">
                  <c:v>0.84589948112685109</c:v>
                </c:pt>
                <c:pt idx="39">
                  <c:v>0.89099707905352354</c:v>
                </c:pt>
                <c:pt idx="40">
                  <c:v>0.93091970843214933</c:v>
                </c:pt>
                <c:pt idx="41">
                  <c:v>0.96176012914518594</c:v>
                </c:pt>
                <c:pt idx="42">
                  <c:v>0.98031498815607976</c:v>
                </c:pt>
                <c:pt idx="43">
                  <c:v>0.99059081958621853</c:v>
                </c:pt>
                <c:pt idx="44">
                  <c:v>0.99367574474989995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8-40F6-BBF5-F890E937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ED0773-C9C1-4A13-943E-B7894058F077}"/>
            </a:ext>
          </a:extLst>
        </xdr:cNvPr>
        <xdr:cNvSpPr txBox="1"/>
      </xdr:nvSpPr>
      <xdr:spPr>
        <a:xfrm>
          <a:off x="14125575" y="5057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7</xdr:row>
      <xdr:rowOff>163286</xdr:rowOff>
    </xdr:from>
    <xdr:ext cx="3796489" cy="399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7E69E4-4C1B-45D4-A62A-E6E801E25517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d>
                          <m:dPr>
                            <m:begChr m:val="{"/>
                            <m:endChr m:val="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eqArr>
                              <m:eqArr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;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𝐶𝑙𝑎𝑦</m:t>
                                </m:r>
                              </m: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𝑠𝑜𝑖𝑙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∗0.5∗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;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𝑆𝑎𝑛𝑑</m:t>
                                </m:r>
                              </m:e>
                            </m:eqArr>
                          </m:e>
                        </m:d>
                      </m:e>
                      <m:sub/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7E69E4-4C1B-45D4-A62A-E6E801E25517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𝑡_𝑢𝑙𝑡={█(</a:t>
              </a:r>
              <a:r>
                <a:rPr lang="en-US" sz="1100" b="0" i="0">
                  <a:latin typeface="Cambria Math" panose="02040503050406030204" pitchFamily="18" charset="0"/>
                </a:rPr>
                <a:t>𝜋∗𝐷∗𝛼∗𝑠_𝑢  ; 𝑓𝑜𝑟 𝐶𝑙𝑎𝑦@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𝜋∗𝐷∗𝐻∗𝛾_𝑠𝑜𝑖𝑙∗0.5∗(1+𝐾_𝑜 )∗tan⁡〖(𝑘𝜙)〗; 𝑓𝑜𝑟 𝑆𝑎𝑛𝑑)┤〗_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36634</xdr:colOff>
      <xdr:row>30</xdr:row>
      <xdr:rowOff>28575</xdr:rowOff>
    </xdr:from>
    <xdr:ext cx="19757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C51705-5398-4131-8757-D80C5CBECC4F}"/>
                </a:ext>
              </a:extLst>
            </xdr:cNvPr>
            <xdr:cNvSpPr txBox="1"/>
          </xdr:nvSpPr>
          <xdr:spPr>
            <a:xfrm>
              <a:off x="14162209" y="62103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C51705-5398-4131-8757-D80C5CBECC4F}"/>
                </a:ext>
              </a:extLst>
            </xdr:cNvPr>
            <xdr:cNvSpPr txBox="1"/>
          </xdr:nvSpPr>
          <xdr:spPr>
            <a:xfrm>
              <a:off x="14162209" y="62103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𝜙</a:t>
              </a:r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6896</xdr:colOff>
      <xdr:row>37</xdr:row>
      <xdr:rowOff>16808</xdr:rowOff>
    </xdr:from>
    <xdr:ext cx="3047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BA2BEC-F1A7-4C65-9CB0-DB67D9AC403E}"/>
                </a:ext>
              </a:extLst>
            </xdr:cNvPr>
            <xdr:cNvSpPr txBox="1"/>
          </xdr:nvSpPr>
          <xdr:spPr>
            <a:xfrm>
              <a:off x="14132471" y="7589183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𝐶𝑜𝑒𝑓𝑓𝑖𝑐𝑖𝑒𝑛𝑡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𝑝𝑟𝑒𝑠𝑠𝑢𝑟𝑒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𝑎𝑡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𝑟𝑒𝑠𝑡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(1−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</m:func>
                </m:oMath>
              </a14:m>
              <a:r>
                <a:rPr lang="en-US" sz="1100"/>
                <a:t> 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BA2BEC-F1A7-4C65-9CB0-DB67D9AC403E}"/>
                </a:ext>
              </a:extLst>
            </xdr:cNvPr>
            <xdr:cNvSpPr txBox="1"/>
          </xdr:nvSpPr>
          <xdr:spPr>
            <a:xfrm>
              <a:off x="14132471" y="7589183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𝐾_𝑜=𝐶𝑜𝑒𝑓𝑓𝑖𝑐𝑖𝑒𝑛𝑡 𝑜𝑓 𝑝𝑟𝑒𝑠𝑠𝑢𝑟𝑒 𝑎𝑡 𝑟𝑒𝑠𝑡 (1−sin⁡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n-US" sz="1100"/>
                <a:t> )</a:t>
              </a:r>
            </a:p>
          </xdr:txBody>
        </xdr:sp>
      </mc:Fallback>
    </mc:AlternateContent>
    <xdr:clientData/>
  </xdr:oneCellAnchor>
  <xdr:oneCellAnchor>
    <xdr:from>
      <xdr:col>11</xdr:col>
      <xdr:colOff>29308</xdr:colOff>
      <xdr:row>31</xdr:row>
      <xdr:rowOff>28575</xdr:rowOff>
    </xdr:from>
    <xdr:ext cx="44187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5893A6-A28F-41CF-A369-18170652C03A}"/>
                </a:ext>
              </a:extLst>
            </xdr:cNvPr>
            <xdr:cNvSpPr txBox="1"/>
          </xdr:nvSpPr>
          <xdr:spPr>
            <a:xfrm>
              <a:off x="14154883" y="64389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=0.9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Friction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factore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peak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cohesionless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soil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rough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steel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pipe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5893A6-A28F-41CF-A369-18170652C03A}"/>
                </a:ext>
              </a:extLst>
            </xdr:cNvPr>
            <xdr:cNvSpPr txBox="1"/>
          </xdr:nvSpPr>
          <xdr:spPr>
            <a:xfrm>
              <a:off x="14154883" y="64389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𝑘=0.9 (Friction factore for peak cohesionless soil and rough steel pipe)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31</xdr:row>
      <xdr:rowOff>198345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1D763-AD8A-415C-8675-311B0236731A}"/>
                </a:ext>
              </a:extLst>
            </xdr:cNvPr>
            <xdr:cNvSpPr txBox="1"/>
          </xdr:nvSpPr>
          <xdr:spPr>
            <a:xfrm>
              <a:off x="14125575" y="660867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1D763-AD8A-415C-8675-311B0236731A}"/>
                </a:ext>
              </a:extLst>
            </xdr:cNvPr>
            <xdr:cNvSpPr txBox="1"/>
          </xdr:nvSpPr>
          <xdr:spPr>
            <a:xfrm>
              <a:off x="14125575" y="660867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32</xdr:row>
      <xdr:rowOff>168728</xdr:rowOff>
    </xdr:from>
    <xdr:ext cx="23643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A9BE5C-36A9-43D4-B6B8-E90884DEAF14}"/>
                </a:ext>
              </a:extLst>
            </xdr:cNvPr>
            <xdr:cNvSpPr txBox="1"/>
          </xdr:nvSpPr>
          <xdr:spPr>
            <a:xfrm>
              <a:off x="14125575" y="6779078"/>
              <a:ext cx="2364302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𝐷𝑖𝑝𝑝𝑖𝑛𝑔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A9BE5C-36A9-43D4-B6B8-E90884DEAF14}"/>
                </a:ext>
              </a:extLst>
            </xdr:cNvPr>
            <xdr:cNvSpPr txBox="1"/>
          </xdr:nvSpPr>
          <xdr:spPr>
            <a:xfrm>
              <a:off x="14125575" y="6779078"/>
              <a:ext cx="2364302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𝜓=𝑃𝑖𝑝𝑒−𝐹𝑎𝑢𝑙𝑡 𝐷𝑖𝑝𝑝𝑖𝑛𝑔 𝑎𝑛𝑔𝑙𝑒 (^𝑜)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33</xdr:row>
      <xdr:rowOff>161525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FF039C5-5E93-4BB3-BE69-2BAB5E79A9F5}"/>
                </a:ext>
              </a:extLst>
            </xdr:cNvPr>
            <xdr:cNvSpPr txBox="1"/>
          </xdr:nvSpPr>
          <xdr:spPr>
            <a:xfrm>
              <a:off x="14125575" y="6971900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FF039C5-5E93-4BB3-BE69-2BAB5E79A9F5}"/>
                </a:ext>
              </a:extLst>
            </xdr:cNvPr>
            <xdr:cNvSpPr txBox="1"/>
          </xdr:nvSpPr>
          <xdr:spPr>
            <a:xfrm>
              <a:off x="14125575" y="6971900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34</xdr:row>
      <xdr:rowOff>143835</xdr:rowOff>
    </xdr:from>
    <xdr:ext cx="3105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331167-F481-4F13-BDFF-9C729E81A3CF}"/>
                </a:ext>
              </a:extLst>
            </xdr:cNvPr>
            <xdr:cNvSpPr txBox="1"/>
          </xdr:nvSpPr>
          <xdr:spPr>
            <a:xfrm>
              <a:off x="14125575" y="7144710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𝐿𝑎𝑡𝑒𝑟𝑎𝑙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331167-F481-4F13-BDFF-9C729E81A3CF}"/>
                </a:ext>
              </a:extLst>
            </xdr:cNvPr>
            <xdr:cNvSpPr txBox="1"/>
          </xdr:nvSpPr>
          <xdr:spPr>
            <a:xfrm>
              <a:off x="14125575" y="7144710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𝑞_𝑢𝑙𝑡=𝑀𝑎𝑥𝑖𝑚𝑢𝑚 𝐿𝑎𝑡𝑒𝑟𝑎𝑙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</xdr:row>
      <xdr:rowOff>170249</xdr:rowOff>
    </xdr:from>
    <xdr:ext cx="41771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4D9F4-761B-48DE-90EF-02C48C4CC6B6}"/>
                </a:ext>
              </a:extLst>
            </xdr:cNvPr>
            <xdr:cNvSpPr txBox="1"/>
          </xdr:nvSpPr>
          <xdr:spPr>
            <a:xfrm>
              <a:off x="14125575" y="7361624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𝐶𝑜𝑛𝑑𝑖𝑡𝑖𝑜𝑛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𝐹𝑟𝑖𝑐𝑡𝑖𝑜𝑛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4D9F4-761B-48DE-90EF-02C48C4CC6B6}"/>
                </a:ext>
              </a:extLst>
            </xdr:cNvPr>
            <xdr:cNvSpPr txBox="1"/>
          </xdr:nvSpPr>
          <xdr:spPr>
            <a:xfrm>
              <a:off x="14125575" y="7361624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𝑡_𝑢𝑙𝑡=𝑀𝑎𝑥𝑖𝑚𝑢𝑚 𝐾𝑜−𝐶𝑜𝑛𝑑𝑖𝑡𝑖𝑜𝑛 𝐹𝑟𝑖𝑐𝑡𝑖𝑜𝑛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72</xdr:row>
      <xdr:rowOff>0</xdr:rowOff>
    </xdr:from>
    <xdr:to>
      <xdr:col>7</xdr:col>
      <xdr:colOff>1072001</xdr:colOff>
      <xdr:row>86</xdr:row>
      <xdr:rowOff>98715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0C93B9-17C7-4431-B4C3-B1AF9A308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330574</xdr:colOff>
      <xdr:row>10</xdr:row>
      <xdr:rowOff>114300</xdr:rowOff>
    </xdr:from>
    <xdr:to>
      <xdr:col>21</xdr:col>
      <xdr:colOff>114300</xdr:colOff>
      <xdr:row>13</xdr:row>
      <xdr:rowOff>113036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41534DAC-1BEB-4F64-A995-A361A68B0A5E}"/>
                </a:ext>
              </a:extLst>
            </xdr:cNvPr>
            <xdr:cNvSpPr txBox="1"/>
          </xdr:nvSpPr>
          <xdr:spPr>
            <a:xfrm>
              <a:off x="13875124" y="2076450"/>
              <a:ext cx="6175001" cy="6178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𝑐𝑜𝑚𝑝</m:t>
                            </m:r>
                          </m:sub>
                        </m:sSub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𝑡𝑎𝑛h</m:t>
                                </m:r>
                              </m:e>
                              <m:sup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unc>
                                      <m:func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𝑙𝑛</m:t>
                                        </m:r>
                                      </m:fName>
                                      <m:e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𝛥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func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41534DAC-1BEB-4F64-A995-A361A68B0A5E}"/>
                </a:ext>
              </a:extLst>
            </xdr:cNvPr>
            <xdr:cNvSpPr txBox="1"/>
          </xdr:nvSpPr>
          <xdr:spPr>
            <a:xfrm>
              <a:off x="13875124" y="2076450"/>
              <a:ext cx="6175001" cy="6178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ln⁡〖𝜀_𝑐𝑜𝑚𝑝 〗=〖𝑡𝑎𝑛ℎ〗^(−1)⁡(𝑙𝑛⁡〖𝛥_𝑓−𝑏_0 〗/𝑏_1 )/𝑏_2 −𝑏_3+𝑏_4±𝜎_𝑙𝑛⁡𝜀 </a:t>
              </a:r>
              <a:endParaRPr lang="en-US" sz="1050"/>
            </a:p>
          </xdr:txBody>
        </xdr:sp>
      </mc:Fallback>
    </mc:AlternateContent>
    <xdr:clientData/>
  </xdr:twoCellAnchor>
  <xdr:twoCellAnchor>
    <xdr:from>
      <xdr:col>10</xdr:col>
      <xdr:colOff>340099</xdr:colOff>
      <xdr:row>14</xdr:row>
      <xdr:rowOff>57150</xdr:rowOff>
    </xdr:from>
    <xdr:to>
      <xdr:col>14</xdr:col>
      <xdr:colOff>329710</xdr:colOff>
      <xdr:row>16</xdr:row>
      <xdr:rowOff>53754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8">
              <a:extLst>
                <a:ext uri="{FF2B5EF4-FFF2-40B4-BE49-F238E27FC236}">
                  <a16:creationId xmlns:a16="http://schemas.microsoft.com/office/drawing/2014/main" id="{6BFE3C91-F154-4539-9980-9178B7AEDE61}"/>
                </a:ext>
              </a:extLst>
            </xdr:cNvPr>
            <xdr:cNvSpPr txBox="1"/>
          </xdr:nvSpPr>
          <xdr:spPr>
            <a:xfrm>
              <a:off x="13884649" y="2867025"/>
              <a:ext cx="2313711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0            ,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15&lt;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60</m:t>
                            </m:r>
                          </m:e>
                          <m:e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,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60&lt;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8">
              <a:extLst>
                <a:ext uri="{FF2B5EF4-FFF2-40B4-BE49-F238E27FC236}">
                  <a16:creationId xmlns:a16="http://schemas.microsoft.com/office/drawing/2014/main" id="{6BFE3C91-F154-4539-9980-9178B7AEDE61}"/>
                </a:ext>
              </a:extLst>
            </xdr:cNvPr>
            <xdr:cNvSpPr txBox="1"/>
          </xdr:nvSpPr>
          <xdr:spPr>
            <a:xfrm>
              <a:off x="13884649" y="2867025"/>
              <a:ext cx="2313711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={█(0            ,𝑓𝑜𝑟 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60@6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,𝑓𝑜𝑟 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0)┤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14</xdr:col>
      <xdr:colOff>254375</xdr:colOff>
      <xdr:row>14</xdr:row>
      <xdr:rowOff>57150</xdr:rowOff>
    </xdr:from>
    <xdr:to>
      <xdr:col>18</xdr:col>
      <xdr:colOff>542925</xdr:colOff>
      <xdr:row>16</xdr:row>
      <xdr:rowOff>53754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8">
              <a:extLst>
                <a:ext uri="{FF2B5EF4-FFF2-40B4-BE49-F238E27FC236}">
                  <a16:creationId xmlns:a16="http://schemas.microsoft.com/office/drawing/2014/main" id="{812D5978-F2D9-4139-A0F9-58B9E7A20BC7}"/>
                </a:ext>
              </a:extLst>
            </xdr:cNvPr>
            <xdr:cNvSpPr txBox="1"/>
          </xdr:nvSpPr>
          <xdr:spPr>
            <a:xfrm>
              <a:off x="16123025" y="2867025"/>
              <a:ext cx="2612650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1 , 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&lt;0.5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0 , 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&gt;0.5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200"/>
            </a:p>
          </xdr:txBody>
        </xdr:sp>
      </mc:Choice>
      <mc:Fallback xmlns="">
        <xdr:sp macro="" textlink="">
          <xdr:nvSpPr>
            <xdr:cNvPr id="15" name="TextBox 18">
              <a:extLst>
                <a:ext uri="{FF2B5EF4-FFF2-40B4-BE49-F238E27FC236}">
                  <a16:creationId xmlns:a16="http://schemas.microsoft.com/office/drawing/2014/main" id="{812D5978-F2D9-4139-A0F9-58B9E7A20BC7}"/>
                </a:ext>
              </a:extLst>
            </xdr:cNvPr>
            <xdr:cNvSpPr txBox="1"/>
          </xdr:nvSpPr>
          <xdr:spPr>
            <a:xfrm>
              <a:off x="16123025" y="2867025"/>
              <a:ext cx="2612650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𝐹_𝐷={█(1 , 𝑓𝑜𝑟 𝐷&lt;0.5𝑚@0 , 𝑓𝑜𝑟 𝐷&gt;0.5𝑚)┤</a:t>
              </a:r>
              <a:endParaRPr lang="en-US" sz="200"/>
            </a:p>
          </xdr:txBody>
        </xdr:sp>
      </mc:Fallback>
    </mc:AlternateContent>
    <xdr:clientData/>
  </xdr:twoCellAnchor>
  <xdr:twoCellAnchor>
    <xdr:from>
      <xdr:col>10</xdr:col>
      <xdr:colOff>340099</xdr:colOff>
      <xdr:row>16</xdr:row>
      <xdr:rowOff>114300</xdr:rowOff>
    </xdr:from>
    <xdr:to>
      <xdr:col>20</xdr:col>
      <xdr:colOff>561974</xdr:colOff>
      <xdr:row>17</xdr:row>
      <xdr:rowOff>102025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8">
              <a:extLst>
                <a:ext uri="{FF2B5EF4-FFF2-40B4-BE49-F238E27FC236}">
                  <a16:creationId xmlns:a16="http://schemas.microsoft.com/office/drawing/2014/main" id="{E14BC22B-4CB9-4377-AE0B-7CEA76E38552}"/>
                </a:ext>
              </a:extLst>
            </xdr:cNvPr>
            <xdr:cNvSpPr txBox="1"/>
          </xdr:nvSpPr>
          <xdr:spPr>
            <a:xfrm>
              <a:off x="13884649" y="3305175"/>
              <a:ext cx="6032125" cy="187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−4.11127 + 0.60640 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+ 0.002805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0.038944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8">
              <a:extLst>
                <a:ext uri="{FF2B5EF4-FFF2-40B4-BE49-F238E27FC236}">
                  <a16:creationId xmlns:a16="http://schemas.microsoft.com/office/drawing/2014/main" id="{E14BC22B-4CB9-4377-AE0B-7CEA76E38552}"/>
                </a:ext>
              </a:extLst>
            </xdr:cNvPr>
            <xdr:cNvSpPr txBox="1"/>
          </xdr:nvSpPr>
          <xdr:spPr>
            <a:xfrm>
              <a:off x="13884649" y="3305175"/>
              <a:ext cx="6032125" cy="187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𝑏_0=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−4.11127 + 0.60640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+ 0.002805 𝐿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0.038944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340099</xdr:colOff>
      <xdr:row>17</xdr:row>
      <xdr:rowOff>190500</xdr:rowOff>
    </xdr:from>
    <xdr:to>
      <xdr:col>20</xdr:col>
      <xdr:colOff>561974</xdr:colOff>
      <xdr:row>18</xdr:row>
      <xdr:rowOff>138811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8">
              <a:extLst>
                <a:ext uri="{FF2B5EF4-FFF2-40B4-BE49-F238E27FC236}">
                  <a16:creationId xmlns:a16="http://schemas.microsoft.com/office/drawing/2014/main" id="{33697F15-9006-4163-9CD2-F51FDFF36969}"/>
                </a:ext>
              </a:extLst>
            </xdr:cNvPr>
            <xdr:cNvSpPr txBox="1"/>
          </xdr:nvSpPr>
          <xdr:spPr>
            <a:xfrm>
              <a:off x="13884649" y="3581400"/>
              <a:ext cx="6032125" cy="1864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2.29445 + (−0.04675 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+ (−0.00104)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−0.09201 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8">
              <a:extLst>
                <a:ext uri="{FF2B5EF4-FFF2-40B4-BE49-F238E27FC236}">
                  <a16:creationId xmlns:a16="http://schemas.microsoft.com/office/drawing/2014/main" id="{33697F15-9006-4163-9CD2-F51FDFF36969}"/>
                </a:ext>
              </a:extLst>
            </xdr:cNvPr>
            <xdr:cNvSpPr txBox="1"/>
          </xdr:nvSpPr>
          <xdr:spPr>
            <a:xfrm>
              <a:off x="13884649" y="3581400"/>
              <a:ext cx="6032125" cy="1864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2.29445 + (−0.04675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(−0.00104) 𝐿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−0.09201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); 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340099</xdr:colOff>
      <xdr:row>19</xdr:row>
      <xdr:rowOff>57150</xdr:rowOff>
    </xdr:from>
    <xdr:to>
      <xdr:col>20</xdr:col>
      <xdr:colOff>561974</xdr:colOff>
      <xdr:row>20</xdr:row>
      <xdr:rowOff>68180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4DF609DA-C1EA-41DF-8C5E-D6EAC6D337E3}"/>
                </a:ext>
              </a:extLst>
            </xdr:cNvPr>
            <xdr:cNvSpPr txBox="1"/>
          </xdr:nvSpPr>
          <xdr:spPr>
            <a:xfrm>
              <a:off x="13884649" y="3876675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0.42882+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0.09845 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+ 0.0006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0.01203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4DF609DA-C1EA-41DF-8C5E-D6EAC6D337E3}"/>
                </a:ext>
              </a:extLst>
            </xdr:cNvPr>
            <xdr:cNvSpPr txBox="1"/>
          </xdr:nvSpPr>
          <xdr:spPr>
            <a:xfrm>
              <a:off x="13884649" y="3876675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𝑏_2=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0.42882+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0.09845 𝐷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+ 0.0006 𝐿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0.01203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𝐹_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endParaRPr lang="en-US" sz="100"/>
            </a:p>
          </xdr:txBody>
        </xdr:sp>
      </mc:Fallback>
    </mc:AlternateContent>
    <xdr:clientData/>
  </xdr:twoCellAnchor>
  <xdr:twoCellAnchor>
    <xdr:from>
      <xdr:col>10</xdr:col>
      <xdr:colOff>340099</xdr:colOff>
      <xdr:row>20</xdr:row>
      <xdr:rowOff>161925</xdr:rowOff>
    </xdr:from>
    <xdr:to>
      <xdr:col>20</xdr:col>
      <xdr:colOff>561974</xdr:colOff>
      <xdr:row>21</xdr:row>
      <xdr:rowOff>172955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7ABC587-C7BD-40A9-B9EB-921CD6D9639C}"/>
                </a:ext>
              </a:extLst>
            </xdr:cNvPr>
            <xdr:cNvSpPr txBox="1"/>
          </xdr:nvSpPr>
          <xdr:spPr>
            <a:xfrm>
              <a:off x="13884649" y="4171950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2.64335 + (−0.36353) 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+ 0.00086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−0.05422 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7ABC587-C7BD-40A9-B9EB-921CD6D9639C}"/>
                </a:ext>
              </a:extLst>
            </xdr:cNvPr>
            <xdr:cNvSpPr txBox="1"/>
          </xdr:nvSpPr>
          <xdr:spPr>
            <a:xfrm>
              <a:off x="13884649" y="4171950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𝑏_3=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2.64335 + (−0.36353)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+ 0.00086 𝐿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−0.05422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 )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00"/>
            </a:p>
          </xdr:txBody>
        </xdr:sp>
      </mc:Fallback>
    </mc:AlternateContent>
    <xdr:clientData/>
  </xdr:twoCellAnchor>
  <xdr:twoCellAnchor>
    <xdr:from>
      <xdr:col>10</xdr:col>
      <xdr:colOff>340099</xdr:colOff>
      <xdr:row>21</xdr:row>
      <xdr:rowOff>180975</xdr:rowOff>
    </xdr:from>
    <xdr:to>
      <xdr:col>27</xdr:col>
      <xdr:colOff>257175</xdr:colOff>
      <xdr:row>23</xdr:row>
      <xdr:rowOff>97071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6FC73314-5249-44BD-B38C-F12E8E714137}"/>
                </a:ext>
              </a:extLst>
            </xdr:cNvPr>
            <xdr:cNvSpPr txBox="1"/>
          </xdr:nvSpPr>
          <xdr:spPr>
            <a:xfrm>
              <a:off x="13884649" y="4381500"/>
              <a:ext cx="9794501" cy="354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=−4.57877−0.04142</m:t>
                    </m:r>
                    <m:d>
                      <m:d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e>
                              <m:sup>
                                <m: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d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+0.9346</m:t>
                    </m:r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num>
                              <m:den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+0.4714</m:t>
                    </m:r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𝑢𝑙𝑡</m:t>
                                </m:r>
                              </m:sub>
                            </m:sSub>
                          </m:e>
                        </m:d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0.00007 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(180−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𝜓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)−5.2467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−0.5)−0.28986(1−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6FC73314-5249-44BD-B38C-F12E8E714137}"/>
                </a:ext>
              </a:extLst>
            </xdr:cNvPr>
            <xdr:cNvSpPr txBox="1"/>
          </xdr:nvSpPr>
          <xdr:spPr>
            <a:xfrm>
              <a:off x="13884649" y="4381500"/>
              <a:ext cx="9794501" cy="354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𝑏_4=−4.57877−0.04142(ln^2⁡(𝐷/𝑡) )+0.9346 ln⁡(𝐷/𝑡)+0.4714 ln⁡〖(𝑡_𝑢𝑙𝑡 )+〗 0.00007 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(180−𝜓)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−5.2467𝐹_𝐷 (𝐷−0.5)−0.28986(1−𝐹_𝐷)</a:t>
              </a:r>
              <a:endParaRPr lang="en-US" sz="100"/>
            </a:p>
          </xdr:txBody>
        </xdr:sp>
      </mc:Fallback>
    </mc:AlternateContent>
    <xdr:clientData/>
  </xdr:twoCellAnchor>
  <xdr:twoCellAnchor editAs="oneCell">
    <xdr:from>
      <xdr:col>8</xdr:col>
      <xdr:colOff>502227</xdr:colOff>
      <xdr:row>39</xdr:row>
      <xdr:rowOff>0</xdr:rowOff>
    </xdr:from>
    <xdr:to>
      <xdr:col>31</xdr:col>
      <xdr:colOff>283218</xdr:colOff>
      <xdr:row>58</xdr:row>
      <xdr:rowOff>189123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55A3F4C-B1A6-47C4-AD07-431A9F5FE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4727" y="7953375"/>
          <a:ext cx="13144566" cy="4075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29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1F94C9-D886-48DD-96E4-067ABE88F264}"/>
            </a:ext>
          </a:extLst>
        </xdr:cNvPr>
        <xdr:cNvSpPr txBox="1"/>
      </xdr:nvSpPr>
      <xdr:spPr>
        <a:xfrm>
          <a:off x="15214600" y="603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0</xdr:colOff>
      <xdr:row>91</xdr:row>
      <xdr:rowOff>0</xdr:rowOff>
    </xdr:from>
    <xdr:to>
      <xdr:col>7</xdr:col>
      <xdr:colOff>1072001</xdr:colOff>
      <xdr:row>105</xdr:row>
      <xdr:rowOff>98715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4E05F-0A32-4008-964D-FC5FAA5E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63499</xdr:colOff>
      <xdr:row>15</xdr:row>
      <xdr:rowOff>45357</xdr:rowOff>
    </xdr:from>
    <xdr:to>
      <xdr:col>18</xdr:col>
      <xdr:colOff>292100</xdr:colOff>
      <xdr:row>24</xdr:row>
      <xdr:rowOff>22225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44F8DC-FE68-4DE3-BF4A-6E61BDCAE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2874" y="3020332"/>
          <a:ext cx="5715001" cy="169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zheng_slategeotech_com/Documents/CEC/Fragility%20Models/4b/Pipe%20Strain%20Predictive%20Normal%20Slip%20Model%20Hutabarat%20et%20a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Model Normal-Slip"/>
      <sheetName val="Test Case"/>
      <sheetName val="Coefficient"/>
    </sheetNames>
    <sheetDataSet>
      <sheetData sheetId="0">
        <row r="84">
          <cell r="B84">
            <v>1.222844544993852E-2</v>
          </cell>
          <cell r="C84">
            <v>1.9085875631063436E-18</v>
          </cell>
        </row>
        <row r="85">
          <cell r="B85">
            <v>1.8285790999795749E-2</v>
          </cell>
          <cell r="C85">
            <v>5.5739467408180941E-16</v>
          </cell>
        </row>
        <row r="86">
          <cell r="B86">
            <v>2.7343635285210541E-2</v>
          </cell>
          <cell r="C86">
            <v>1.0449777157001486E-13</v>
          </cell>
        </row>
        <row r="87">
          <cell r="B87">
            <v>4.0888271697897133E-2</v>
          </cell>
          <cell r="C87">
            <v>1.2590128861359489E-11</v>
          </cell>
        </row>
        <row r="88">
          <cell r="B88">
            <v>5.4525386633262889E-2</v>
          </cell>
          <cell r="C88">
            <v>2.9588405440300864E-10</v>
          </cell>
        </row>
        <row r="89">
          <cell r="B89">
            <v>6.4841977732550501E-2</v>
          </cell>
          <cell r="C89">
            <v>1.7761506845068918E-9</v>
          </cell>
        </row>
        <row r="90">
          <cell r="B90">
            <v>7.7110541270397057E-2</v>
          </cell>
          <cell r="C90">
            <v>9.8289505132512206E-9</v>
          </cell>
        </row>
        <row r="91">
          <cell r="B91">
            <v>9.1700404320467138E-2</v>
          </cell>
          <cell r="C91">
            <v>5.0151545683384232E-8</v>
          </cell>
        </row>
        <row r="92">
          <cell r="B92">
            <v>0.10905077326652579</v>
          </cell>
          <cell r="C92">
            <v>2.3599506752386917E-7</v>
          </cell>
        </row>
        <row r="93">
          <cell r="B93">
            <v>0.129683955465101</v>
          </cell>
          <cell r="C93">
            <v>1.0243947312270585E-6</v>
          </cell>
        </row>
        <row r="94">
          <cell r="B94">
            <v>0.15422108254079411</v>
          </cell>
          <cell r="C94">
            <v>4.1029578395117752E-6</v>
          </cell>
        </row>
        <row r="95">
          <cell r="B95">
            <v>0.18340080864093428</v>
          </cell>
          <cell r="C95">
            <v>1.5168043717758784E-5</v>
          </cell>
        </row>
        <row r="96">
          <cell r="B96">
            <v>0.21810154653305155</v>
          </cell>
          <cell r="C96">
            <v>5.1775451297931329E-5</v>
          </cell>
        </row>
        <row r="97">
          <cell r="B97">
            <v>0.25936791093020195</v>
          </cell>
          <cell r="C97">
            <v>1.6325439882083033E-4</v>
          </cell>
        </row>
        <row r="98">
          <cell r="B98">
            <v>0.30844216508158817</v>
          </cell>
          <cell r="C98">
            <v>4.7573895813367317E-4</v>
          </cell>
        </row>
        <row r="99">
          <cell r="B99">
            <v>0.3668016172818685</v>
          </cell>
          <cell r="C99">
            <v>1.2820044461482921E-3</v>
          </cell>
        </row>
        <row r="100">
          <cell r="B100">
            <v>0.43620309306610311</v>
          </cell>
          <cell r="C100">
            <v>3.196891815507173E-3</v>
          </cell>
        </row>
        <row r="101">
          <cell r="B101">
            <v>0.5187358218604039</v>
          </cell>
          <cell r="C101">
            <v>7.383147639853282E-3</v>
          </cell>
        </row>
        <row r="102">
          <cell r="B102">
            <v>0.61688433016317634</v>
          </cell>
          <cell r="C102">
            <v>1.5807319603985841E-2</v>
          </cell>
        </row>
        <row r="103">
          <cell r="B103">
            <v>0.73360323456373699</v>
          </cell>
          <cell r="C103">
            <v>3.1411789569369651E-2</v>
          </cell>
        </row>
        <row r="104">
          <cell r="B104">
            <v>0.84159160440691538</v>
          </cell>
          <cell r="C104">
            <v>5.1386056281393755E-2</v>
          </cell>
        </row>
        <row r="105">
          <cell r="B105">
            <v>0.93137421236871865</v>
          </cell>
          <cell r="C105">
            <v>7.1786149694018073E-2</v>
          </cell>
        </row>
        <row r="106">
          <cell r="B106">
            <v>1.0307350013035885</v>
          </cell>
          <cell r="C106">
            <v>9.788921937675657E-2</v>
          </cell>
        </row>
        <row r="107">
          <cell r="B107">
            <v>1.1406957899449688</v>
          </cell>
          <cell r="C107">
            <v>0.13035192765150305</v>
          </cell>
        </row>
        <row r="108">
          <cell r="B108">
            <v>1.2439375795536929</v>
          </cell>
          <cell r="C108">
            <v>0.16346324966798531</v>
          </cell>
        </row>
        <row r="109">
          <cell r="B109">
            <v>1.3366979200537537</v>
          </cell>
          <cell r="C109">
            <v>0.19476889524471244</v>
          </cell>
        </row>
        <row r="110">
          <cell r="B110">
            <v>1.4363753928208323</v>
          </cell>
          <cell r="C110">
            <v>0.22947153502583181</v>
          </cell>
        </row>
        <row r="111">
          <cell r="B111">
            <v>1.5434858079364953</v>
          </cell>
          <cell r="C111">
            <v>0.26739166210394538</v>
          </cell>
        </row>
        <row r="112">
          <cell r="B112">
            <v>1.6742525317171835</v>
          </cell>
          <cell r="C112">
            <v>0.31377371331755766</v>
          </cell>
        </row>
        <row r="113">
          <cell r="B113">
            <v>1.8332552089809921</v>
          </cell>
          <cell r="C113">
            <v>0.36920067296819342</v>
          </cell>
        </row>
        <row r="114">
          <cell r="B114">
            <v>2.0073582673988493</v>
          </cell>
          <cell r="C114">
            <v>0.42749296947746895</v>
          </cell>
        </row>
        <row r="115">
          <cell r="B115">
            <v>2.1979957803770724</v>
          </cell>
          <cell r="C115">
            <v>0.48741550562592878</v>
          </cell>
        </row>
        <row r="116">
          <cell r="B116">
            <v>2.377672382641121</v>
          </cell>
          <cell r="C116">
            <v>0.53959372946496931</v>
          </cell>
        </row>
        <row r="117">
          <cell r="B117">
            <v>2.5409748588273868</v>
          </cell>
          <cell r="C117">
            <v>0.58321295563774544</v>
          </cell>
        </row>
        <row r="118">
          <cell r="B118">
            <v>2.7154932194741281</v>
          </cell>
          <cell r="C118">
            <v>0.62583022130002286</v>
          </cell>
        </row>
        <row r="119">
          <cell r="B119">
            <v>2.9019977900973353</v>
          </cell>
          <cell r="C119">
            <v>0.66696182622713318</v>
          </cell>
        </row>
        <row r="120">
          <cell r="B120">
            <v>3.1978077331521191</v>
          </cell>
          <cell r="C120">
            <v>0.7235151679039008</v>
          </cell>
        </row>
        <row r="121">
          <cell r="B121">
            <v>3.6334110766469716</v>
          </cell>
          <cell r="C121">
            <v>0.78992471557995225</v>
          </cell>
        </row>
        <row r="122">
          <cell r="B122">
            <v>4.1283520316238169</v>
          </cell>
          <cell r="C122">
            <v>0.84589948112685109</v>
          </cell>
        </row>
        <row r="123">
          <cell r="B123">
            <v>4.6907135299264269</v>
          </cell>
          <cell r="C123">
            <v>0.89099707905352354</v>
          </cell>
        </row>
        <row r="124">
          <cell r="B124">
            <v>5.4525386633262878</v>
          </cell>
          <cell r="C124">
            <v>0.93091970843214933</v>
          </cell>
        </row>
        <row r="125">
          <cell r="B125">
            <v>6.4841977732550484</v>
          </cell>
          <cell r="C125">
            <v>0.96176012914518594</v>
          </cell>
        </row>
        <row r="126">
          <cell r="B126">
            <v>7.7110541270397031</v>
          </cell>
          <cell r="C126">
            <v>0.98031498815607976</v>
          </cell>
        </row>
        <row r="127">
          <cell r="B127">
            <v>9.1700404320467115</v>
          </cell>
          <cell r="C127">
            <v>0.99059081958621853</v>
          </cell>
        </row>
        <row r="128">
          <cell r="B128">
            <v>10</v>
          </cell>
          <cell r="C128">
            <v>0.99367574474989995</v>
          </cell>
        </row>
      </sheetData>
      <sheetData sheetId="1"/>
      <sheetData sheetId="2">
        <row r="3">
          <cell r="A3">
            <v>30</v>
          </cell>
          <cell r="B3">
            <v>3.9632999999999998</v>
          </cell>
          <cell r="C3">
            <v>0.29370000000000002</v>
          </cell>
          <cell r="D3">
            <v>1.2438</v>
          </cell>
          <cell r="E3">
            <v>-0.70199999999999996</v>
          </cell>
          <cell r="F3">
            <v>-0.3957</v>
          </cell>
          <cell r="G3">
            <v>-0.40510000000000002</v>
          </cell>
          <cell r="H3">
            <v>1E-4</v>
          </cell>
        </row>
        <row r="4">
          <cell r="A4">
            <v>45</v>
          </cell>
          <cell r="B4">
            <v>3.7532999999999999</v>
          </cell>
          <cell r="C4">
            <v>0.14510000000000001</v>
          </cell>
          <cell r="D4">
            <v>1.2497</v>
          </cell>
          <cell r="E4">
            <v>-0.46100000000000002</v>
          </cell>
          <cell r="F4">
            <v>0.39140000000000003</v>
          </cell>
          <cell r="G4">
            <v>-0.21310000000000001</v>
          </cell>
          <cell r="H4">
            <v>-0.34139999999999998</v>
          </cell>
        </row>
        <row r="5">
          <cell r="A5">
            <v>60</v>
          </cell>
          <cell r="B5">
            <v>4.3182999999999998</v>
          </cell>
          <cell r="C5">
            <v>-2.7900000000000001E-2</v>
          </cell>
          <cell r="D5">
            <v>1.0497000000000001</v>
          </cell>
          <cell r="E5">
            <v>-0.46910000000000002</v>
          </cell>
          <cell r="F5">
            <v>0.29149999999999998</v>
          </cell>
          <cell r="G5">
            <v>-0.28610000000000002</v>
          </cell>
          <cell r="H5">
            <v>-0.1348</v>
          </cell>
        </row>
        <row r="6">
          <cell r="A6">
            <v>75</v>
          </cell>
          <cell r="B6">
            <v>5.5951000000000004</v>
          </cell>
          <cell r="C6">
            <v>1.6E-2</v>
          </cell>
          <cell r="D6">
            <v>1.2641</v>
          </cell>
          <cell r="E6">
            <v>-0.52429999999999999</v>
          </cell>
          <cell r="F6">
            <v>0.35830000000000001</v>
          </cell>
          <cell r="G6">
            <v>-0.35920000000000002</v>
          </cell>
          <cell r="H6">
            <v>-0.2482</v>
          </cell>
        </row>
        <row r="7">
          <cell r="A7">
            <v>90</v>
          </cell>
          <cell r="B7">
            <v>14.575100000000001</v>
          </cell>
          <cell r="C7">
            <v>0.1356</v>
          </cell>
          <cell r="D7">
            <v>2.9990000000000001</v>
          </cell>
          <cell r="E7">
            <v>-0.94710000000000005</v>
          </cell>
          <cell r="F7">
            <v>0.6603</v>
          </cell>
          <cell r="G7">
            <v>-1.2488999999999999</v>
          </cell>
          <cell r="H7">
            <v>-0.44140000000000001</v>
          </cell>
        </row>
        <row r="10">
          <cell r="A10">
            <v>30</v>
          </cell>
          <cell r="B10">
            <v>0.80179999999999996</v>
          </cell>
          <cell r="C10">
            <v>2.6499999999999999E-2</v>
          </cell>
          <cell r="D10">
            <v>0</v>
          </cell>
          <cell r="E10">
            <v>1.7999999999999999E-2</v>
          </cell>
          <cell r="F10">
            <v>0.14169999999999999</v>
          </cell>
          <cell r="G10">
            <v>1.1363000000000001</v>
          </cell>
          <cell r="H10">
            <v>1.1999999999999999E-3</v>
          </cell>
          <cell r="I10">
            <v>3.8E-3</v>
          </cell>
          <cell r="J10">
            <v>0</v>
          </cell>
          <cell r="K10">
            <v>3.2000000000000002E-3</v>
          </cell>
          <cell r="L10">
            <v>2.1297000000000001</v>
          </cell>
          <cell r="M10">
            <v>1E-3</v>
          </cell>
          <cell r="N10">
            <v>0</v>
          </cell>
          <cell r="O10">
            <v>-0.38669999999999999</v>
          </cell>
          <cell r="P10">
            <v>0.34899999999999998</v>
          </cell>
        </row>
        <row r="11">
          <cell r="A11">
            <v>45</v>
          </cell>
          <cell r="B11">
            <v>-1.1082000000000001</v>
          </cell>
          <cell r="C11">
            <v>0.10630000000000001</v>
          </cell>
          <cell r="D11">
            <v>-0.1439</v>
          </cell>
          <cell r="E11">
            <v>0.27879999999999999</v>
          </cell>
          <cell r="F11">
            <v>-0.31030000000000002</v>
          </cell>
          <cell r="G11">
            <v>1.2553000000000001</v>
          </cell>
          <cell r="H11">
            <v>2.9999999999999997E-4</v>
          </cell>
          <cell r="I11">
            <v>5.1999999999999998E-3</v>
          </cell>
          <cell r="J11">
            <v>-8.5900000000000004E-2</v>
          </cell>
          <cell r="K11">
            <v>5.9999999999999995E-4</v>
          </cell>
          <cell r="L11">
            <v>-0.21759999999999999</v>
          </cell>
          <cell r="M11">
            <v>-2.69E-2</v>
          </cell>
          <cell r="N11">
            <v>0.57389999999999997</v>
          </cell>
          <cell r="O11">
            <v>0.34460000000000002</v>
          </cell>
          <cell r="P11">
            <v>0.3997</v>
          </cell>
        </row>
        <row r="12">
          <cell r="A12">
            <v>60</v>
          </cell>
          <cell r="B12">
            <v>-2.1276999999999999</v>
          </cell>
          <cell r="C12">
            <v>0.14760000000000001</v>
          </cell>
          <cell r="D12">
            <v>-0.21829999999999999</v>
          </cell>
          <cell r="E12">
            <v>0.42270000000000002</v>
          </cell>
          <cell r="F12">
            <v>-0.53720000000000001</v>
          </cell>
          <cell r="G12">
            <v>1.252</v>
          </cell>
          <cell r="H12">
            <v>-5.9999999999999995E-4</v>
          </cell>
          <cell r="I12">
            <v>5.3E-3</v>
          </cell>
          <cell r="J12">
            <v>-4.8500000000000001E-2</v>
          </cell>
          <cell r="K12">
            <v>1.2999999999999999E-3</v>
          </cell>
          <cell r="L12">
            <v>-0.56599999999999995</v>
          </cell>
          <cell r="M12">
            <v>-3.2099999999999997E-2</v>
          </cell>
          <cell r="N12">
            <v>0.84970000000000001</v>
          </cell>
          <cell r="O12">
            <v>9.01E-2</v>
          </cell>
          <cell r="P12">
            <v>0.50170000000000003</v>
          </cell>
        </row>
        <row r="13">
          <cell r="A13">
            <v>75</v>
          </cell>
          <cell r="B13">
            <v>-2.3450000000000002</v>
          </cell>
          <cell r="C13">
            <v>0.19470000000000001</v>
          </cell>
          <cell r="D13">
            <v>-0.2044</v>
          </cell>
          <cell r="E13">
            <v>0.4143</v>
          </cell>
          <cell r="F13">
            <v>-0.55710000000000004</v>
          </cell>
          <cell r="G13">
            <v>1.0931</v>
          </cell>
          <cell r="H13">
            <v>1E-4</v>
          </cell>
          <cell r="I13">
            <v>3.5000000000000001E-3</v>
          </cell>
          <cell r="J13">
            <v>-4.07E-2</v>
          </cell>
          <cell r="K13">
            <v>1.6000000000000001E-3</v>
          </cell>
          <cell r="L13">
            <v>-0.65949999999999998</v>
          </cell>
          <cell r="M13">
            <v>-3.0099999999999998E-2</v>
          </cell>
          <cell r="N13">
            <v>0.84219999999999995</v>
          </cell>
          <cell r="O13">
            <v>0.50680000000000003</v>
          </cell>
          <cell r="P13">
            <v>0.43780000000000002</v>
          </cell>
        </row>
        <row r="14">
          <cell r="A14">
            <v>90</v>
          </cell>
          <cell r="B14">
            <v>5.1353999999999997</v>
          </cell>
          <cell r="C14">
            <v>-4.9599999999999998E-2</v>
          </cell>
          <cell r="D14">
            <v>0.44590000000000002</v>
          </cell>
          <cell r="E14">
            <v>-0.83709999999999996</v>
          </cell>
          <cell r="F14">
            <v>0.63090000000000002</v>
          </cell>
          <cell r="G14">
            <v>0.91390000000000005</v>
          </cell>
          <cell r="H14">
            <v>2.5000000000000001E-3</v>
          </cell>
          <cell r="I14">
            <v>1.6000000000000001E-3</v>
          </cell>
          <cell r="J14">
            <v>-9.7500000000000003E-2</v>
          </cell>
          <cell r="K14">
            <v>1.1999999999999999E-3</v>
          </cell>
          <cell r="L14">
            <v>0.46479999999999999</v>
          </cell>
          <cell r="M14">
            <v>8.0000000000000004E-4</v>
          </cell>
          <cell r="N14">
            <v>6.7900000000000002E-2</v>
          </cell>
          <cell r="O14">
            <v>0.58979999999999999</v>
          </cell>
          <cell r="P14">
            <v>0.34749999999999998</v>
          </cell>
        </row>
        <row r="18">
          <cell r="E18">
            <v>13.08197373</v>
          </cell>
          <cell r="F18">
            <v>17.16864833</v>
          </cell>
          <cell r="G18">
            <v>22.265246900000001</v>
          </cell>
        </row>
        <row r="19">
          <cell r="E19">
            <v>-1.03819712</v>
          </cell>
          <cell r="F19">
            <v>-1.57125015</v>
          </cell>
          <cell r="G19">
            <v>-3.5677026399999998</v>
          </cell>
        </row>
        <row r="20">
          <cell r="E20">
            <v>0.57950358000000002</v>
          </cell>
          <cell r="F20">
            <v>0.58594570999999995</v>
          </cell>
          <cell r="G20">
            <v>1.08316196</v>
          </cell>
        </row>
        <row r="21">
          <cell r="E21">
            <v>-7.2290160000000006E-2</v>
          </cell>
          <cell r="F21">
            <v>-6.3292440000000005E-2</v>
          </cell>
          <cell r="G21">
            <v>-0.10313583</v>
          </cell>
        </row>
        <row r="22">
          <cell r="E22">
            <v>2.77969E-3</v>
          </cell>
          <cell r="F22">
            <v>2.2038600000000002E-3</v>
          </cell>
          <cell r="G22">
            <v>3.18987E-3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AF8F-DC61-47E3-BD43-5FA40AEA5E96}">
  <sheetPr>
    <tabColor theme="9" tint="0.59999389629810485"/>
  </sheetPr>
  <dimension ref="A1:AE111"/>
  <sheetViews>
    <sheetView topLeftCell="A13" zoomScale="115" zoomScaleNormal="115" workbookViewId="0">
      <selection activeCell="B55" sqref="B55"/>
    </sheetView>
  </sheetViews>
  <sheetFormatPr defaultColWidth="8.7109375" defaultRowHeight="15" x14ac:dyDescent="0.25"/>
  <cols>
    <col min="1" max="1" width="15.140625" style="10" customWidth="1"/>
    <col min="2" max="2" width="21.140625" style="10" customWidth="1"/>
    <col min="3" max="4" width="13.7109375" style="10" customWidth="1"/>
    <col min="5" max="5" width="23.42578125" style="10" customWidth="1"/>
    <col min="6" max="6" width="13.7109375" style="10" customWidth="1"/>
    <col min="7" max="7" width="29.42578125" style="10" bestFit="1" customWidth="1"/>
    <col min="8" max="8" width="55.42578125" style="10" bestFit="1" customWidth="1"/>
    <col min="9" max="9" width="8.7109375" style="10" customWidth="1"/>
    <col min="10" max="13" width="8.7109375" style="10"/>
    <col min="14" max="15" width="8.7109375" style="10" customWidth="1"/>
    <col min="16" max="20" width="8.7109375" style="10"/>
  </cols>
  <sheetData>
    <row r="1" spans="1:31" x14ac:dyDescent="0.25">
      <c r="A1" s="47" t="s">
        <v>210</v>
      </c>
      <c r="B1" s="48"/>
      <c r="C1" s="48"/>
      <c r="D1" s="48"/>
      <c r="E1" s="48"/>
      <c r="F1" s="48"/>
      <c r="G1" s="48"/>
      <c r="H1" s="48"/>
    </row>
    <row r="2" spans="1:31" x14ac:dyDescent="0.25">
      <c r="A2" s="15" t="s">
        <v>211</v>
      </c>
      <c r="C2" s="49" t="s">
        <v>212</v>
      </c>
      <c r="D2" s="15"/>
      <c r="E2" s="15"/>
      <c r="F2" s="15"/>
    </row>
    <row r="3" spans="1:31" x14ac:dyDescent="0.25">
      <c r="A3" s="15" t="s">
        <v>213</v>
      </c>
      <c r="C3" s="10">
        <v>1</v>
      </c>
      <c r="E3" s="15" t="s">
        <v>214</v>
      </c>
      <c r="J3" s="48"/>
      <c r="K3" s="15" t="s">
        <v>215</v>
      </c>
    </row>
    <row r="4" spans="1:31" x14ac:dyDescent="0.25">
      <c r="A4" s="15" t="s">
        <v>216</v>
      </c>
      <c r="C4" s="50">
        <v>44675</v>
      </c>
      <c r="D4" s="51"/>
      <c r="E4" s="52" t="s">
        <v>217</v>
      </c>
      <c r="F4" s="51"/>
      <c r="J4" s="53"/>
      <c r="K4" s="15" t="s">
        <v>218</v>
      </c>
    </row>
    <row r="5" spans="1:31" x14ac:dyDescent="0.25">
      <c r="A5" s="15" t="s">
        <v>219</v>
      </c>
      <c r="C5" s="10">
        <v>1</v>
      </c>
      <c r="D5" s="51"/>
      <c r="E5" s="54" t="s">
        <v>220</v>
      </c>
      <c r="F5" s="51"/>
      <c r="I5" s="15"/>
      <c r="J5" s="15"/>
    </row>
    <row r="7" spans="1:31" ht="15.75" thickBot="1" x14ac:dyDescent="0.3">
      <c r="A7" s="125" t="s">
        <v>221</v>
      </c>
      <c r="B7" s="125"/>
      <c r="C7" s="125"/>
      <c r="D7" s="125"/>
      <c r="E7" s="125"/>
      <c r="F7" s="125"/>
      <c r="G7" s="125"/>
      <c r="H7" s="125"/>
      <c r="J7" s="126" t="s">
        <v>315</v>
      </c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97"/>
      <c r="X7" s="97"/>
      <c r="Y7" s="97"/>
      <c r="Z7" s="97"/>
      <c r="AA7" s="97"/>
      <c r="AB7" s="97"/>
      <c r="AC7" s="97"/>
      <c r="AD7" s="97"/>
      <c r="AE7" s="98"/>
    </row>
    <row r="8" spans="1:31" ht="18.75" thickTop="1" x14ac:dyDescent="0.25">
      <c r="A8" s="17"/>
      <c r="B8" s="17" t="s">
        <v>222</v>
      </c>
      <c r="C8" s="17" t="s">
        <v>223</v>
      </c>
      <c r="D8" s="17" t="s">
        <v>224</v>
      </c>
      <c r="E8" s="17" t="s">
        <v>225</v>
      </c>
      <c r="F8" s="17" t="s">
        <v>226</v>
      </c>
      <c r="G8" s="55" t="s">
        <v>227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31" x14ac:dyDescent="0.25">
      <c r="A9" s="56" t="s">
        <v>110</v>
      </c>
      <c r="B9" s="48">
        <v>0.20319999999999999</v>
      </c>
      <c r="C9" s="57"/>
      <c r="D9" s="58">
        <v>1</v>
      </c>
      <c r="E9" s="10">
        <v>0.1016</v>
      </c>
      <c r="F9" s="10">
        <v>1.0669999999999999</v>
      </c>
      <c r="G9" s="10" t="s">
        <v>58</v>
      </c>
      <c r="H9" s="15" t="s">
        <v>229</v>
      </c>
      <c r="J9" s="124" t="s">
        <v>316</v>
      </c>
      <c r="K9" s="124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</row>
    <row r="10" spans="1:31" x14ac:dyDescent="0.25">
      <c r="A10" s="56" t="s">
        <v>111</v>
      </c>
      <c r="B10" s="48">
        <v>1.1129999999999999E-2</v>
      </c>
      <c r="C10" s="57"/>
      <c r="D10" s="58">
        <v>5</v>
      </c>
      <c r="E10" s="10">
        <v>5.0000000000000001E-3</v>
      </c>
      <c r="F10" s="10">
        <v>2.1000000000000001E-2</v>
      </c>
      <c r="G10" s="10" t="s">
        <v>58</v>
      </c>
      <c r="H10" s="15" t="s">
        <v>230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</row>
    <row r="11" spans="1:31" x14ac:dyDescent="0.25">
      <c r="A11" s="10" t="s">
        <v>112</v>
      </c>
      <c r="B11" s="59">
        <f>B9/B10</f>
        <v>18.256963162623542</v>
      </c>
      <c r="H11" s="15" t="s">
        <v>231</v>
      </c>
      <c r="J11" s="124" t="s">
        <v>317</v>
      </c>
      <c r="K11" s="124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</row>
    <row r="12" spans="1:31" ht="18.75" x14ac:dyDescent="0.35">
      <c r="A12" s="60" t="s">
        <v>232</v>
      </c>
      <c r="B12" s="61">
        <v>30</v>
      </c>
      <c r="C12" s="58"/>
      <c r="D12" s="58">
        <v>40</v>
      </c>
      <c r="E12" s="58"/>
      <c r="F12" s="58"/>
      <c r="G12" s="58" t="s">
        <v>233</v>
      </c>
      <c r="H12" s="62" t="s">
        <v>234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</row>
    <row r="13" spans="1:31" x14ac:dyDescent="0.25">
      <c r="A13" s="10" t="s">
        <v>121</v>
      </c>
      <c r="B13" s="61">
        <f>LN(B11)</f>
        <v>2.9045465504168733</v>
      </c>
      <c r="C13" s="58"/>
      <c r="D13" s="58"/>
      <c r="E13" s="58"/>
      <c r="F13" s="58"/>
      <c r="G13" s="58"/>
      <c r="H13" s="62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</row>
    <row r="14" spans="1:31" ht="18" x14ac:dyDescent="0.25">
      <c r="A14" s="10" t="s">
        <v>160</v>
      </c>
      <c r="B14" s="59">
        <f>LN(B27)</f>
        <v>1.6633066962458134</v>
      </c>
      <c r="C14" s="58"/>
      <c r="D14" s="58"/>
      <c r="E14" s="58"/>
      <c r="F14" s="58"/>
      <c r="H14" s="1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</row>
    <row r="15" spans="1:31" x14ac:dyDescent="0.25"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98"/>
      <c r="X15" s="98"/>
      <c r="Y15" s="98"/>
      <c r="Z15" s="98"/>
      <c r="AA15" s="98"/>
      <c r="AB15" s="98"/>
      <c r="AC15" s="98"/>
      <c r="AD15" s="98"/>
      <c r="AE15" s="98"/>
    </row>
    <row r="16" spans="1:31" x14ac:dyDescent="0.25">
      <c r="I16" s="1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98"/>
      <c r="X16" s="99"/>
      <c r="Y16" s="99"/>
      <c r="Z16" s="99"/>
      <c r="AA16" s="99"/>
      <c r="AB16" s="99"/>
      <c r="AC16" s="99"/>
      <c r="AD16" s="99"/>
      <c r="AE16" s="98"/>
    </row>
    <row r="17" spans="1:31" ht="15.75" thickBot="1" x14ac:dyDescent="0.3">
      <c r="A17" s="125" t="s">
        <v>242</v>
      </c>
      <c r="B17" s="125"/>
      <c r="C17" s="125"/>
      <c r="D17" s="125"/>
      <c r="E17" s="125"/>
      <c r="F17" s="125"/>
      <c r="G17" s="125"/>
      <c r="H17" s="125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98"/>
      <c r="X17" s="98"/>
      <c r="Y17" s="98"/>
      <c r="Z17" s="98"/>
      <c r="AA17" s="98"/>
      <c r="AB17" s="98"/>
      <c r="AC17" s="98"/>
      <c r="AD17" s="98"/>
      <c r="AE17" s="98"/>
    </row>
    <row r="18" spans="1:31" ht="18.75" thickTop="1" x14ac:dyDescent="0.25">
      <c r="A18" s="17"/>
      <c r="B18" s="17" t="s">
        <v>222</v>
      </c>
      <c r="C18" s="17" t="s">
        <v>223</v>
      </c>
      <c r="D18" s="17" t="s">
        <v>224</v>
      </c>
      <c r="E18" s="17" t="s">
        <v>225</v>
      </c>
      <c r="F18" s="17" t="s">
        <v>226</v>
      </c>
      <c r="G18" s="55" t="s">
        <v>227</v>
      </c>
      <c r="H18" s="55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98"/>
      <c r="X18" s="98"/>
      <c r="Y18" s="98"/>
      <c r="Z18" s="98"/>
      <c r="AA18" s="98"/>
      <c r="AB18" s="98"/>
      <c r="AC18" s="98"/>
      <c r="AD18" s="98"/>
      <c r="AE18" s="98"/>
    </row>
    <row r="19" spans="1:31" x14ac:dyDescent="0.25">
      <c r="A19" s="13" t="s">
        <v>244</v>
      </c>
      <c r="B19" s="48">
        <v>75</v>
      </c>
      <c r="C19" s="58"/>
      <c r="D19" s="58">
        <v>10</v>
      </c>
      <c r="E19" s="10">
        <v>15</v>
      </c>
      <c r="F19" s="10">
        <v>89</v>
      </c>
      <c r="G19" s="10" t="s">
        <v>58</v>
      </c>
      <c r="H19" s="49" t="s">
        <v>245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</row>
    <row r="20" spans="1:31" x14ac:dyDescent="0.25">
      <c r="A20" s="10" t="s">
        <v>117</v>
      </c>
      <c r="B20" s="48" t="s">
        <v>143</v>
      </c>
      <c r="D20" s="58"/>
      <c r="H20" s="49" t="s">
        <v>246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</row>
    <row r="21" spans="1:31" x14ac:dyDescent="0.25">
      <c r="A21" s="10" t="s">
        <v>118</v>
      </c>
      <c r="B21" s="48" t="s">
        <v>144</v>
      </c>
      <c r="D21" s="58"/>
      <c r="H21" s="49" t="s">
        <v>247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</row>
    <row r="22" spans="1:31" ht="17.25" x14ac:dyDescent="0.25">
      <c r="A22" s="13" t="s">
        <v>151</v>
      </c>
      <c r="B22" s="10">
        <f>IF(B21="Medium Dense (Sand)",18,IF(B21="Dense (Sand)",18.5,IF(B21="Very Dense (Sand)",19,IF(B21="Soft (Clay)",17.5,IF(B21="Medium (Clay)",18,IF(B21="Stiff (Clay)",18.5,0))))))</f>
        <v>18</v>
      </c>
      <c r="D22" s="58"/>
      <c r="H22" s="15" t="s">
        <v>248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1" ht="17.25" x14ac:dyDescent="0.25">
      <c r="A23" s="13" t="s">
        <v>152</v>
      </c>
      <c r="B23" s="10">
        <f>IF(B21="Medium Dense (Sand)",37,IF(B21="Dense (Sand)",40,IF(B21="Very Dense (Sand)",43,0)))</f>
        <v>37</v>
      </c>
      <c r="D23" s="58"/>
      <c r="H23" s="49" t="s">
        <v>249</v>
      </c>
      <c r="J23" s="124"/>
      <c r="K23" s="124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1" ht="18" x14ac:dyDescent="0.25">
      <c r="A24" s="10" t="s">
        <v>153</v>
      </c>
      <c r="B24" s="10">
        <f>IF(B21="Soft (Clay)",37.5,IF(B21="Medium (Clay)",75,IF(B21="Stiff (Clay)",125,0)))</f>
        <v>0</v>
      </c>
      <c r="D24" s="58"/>
      <c r="H24" s="49" t="s">
        <v>250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1" x14ac:dyDescent="0.25">
      <c r="A25" s="13" t="s">
        <v>154</v>
      </c>
      <c r="B25" s="10">
        <f>IF(B21="Soft (Clay)",1.1,IF(B21="Medium (Clay)",0.72,IF(B21="Stiff (Clay)",0.4,0)))</f>
        <v>0</v>
      </c>
      <c r="D25" s="58"/>
      <c r="H25" s="49" t="s">
        <v>251</v>
      </c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1" x14ac:dyDescent="0.25">
      <c r="A26" s="10" t="s">
        <v>119</v>
      </c>
      <c r="B26" s="48">
        <v>1</v>
      </c>
      <c r="D26" s="58"/>
      <c r="H26" s="49" t="s">
        <v>252</v>
      </c>
      <c r="J26" s="124" t="s">
        <v>318</v>
      </c>
      <c r="K26" s="124"/>
      <c r="L26" s="34" t="s">
        <v>319</v>
      </c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1" ht="18" x14ac:dyDescent="0.25">
      <c r="A27" s="10" t="s">
        <v>155</v>
      </c>
      <c r="B27" s="68">
        <f>IF(B20="Cohesionless (Sand)", PI() * B9 * B26*B22* 0.5 * (1 + (1 - SIN(RADIANS(B23)))) * TAN(RADIANS(0.9*B23)), PI() * B9 * B25 * B24)</f>
        <v>5.2767305728744729</v>
      </c>
      <c r="C27" s="65" t="s">
        <v>253</v>
      </c>
      <c r="D27" s="58"/>
      <c r="E27" s="65"/>
      <c r="F27" s="65"/>
      <c r="H27" s="15" t="s">
        <v>254</v>
      </c>
      <c r="J27" s="99"/>
      <c r="K27" s="99"/>
      <c r="L27" s="34" t="s">
        <v>320</v>
      </c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1" ht="18" x14ac:dyDescent="0.25">
      <c r="A28" s="17"/>
      <c r="C28" s="15"/>
      <c r="D28" s="15"/>
      <c r="E28" s="15"/>
      <c r="F28" s="15"/>
      <c r="J28" s="99"/>
      <c r="K28" s="99"/>
      <c r="L28" s="34" t="s">
        <v>321</v>
      </c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1" ht="18.75" thickBot="1" x14ac:dyDescent="0.3">
      <c r="A29" s="75" t="s">
        <v>322</v>
      </c>
      <c r="B29" s="69"/>
      <c r="C29" s="69"/>
      <c r="D29" s="69"/>
      <c r="E29" s="69"/>
      <c r="F29" s="69"/>
      <c r="G29" s="69"/>
      <c r="H29" s="69"/>
      <c r="J29" s="99"/>
      <c r="K29" s="99"/>
      <c r="L29" s="104" t="s">
        <v>323</v>
      </c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1" ht="18.75" thickTop="1" x14ac:dyDescent="0.25">
      <c r="A30" s="17" t="s">
        <v>324</v>
      </c>
      <c r="B30" s="105">
        <f>IF(AND(B19&lt;=90,B19&gt;60),60-B19,0)</f>
        <v>-15</v>
      </c>
      <c r="H30" s="15" t="s">
        <v>325</v>
      </c>
      <c r="J30" s="99"/>
      <c r="K30" s="99"/>
      <c r="L30" s="104" t="s">
        <v>326</v>
      </c>
      <c r="M30" s="99"/>
      <c r="N30" s="99"/>
      <c r="O30" s="99"/>
      <c r="P30" s="99"/>
      <c r="Q30" s="99"/>
      <c r="R30" s="99"/>
      <c r="S30" s="99"/>
      <c r="T30" s="99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</row>
    <row r="31" spans="1:31" ht="18" x14ac:dyDescent="0.25">
      <c r="A31" s="17" t="s">
        <v>327</v>
      </c>
      <c r="B31" s="105">
        <f>IF(B9&lt;0.5,1,0)</f>
        <v>1</v>
      </c>
      <c r="H31" s="15" t="s">
        <v>325</v>
      </c>
      <c r="J31" s="99"/>
      <c r="K31" s="99"/>
      <c r="L31" s="34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</row>
    <row r="32" spans="1:31" ht="15.75" thickBot="1" x14ac:dyDescent="0.3">
      <c r="A32" s="17"/>
      <c r="B32" s="105"/>
      <c r="H32" s="15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</row>
    <row r="33" spans="1:31" ht="15.75" thickTop="1" x14ac:dyDescent="0.25">
      <c r="A33" s="71" t="s">
        <v>328</v>
      </c>
      <c r="B33" s="71"/>
      <c r="C33" s="71"/>
      <c r="D33" s="71"/>
      <c r="E33"/>
      <c r="F33"/>
      <c r="H33" s="15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</row>
    <row r="34" spans="1:31" x14ac:dyDescent="0.25">
      <c r="A34" s="17" t="s">
        <v>38</v>
      </c>
      <c r="B34" s="74">
        <f>-4.11127 + 0.6064 * B9 + 0.002805 * B12 + 0.038944*B30</f>
        <v>-4.4880595200000002</v>
      </c>
      <c r="D34" s="73"/>
      <c r="F34" s="73"/>
      <c r="H34" s="1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</row>
    <row r="35" spans="1:31" x14ac:dyDescent="0.25">
      <c r="A35" s="10" t="s">
        <v>39</v>
      </c>
      <c r="B35" s="74">
        <f>2.29445 + (-0.04675*B9) + (-0.00104 * B12) + (-0.09201 * B30)</f>
        <v>3.6339003999999999</v>
      </c>
      <c r="C35" s="1"/>
      <c r="D35" s="3"/>
      <c r="F35" s="73"/>
      <c r="H35" s="15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</row>
    <row r="36" spans="1:31" x14ac:dyDescent="0.25">
      <c r="A36" s="10" t="s">
        <v>126</v>
      </c>
      <c r="B36" s="74">
        <f>0.42882 + 0.09845 * B9 + 0.0006 * B12 + 0.01203*B30</f>
        <v>0.28637503999999997</v>
      </c>
      <c r="D36" s="73"/>
      <c r="F36" s="73"/>
      <c r="H36" s="15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</row>
    <row r="37" spans="1:31" x14ac:dyDescent="0.25">
      <c r="A37" s="10" t="s">
        <v>127</v>
      </c>
      <c r="B37" s="74">
        <f>2.64335 + (-0.36353*B9) + 0.00086 * B12 + (-0.05422*B30)</f>
        <v>3.4085807039999998</v>
      </c>
      <c r="D37" s="73"/>
      <c r="F37" s="73"/>
      <c r="H37" s="15"/>
      <c r="J37" s="98"/>
      <c r="K37" s="98"/>
      <c r="L37" s="98"/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1" x14ac:dyDescent="0.25">
      <c r="A38" s="10" t="s">
        <v>128</v>
      </c>
      <c r="B38" s="74">
        <f>-4.57877 + (-0.04142 * (B13*B13)) + (0.9346 * B13) + (0.4714 * B14) + (0.00007*(180-B19)) + (-5.2467 * B31 * (B9-0.5)) + (-0.28986 * (1-B31))</f>
        <v>0.13503724134611872</v>
      </c>
      <c r="D38" s="73"/>
      <c r="F38" s="73"/>
      <c r="H38" s="15"/>
      <c r="J38" s="99"/>
      <c r="K38" s="99"/>
      <c r="L38" s="98"/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1" x14ac:dyDescent="0.25">
      <c r="B39" s="73"/>
      <c r="D39" s="73"/>
      <c r="F39" s="73"/>
      <c r="H39" s="15"/>
      <c r="J39" s="98"/>
      <c r="K39" s="98"/>
      <c r="L39" s="98"/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ht="15.75" thickBot="1" x14ac:dyDescent="0.3">
      <c r="A40" s="75" t="s">
        <v>259</v>
      </c>
      <c r="B40" s="69"/>
      <c r="C40" s="69"/>
      <c r="D40" s="69"/>
      <c r="E40" s="69"/>
      <c r="F40" s="69"/>
      <c r="G40" s="69"/>
      <c r="H40" s="69"/>
      <c r="J40" s="106"/>
      <c r="K40" s="106"/>
      <c r="L40" s="98"/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1" ht="15.75" thickTop="1" x14ac:dyDescent="0.25">
      <c r="A41" s="18" t="s">
        <v>260</v>
      </c>
      <c r="B41" s="107">
        <v>0.1</v>
      </c>
      <c r="C41" s="15" t="s">
        <v>329</v>
      </c>
      <c r="D41" s="15"/>
      <c r="E41" s="15"/>
      <c r="F41" s="15"/>
      <c r="J41" s="97"/>
      <c r="K41" s="99"/>
      <c r="L41" s="98"/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1" x14ac:dyDescent="0.25">
      <c r="A42" s="18" t="s">
        <v>262</v>
      </c>
      <c r="B42" s="10">
        <f>LN(B41)</f>
        <v>-2.3025850929940455</v>
      </c>
      <c r="C42" s="15"/>
      <c r="D42" s="15"/>
      <c r="E42" s="15"/>
      <c r="F42" s="15"/>
      <c r="J42" s="97"/>
      <c r="K42" s="99"/>
      <c r="L42" s="98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x14ac:dyDescent="0.25">
      <c r="J43" s="97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ht="15.75" thickBot="1" x14ac:dyDescent="0.3">
      <c r="A44" s="75" t="s">
        <v>263</v>
      </c>
      <c r="B44" s="69"/>
      <c r="C44" s="69"/>
      <c r="D44" s="69"/>
      <c r="E44" s="69"/>
      <c r="F44" s="69"/>
      <c r="G44" s="69"/>
      <c r="H44" s="69"/>
      <c r="J44" s="97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ht="15.75" thickTop="1" x14ac:dyDescent="0.25">
      <c r="A45" s="17" t="s">
        <v>330</v>
      </c>
      <c r="B45" s="108">
        <f>(ATANH((B42-B34)/B35) / B36) - B37+B38</f>
        <v>-0.84540690615109559</v>
      </c>
      <c r="C45" s="10" t="s">
        <v>331</v>
      </c>
      <c r="D45" s="15"/>
      <c r="E45" s="15"/>
      <c r="F45" s="15"/>
      <c r="J45" s="97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x14ac:dyDescent="0.25">
      <c r="A46" s="17" t="s">
        <v>332</v>
      </c>
      <c r="B46" s="109">
        <f>EXP(B45)</f>
        <v>0.42938260423607966</v>
      </c>
      <c r="C46" s="15"/>
      <c r="D46" s="15"/>
      <c r="E46" s="15"/>
      <c r="F46" s="15"/>
      <c r="J46" s="97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x14ac:dyDescent="0.25">
      <c r="A47" s="17" t="s">
        <v>223</v>
      </c>
      <c r="B47" s="110" t="s">
        <v>333</v>
      </c>
      <c r="C47" s="15"/>
      <c r="D47" s="15"/>
      <c r="E47" s="15"/>
      <c r="F47" s="15"/>
      <c r="J47" s="97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8" x14ac:dyDescent="0.25">
      <c r="A48" s="17"/>
      <c r="B48" s="111" t="s">
        <v>334</v>
      </c>
      <c r="C48" s="15">
        <v>-0.28299999999999997</v>
      </c>
      <c r="D48" s="15"/>
      <c r="E48" s="15"/>
      <c r="F48" s="15"/>
      <c r="J48" s="97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ht="18" x14ac:dyDescent="0.25">
      <c r="A49" s="17"/>
      <c r="B49" s="111" t="s">
        <v>335</v>
      </c>
      <c r="C49" s="15">
        <v>-0.625</v>
      </c>
      <c r="D49" s="15"/>
      <c r="E49" s="15"/>
      <c r="F49" s="15"/>
      <c r="J49" s="97"/>
      <c r="K49" s="99"/>
      <c r="L49" s="34"/>
      <c r="M49" s="99"/>
      <c r="N49" s="99"/>
      <c r="O49" s="99"/>
      <c r="P49" s="99"/>
      <c r="Q49" s="99"/>
      <c r="R49" s="99"/>
      <c r="S49" s="99"/>
      <c r="T49" s="99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ht="18" x14ac:dyDescent="0.25">
      <c r="A50" s="17"/>
      <c r="B50" s="111" t="s">
        <v>336</v>
      </c>
      <c r="C50" s="15">
        <v>0.46</v>
      </c>
      <c r="D50" s="15"/>
      <c r="E50" s="15"/>
      <c r="F50" s="15"/>
      <c r="J50" s="97"/>
      <c r="K50" s="99"/>
      <c r="L50" s="34"/>
      <c r="M50" s="99"/>
      <c r="N50" s="99"/>
      <c r="O50" s="99"/>
      <c r="P50" s="99"/>
      <c r="Q50" s="99"/>
      <c r="R50" s="99"/>
      <c r="S50" s="99"/>
      <c r="T50" s="99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ht="18" x14ac:dyDescent="0.25">
      <c r="A51" s="17"/>
      <c r="B51" s="111" t="s">
        <v>337</v>
      </c>
      <c r="C51" s="15">
        <v>0.70899999999999996</v>
      </c>
      <c r="D51" s="15"/>
      <c r="E51" s="15"/>
      <c r="F51" s="15"/>
      <c r="J51" s="97"/>
      <c r="K51" s="99"/>
      <c r="L51" s="34"/>
      <c r="M51" s="99"/>
      <c r="N51" s="99"/>
      <c r="O51" s="99"/>
      <c r="P51" s="99"/>
      <c r="Q51" s="99"/>
      <c r="R51" s="99"/>
      <c r="S51" s="99"/>
      <c r="T51" s="99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ht="18" x14ac:dyDescent="0.25">
      <c r="A52" s="17"/>
      <c r="B52" s="111" t="s">
        <v>338</v>
      </c>
      <c r="C52" s="15">
        <v>0.68799999999999994</v>
      </c>
      <c r="D52" s="15"/>
      <c r="E52" s="15"/>
      <c r="F52" s="15"/>
      <c r="J52" s="97"/>
      <c r="K52" s="99"/>
      <c r="L52" s="34"/>
      <c r="M52" s="99"/>
      <c r="N52" s="99"/>
      <c r="O52" s="99"/>
      <c r="P52" s="99"/>
      <c r="Q52" s="99"/>
      <c r="R52" s="99"/>
      <c r="S52" s="99"/>
      <c r="T52" s="99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ht="18" x14ac:dyDescent="0.25">
      <c r="A53" s="17"/>
      <c r="B53" s="111" t="s">
        <v>339</v>
      </c>
      <c r="C53" s="15">
        <v>0.312</v>
      </c>
      <c r="D53" s="15"/>
      <c r="E53" s="15"/>
      <c r="F53" s="15"/>
      <c r="J53" s="97"/>
      <c r="K53" s="99"/>
      <c r="L53" s="34"/>
      <c r="M53" s="99"/>
      <c r="N53" s="99"/>
      <c r="O53" s="99"/>
      <c r="P53" s="99"/>
      <c r="Q53" s="99"/>
      <c r="R53" s="99"/>
      <c r="S53" s="99"/>
      <c r="T53" s="99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x14ac:dyDescent="0.25">
      <c r="A54" s="17" t="s">
        <v>266</v>
      </c>
      <c r="B54" s="79">
        <v>0.3</v>
      </c>
      <c r="C54" s="15" t="s">
        <v>267</v>
      </c>
      <c r="D54" s="15"/>
      <c r="E54" s="15"/>
      <c r="F54" s="15"/>
      <c r="J54" s="97"/>
      <c r="K54" s="99"/>
      <c r="L54" s="34"/>
      <c r="M54" s="99"/>
      <c r="N54" s="99"/>
      <c r="O54" s="99"/>
      <c r="P54" s="99"/>
      <c r="Q54" s="99"/>
      <c r="R54" s="99"/>
      <c r="S54" s="99"/>
      <c r="T54" s="99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x14ac:dyDescent="0.25">
      <c r="A55"/>
      <c r="B55"/>
      <c r="C55"/>
      <c r="J55" s="97"/>
      <c r="K55" s="99"/>
      <c r="L55" s="34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J56" s="97"/>
      <c r="K56" s="99"/>
      <c r="L56" s="34"/>
      <c r="M56" s="99"/>
      <c r="N56" s="99"/>
      <c r="O56" s="99"/>
      <c r="P56" s="99"/>
      <c r="Q56" s="99"/>
      <c r="R56" s="99"/>
      <c r="S56" s="99"/>
      <c r="T56" s="99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10" t="s">
        <v>268</v>
      </c>
      <c r="J57" s="97"/>
      <c r="K57" s="99"/>
      <c r="L57" s="34"/>
      <c r="M57" s="99"/>
      <c r="N57" s="99"/>
      <c r="O57" s="99"/>
      <c r="P57" s="99"/>
      <c r="Q57" s="99"/>
      <c r="R57" s="99"/>
      <c r="S57" s="99"/>
      <c r="T57" s="99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15" t="s">
        <v>269</v>
      </c>
      <c r="J58" s="97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15" t="s">
        <v>270</v>
      </c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J60" s="128"/>
      <c r="K60" s="128"/>
      <c r="L60" s="128"/>
      <c r="M60" s="99"/>
      <c r="N60" s="99"/>
      <c r="O60" s="99"/>
      <c r="P60" s="99"/>
      <c r="Q60" s="99"/>
      <c r="R60" s="99"/>
      <c r="S60" s="99"/>
      <c r="T60" s="99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J61" s="99"/>
      <c r="K61" s="112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47" t="s">
        <v>271</v>
      </c>
      <c r="B62" s="48"/>
      <c r="C62" s="48"/>
      <c r="D62" s="48"/>
      <c r="E62" s="48"/>
      <c r="F62" s="48"/>
      <c r="G62" s="48"/>
      <c r="H62" s="48"/>
      <c r="J62" s="99"/>
      <c r="K62" s="127"/>
      <c r="L62" s="113"/>
      <c r="M62" s="99"/>
      <c r="N62" s="103"/>
      <c r="O62" s="99"/>
      <c r="P62" s="99"/>
      <c r="Q62" s="99"/>
      <c r="R62" s="99"/>
      <c r="S62" s="99"/>
      <c r="T62" s="99"/>
      <c r="U62" s="99"/>
      <c r="V62" s="99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15" t="s">
        <v>272</v>
      </c>
      <c r="J63" s="99"/>
      <c r="K63" s="127"/>
      <c r="L63" s="113"/>
      <c r="M63" s="99"/>
      <c r="N63" s="103"/>
      <c r="O63" s="99"/>
      <c r="P63" s="99"/>
      <c r="Q63" s="99"/>
      <c r="R63" s="99"/>
      <c r="S63" s="99"/>
      <c r="T63" s="99"/>
      <c r="U63" s="99"/>
      <c r="V63" s="99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3" t="s">
        <v>260</v>
      </c>
      <c r="B64" s="83" t="s">
        <v>273</v>
      </c>
      <c r="C64" s="33" t="s">
        <v>274</v>
      </c>
      <c r="D64"/>
      <c r="E64" s="129" t="s">
        <v>275</v>
      </c>
      <c r="F64" s="129"/>
      <c r="G64" s="15" t="s">
        <v>276</v>
      </c>
      <c r="J64" s="99"/>
      <c r="K64" s="127"/>
      <c r="L64" s="113"/>
      <c r="M64" s="99"/>
      <c r="N64" s="103"/>
      <c r="O64" s="99"/>
      <c r="P64" s="99"/>
      <c r="Q64" s="99"/>
      <c r="R64" s="99"/>
      <c r="S64" s="99"/>
      <c r="T64" s="99"/>
      <c r="U64" s="99"/>
      <c r="V64" s="99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1" ht="15.75" x14ac:dyDescent="0.25">
      <c r="A65" s="84">
        <v>0.01</v>
      </c>
      <c r="B65" s="84">
        <f>SQRT(A65*A66)</f>
        <v>1.222844544993852E-2</v>
      </c>
      <c r="C65" s="84">
        <f>IF($B65&lt;F$66,0,NORMDIST(LN($B65),LN(F$65),F$67,1))</f>
        <v>2.3059338971538875E-4</v>
      </c>
      <c r="D65"/>
      <c r="E65" s="85" t="s">
        <v>277</v>
      </c>
      <c r="F65" s="86">
        <f>B41</f>
        <v>0.1</v>
      </c>
      <c r="G65" s="15" t="s">
        <v>278</v>
      </c>
      <c r="J65" s="99"/>
      <c r="K65" s="127"/>
      <c r="L65" s="113"/>
      <c r="M65" s="99"/>
      <c r="N65" s="103"/>
      <c r="O65" s="99"/>
      <c r="P65" s="99"/>
      <c r="Q65" s="99"/>
      <c r="R65" s="99"/>
      <c r="S65" s="99"/>
      <c r="T65" s="99"/>
      <c r="U65" s="99"/>
      <c r="V65" s="99"/>
      <c r="W65" s="98"/>
      <c r="X65" s="98"/>
      <c r="Y65" s="98"/>
      <c r="Z65" s="98"/>
      <c r="AA65" s="98"/>
      <c r="AB65" s="98"/>
      <c r="AC65" s="98"/>
      <c r="AD65" s="98"/>
      <c r="AE65" s="98"/>
    </row>
    <row r="66" spans="1:31" ht="15.75" x14ac:dyDescent="0.25">
      <c r="A66" s="84">
        <f>EXP(LN(A69/A65)/4+LN(A65))</f>
        <v>1.4953487812212209E-2</v>
      </c>
      <c r="B66" s="84">
        <f t="shared" ref="B66:B108" si="0">SQRT(A66*A67)</f>
        <v>1.8285790999795749E-2</v>
      </c>
      <c r="C66" s="84">
        <f t="shared" ref="C66:C109" si="1">IF($B66&lt;F$66,0,NORMDIST(LN($B66),LN(F$65),F$67,1))</f>
        <v>2.3147511707623204E-3</v>
      </c>
      <c r="D66"/>
      <c r="E66" s="85" t="s">
        <v>279</v>
      </c>
      <c r="F66">
        <v>0.01</v>
      </c>
      <c r="G66" s="15" t="s">
        <v>280</v>
      </c>
      <c r="J66" s="99"/>
      <c r="K66" s="127"/>
      <c r="L66" s="113"/>
      <c r="M66" s="99"/>
      <c r="N66" s="103"/>
      <c r="O66" s="99"/>
      <c r="P66" s="99"/>
      <c r="Q66" s="99"/>
      <c r="R66" s="99"/>
      <c r="S66" s="99"/>
      <c r="T66" s="99"/>
      <c r="U66" s="99"/>
      <c r="V66" s="99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1" ht="15.75" x14ac:dyDescent="0.25">
      <c r="A67" s="84">
        <f>EXP(2*LN(A69/A65)/4+LN(A65))</f>
        <v>2.2360679774997907E-2</v>
      </c>
      <c r="B67" s="84">
        <f t="shared" si="0"/>
        <v>2.7343635285210541E-2</v>
      </c>
      <c r="C67" s="84">
        <f t="shared" si="1"/>
        <v>1.5342108961265734E-2</v>
      </c>
      <c r="D67"/>
      <c r="E67" s="87" t="s">
        <v>223</v>
      </c>
      <c r="F67">
        <v>0.6</v>
      </c>
      <c r="G67" s="15" t="s">
        <v>281</v>
      </c>
      <c r="J67" s="99"/>
      <c r="K67" s="127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1" x14ac:dyDescent="0.25">
      <c r="A68" s="84">
        <f>EXP(3*LN(A69/A65)/4+LN(A65))</f>
        <v>3.343701524882111E-2</v>
      </c>
      <c r="B68" s="84">
        <f t="shared" si="0"/>
        <v>4.0888271697897133E-2</v>
      </c>
      <c r="C68" s="84">
        <f t="shared" si="1"/>
        <v>6.8040514359285792E-2</v>
      </c>
      <c r="D68"/>
      <c r="E68"/>
      <c r="F68"/>
      <c r="J68" s="99"/>
      <c r="K68" s="127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1" ht="15.75" x14ac:dyDescent="0.25">
      <c r="A69" s="84">
        <v>0.05</v>
      </c>
      <c r="B69" s="84">
        <f t="shared" si="0"/>
        <v>5.4525386633262889E-2</v>
      </c>
      <c r="C69" s="84">
        <f t="shared" si="1"/>
        <v>0.15604659402560925</v>
      </c>
      <c r="D69"/>
      <c r="E69" s="85" t="s">
        <v>282</v>
      </c>
      <c r="F69"/>
      <c r="J69" s="99"/>
      <c r="K69" s="127"/>
      <c r="L69" s="114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1" ht="15.75" x14ac:dyDescent="0.25">
      <c r="A70" s="84">
        <f>EXP(LN(A73/A69)/4+LN(A69))</f>
        <v>5.9460355750136064E-2</v>
      </c>
      <c r="B70" s="84">
        <f t="shared" si="0"/>
        <v>6.4841977732550501E-2</v>
      </c>
      <c r="C70" s="84">
        <f t="shared" si="1"/>
        <v>0.23513853519175701</v>
      </c>
      <c r="D70"/>
      <c r="E70" s="85" t="s">
        <v>283</v>
      </c>
      <c r="F70"/>
      <c r="J70" s="99"/>
      <c r="K70" s="127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</row>
    <row r="71" spans="1:31" ht="15.75" x14ac:dyDescent="0.25">
      <c r="A71" s="84">
        <f>EXP(2*LN(A73/A69)/4+LN(A69))</f>
        <v>7.0710678118654766E-2</v>
      </c>
      <c r="B71" s="84">
        <f t="shared" si="0"/>
        <v>7.7110541270397057E-2</v>
      </c>
      <c r="C71" s="84">
        <f t="shared" si="1"/>
        <v>0.33242856928156472</v>
      </c>
      <c r="D71"/>
      <c r="E71" s="85" t="s">
        <v>284</v>
      </c>
      <c r="F71"/>
      <c r="J71" s="99"/>
      <c r="K71" s="127"/>
      <c r="L71" s="113"/>
      <c r="M71" s="99"/>
      <c r="N71" s="99"/>
      <c r="O71" s="99"/>
      <c r="P71" s="99"/>
      <c r="Q71" s="99"/>
      <c r="R71" s="99"/>
      <c r="S71" s="99"/>
      <c r="T71" s="99"/>
      <c r="U71" s="99"/>
      <c r="V71" s="98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1" x14ac:dyDescent="0.25">
      <c r="A72" s="84">
        <f>EXP(3*LN(A73/A69)/4+LN(A69))</f>
        <v>8.4089641525371475E-2</v>
      </c>
      <c r="B72" s="84">
        <f t="shared" si="0"/>
        <v>9.1700404320467138E-2</v>
      </c>
      <c r="C72" s="84">
        <f t="shared" si="1"/>
        <v>0.44259007277827317</v>
      </c>
      <c r="D72"/>
      <c r="E72"/>
      <c r="F72"/>
      <c r="J72" s="99"/>
      <c r="K72" s="127"/>
      <c r="L72" s="113"/>
      <c r="M72" s="99"/>
      <c r="N72" s="99"/>
      <c r="O72" s="99"/>
      <c r="P72" s="99"/>
      <c r="Q72" s="99"/>
      <c r="R72" s="99"/>
      <c r="S72" s="99"/>
      <c r="T72" s="99"/>
      <c r="U72" s="99"/>
      <c r="V72" s="98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1" x14ac:dyDescent="0.25">
      <c r="A73" s="84">
        <v>0.1</v>
      </c>
      <c r="B73" s="84">
        <f t="shared" si="0"/>
        <v>0.10905077326652579</v>
      </c>
      <c r="C73" s="84">
        <f t="shared" si="1"/>
        <v>0.55740992722172655</v>
      </c>
      <c r="D73"/>
      <c r="E73"/>
      <c r="F73"/>
      <c r="J73" s="99"/>
      <c r="K73" s="127"/>
      <c r="L73" s="113"/>
      <c r="M73" s="99"/>
      <c r="N73" s="99"/>
      <c r="O73" s="99"/>
      <c r="P73" s="99"/>
      <c r="Q73" s="99"/>
      <c r="R73" s="99"/>
      <c r="S73" s="99"/>
      <c r="T73" s="99"/>
      <c r="U73" s="99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1" x14ac:dyDescent="0.25">
      <c r="A74" s="84">
        <f>EXP(LN(A77/A73)/4+LN(A73))</f>
        <v>0.11892071150027214</v>
      </c>
      <c r="B74" s="84">
        <f t="shared" si="0"/>
        <v>0.129683955465101</v>
      </c>
      <c r="C74" s="84">
        <f t="shared" si="1"/>
        <v>0.6675714307184355</v>
      </c>
      <c r="D74"/>
      <c r="E74"/>
      <c r="F74"/>
      <c r="J74" s="99"/>
      <c r="K74" s="127"/>
      <c r="L74" s="113"/>
      <c r="M74" s="99"/>
      <c r="N74" s="99"/>
      <c r="O74" s="99"/>
      <c r="P74" s="99"/>
      <c r="Q74" s="99"/>
      <c r="R74" s="99"/>
      <c r="S74" s="99"/>
      <c r="T74" s="99"/>
      <c r="U74" s="99"/>
      <c r="V74" s="98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1" x14ac:dyDescent="0.25">
      <c r="A75" s="84">
        <f>EXP(2*LN(A77/A73)/4+LN(A73))</f>
        <v>0.14142135623730953</v>
      </c>
      <c r="B75" s="84">
        <f t="shared" si="0"/>
        <v>0.15422108254079411</v>
      </c>
      <c r="C75" s="84">
        <f t="shared" si="1"/>
        <v>0.76486146480824302</v>
      </c>
      <c r="D75"/>
      <c r="E75"/>
      <c r="F75"/>
      <c r="J75" s="99"/>
      <c r="K75" s="127"/>
      <c r="L75" s="113"/>
      <c r="M75" s="99"/>
      <c r="N75" s="99"/>
      <c r="O75" s="99"/>
      <c r="P75" s="99"/>
      <c r="Q75" s="99"/>
      <c r="R75" s="99"/>
      <c r="S75" s="99"/>
      <c r="T75" s="99"/>
      <c r="U75" s="99"/>
      <c r="V75" s="98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1" x14ac:dyDescent="0.25">
      <c r="A76" s="84">
        <f>EXP(3*LN(A77/A73)/4+LN(A73))</f>
        <v>0.16817928305074295</v>
      </c>
      <c r="B76" s="84">
        <f t="shared" si="0"/>
        <v>0.18340080864093428</v>
      </c>
      <c r="C76" s="84">
        <f t="shared" si="1"/>
        <v>0.84395340597439061</v>
      </c>
      <c r="D76"/>
      <c r="E76"/>
      <c r="F76"/>
      <c r="J76" s="99"/>
      <c r="K76" s="127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1" x14ac:dyDescent="0.25">
      <c r="A77" s="84">
        <v>0.2</v>
      </c>
      <c r="B77" s="84">
        <f t="shared" si="0"/>
        <v>0.21810154653305155</v>
      </c>
      <c r="C77" s="84">
        <f t="shared" si="1"/>
        <v>0.90313968795832744</v>
      </c>
      <c r="D77"/>
      <c r="E77"/>
      <c r="F77"/>
      <c r="J77" s="99"/>
      <c r="K77" s="127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1" x14ac:dyDescent="0.25">
      <c r="A78" s="84">
        <f>EXP(LN(A81/A77)/4+LN(A77))</f>
        <v>0.23784142300054423</v>
      </c>
      <c r="B78" s="84">
        <f t="shared" si="0"/>
        <v>0.25936791093020195</v>
      </c>
      <c r="C78" s="84">
        <f t="shared" si="1"/>
        <v>0.94390907898972154</v>
      </c>
      <c r="D78"/>
      <c r="E78"/>
      <c r="F78"/>
      <c r="J78" s="99"/>
      <c r="K78" s="127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1" x14ac:dyDescent="0.25">
      <c r="A79" s="84">
        <f>EXP(2*LN(A81/A77)/4+LN(A77))</f>
        <v>0.28284271247461906</v>
      </c>
      <c r="B79" s="84">
        <f t="shared" si="0"/>
        <v>0.30844216508158817</v>
      </c>
      <c r="C79" s="84">
        <f t="shared" si="1"/>
        <v>0.96975969865981237</v>
      </c>
      <c r="D79"/>
      <c r="E79"/>
      <c r="F79"/>
      <c r="J79" s="99"/>
      <c r="K79" s="127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1" x14ac:dyDescent="0.25">
      <c r="A80" s="84">
        <f>EXP(3*LN(A81/A77)/4+LN(A77))</f>
        <v>0.33635856610148579</v>
      </c>
      <c r="B80" s="84">
        <f t="shared" si="0"/>
        <v>0.3668016172818685</v>
      </c>
      <c r="C80" s="84">
        <f t="shared" si="1"/>
        <v>0.98484765157098852</v>
      </c>
      <c r="D80"/>
      <c r="E80"/>
      <c r="F8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v>0.4</v>
      </c>
      <c r="B81" s="84">
        <f t="shared" si="0"/>
        <v>0.43620309306610311</v>
      </c>
      <c r="C81" s="84">
        <f t="shared" si="1"/>
        <v>0.99295373756441785</v>
      </c>
      <c r="D81"/>
      <c r="E81"/>
      <c r="F81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f>EXP(LN(A85/A81)/4+LN(A81))</f>
        <v>0.47568284600108846</v>
      </c>
      <c r="B82" s="84">
        <f t="shared" si="0"/>
        <v>0.5187358218604039</v>
      </c>
      <c r="C82" s="84">
        <f t="shared" si="1"/>
        <v>0.99696251877847386</v>
      </c>
      <c r="D82"/>
      <c r="E82"/>
      <c r="F8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EXP(2*LN(A85/A81)/4+LN(A81))</f>
        <v>0.56568542494923801</v>
      </c>
      <c r="B83" s="84">
        <f t="shared" si="0"/>
        <v>0.61688433016317634</v>
      </c>
      <c r="C83" s="84">
        <f t="shared" si="1"/>
        <v>0.99878739051144416</v>
      </c>
      <c r="D83"/>
      <c r="E83"/>
      <c r="F83"/>
      <c r="J83" s="97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98"/>
    </row>
    <row r="84" spans="1:31" x14ac:dyDescent="0.25">
      <c r="A84" s="84">
        <f>EXP(3*LN(A85/A81)/4+LN(A81))</f>
        <v>0.67271713220297169</v>
      </c>
      <c r="B84" s="84">
        <f t="shared" si="0"/>
        <v>0.73360323456373699</v>
      </c>
      <c r="C84" s="84">
        <f t="shared" si="1"/>
        <v>0.99955205267969616</v>
      </c>
      <c r="D84"/>
      <c r="E84"/>
      <c r="F84"/>
      <c r="J84" s="97"/>
      <c r="K84" s="115"/>
      <c r="L84" s="115"/>
      <c r="M84" s="116"/>
      <c r="N84" s="116"/>
      <c r="O84" s="116"/>
      <c r="P84" s="116"/>
      <c r="Q84" s="116"/>
      <c r="R84" s="116"/>
      <c r="S84" s="116"/>
      <c r="T84" s="116"/>
      <c r="U84" s="117"/>
      <c r="V84" s="98"/>
      <c r="W84" s="98"/>
      <c r="X84" s="98"/>
      <c r="Y84" s="98"/>
      <c r="Z84" s="98"/>
      <c r="AA84" s="98"/>
      <c r="AB84" s="98"/>
      <c r="AC84" s="98"/>
      <c r="AD84" s="98"/>
      <c r="AE84" s="97" t="s">
        <v>223</v>
      </c>
    </row>
    <row r="85" spans="1:31" x14ac:dyDescent="0.25">
      <c r="A85" s="84">
        <v>0.8</v>
      </c>
      <c r="B85" s="84">
        <f t="shared" si="0"/>
        <v>0.84159160440691538</v>
      </c>
      <c r="C85" s="84">
        <f t="shared" si="1"/>
        <v>0.99980753640840891</v>
      </c>
      <c r="D85"/>
      <c r="E85"/>
      <c r="F85"/>
      <c r="J85" s="97"/>
      <c r="K85" s="127"/>
      <c r="L85" s="113"/>
      <c r="M85" s="118"/>
      <c r="N85" s="118"/>
      <c r="O85" s="118"/>
      <c r="P85" s="118"/>
      <c r="Q85" s="118"/>
      <c r="R85" s="118"/>
      <c r="S85" s="118"/>
      <c r="T85" s="118"/>
      <c r="U85" s="11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f>EXP(LN(A89/A85)/4+LN(A85))</f>
        <v>0.88534553576025732</v>
      </c>
      <c r="B86" s="84">
        <f t="shared" si="0"/>
        <v>0.93137421236871865</v>
      </c>
      <c r="C86" s="84">
        <f t="shared" si="1"/>
        <v>0.99990005346954891</v>
      </c>
      <c r="D86"/>
      <c r="E86"/>
      <c r="F86"/>
      <c r="J86" s="97"/>
      <c r="K86" s="127"/>
      <c r="L86" s="113"/>
      <c r="M86" s="118"/>
      <c r="N86" s="118"/>
      <c r="O86" s="118"/>
      <c r="P86" s="118"/>
      <c r="Q86" s="118"/>
      <c r="R86" s="118"/>
      <c r="S86" s="118"/>
      <c r="T86" s="118"/>
      <c r="U86" s="11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A87" s="84">
        <f>EXP(2*LN(A89/A85)/4+LN(A85))</f>
        <v>0.9797958971132712</v>
      </c>
      <c r="B87" s="84">
        <f t="shared" si="0"/>
        <v>1.0307350013035885</v>
      </c>
      <c r="C87" s="84">
        <f t="shared" si="1"/>
        <v>0.99994948303929099</v>
      </c>
      <c r="D87"/>
      <c r="E87"/>
      <c r="F87"/>
      <c r="J87" s="97"/>
      <c r="K87" s="127"/>
      <c r="L87" s="113"/>
      <c r="M87" s="118"/>
      <c r="N87" s="118"/>
      <c r="O87" s="118"/>
      <c r="P87" s="118"/>
      <c r="Q87" s="118"/>
      <c r="R87" s="118"/>
      <c r="S87" s="118"/>
      <c r="T87" s="118"/>
      <c r="U87" s="11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A88" s="84">
        <f>EXP(3*LN(A89/A85)/4+LN(A85))</f>
        <v>1.0843224043318138</v>
      </c>
      <c r="B88" s="84">
        <f t="shared" si="0"/>
        <v>1.1406957899449688</v>
      </c>
      <c r="C88" s="84">
        <f t="shared" si="1"/>
        <v>0.99997515062692877</v>
      </c>
      <c r="D88"/>
      <c r="E88" t="s">
        <v>285</v>
      </c>
      <c r="F88"/>
      <c r="J88" s="97"/>
      <c r="K88" s="127"/>
      <c r="L88" s="113"/>
      <c r="M88" s="118"/>
      <c r="N88" s="118"/>
      <c r="O88" s="118"/>
      <c r="P88" s="118"/>
      <c r="Q88" s="118"/>
      <c r="R88" s="118"/>
      <c r="S88" s="118"/>
      <c r="T88" s="118"/>
      <c r="U88" s="118"/>
      <c r="V88" s="98"/>
      <c r="W88" s="98"/>
      <c r="X88" s="98"/>
      <c r="Y88" s="98"/>
      <c r="Z88" s="98"/>
      <c r="AA88" s="98"/>
      <c r="AB88" s="98"/>
      <c r="AC88" s="98"/>
      <c r="AD88" s="98"/>
      <c r="AE88" s="98"/>
    </row>
    <row r="89" spans="1:31" x14ac:dyDescent="0.25">
      <c r="A89" s="84">
        <v>1.2</v>
      </c>
      <c r="B89" s="84">
        <f t="shared" si="0"/>
        <v>1.2439375795536929</v>
      </c>
      <c r="C89" s="84">
        <f t="shared" si="1"/>
        <v>0.9999867391568521</v>
      </c>
      <c r="D89"/>
      <c r="E89" t="s">
        <v>286</v>
      </c>
      <c r="F89"/>
      <c r="J89" s="119"/>
      <c r="K89" s="127"/>
      <c r="L89" s="113"/>
      <c r="M89" s="118"/>
      <c r="N89" s="118"/>
      <c r="O89" s="118"/>
      <c r="P89" s="118"/>
      <c r="Q89" s="118"/>
      <c r="R89" s="118"/>
      <c r="S89" s="118"/>
      <c r="T89" s="118"/>
      <c r="U89" s="118"/>
      <c r="V89" s="98"/>
      <c r="W89" s="98"/>
      <c r="X89" s="98"/>
      <c r="Y89" s="98"/>
      <c r="Z89" s="98"/>
      <c r="AA89" s="98"/>
      <c r="AB89" s="98"/>
      <c r="AC89" s="98"/>
      <c r="AD89" s="98"/>
      <c r="AE89" s="98"/>
    </row>
    <row r="90" spans="1:31" x14ac:dyDescent="0.25">
      <c r="A90" s="84">
        <f>EXP(LN(A93/A89)/4+LN(A89))</f>
        <v>1.2894839181882503</v>
      </c>
      <c r="B90" s="84">
        <f t="shared" si="0"/>
        <v>1.3366979200537537</v>
      </c>
      <c r="C90" s="84">
        <f t="shared" si="1"/>
        <v>0.99999224480466409</v>
      </c>
      <c r="D90"/>
      <c r="E90"/>
      <c r="F90"/>
      <c r="J90" s="99"/>
      <c r="K90" s="127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A91" s="84">
        <f>EXP(2*LN(A93/A89)/4+LN(A89))</f>
        <v>1.3856406460551018</v>
      </c>
      <c r="B91" s="84">
        <f t="shared" si="0"/>
        <v>1.4363753928208323</v>
      </c>
      <c r="C91" s="84">
        <f t="shared" si="1"/>
        <v>0.99999552665227287</v>
      </c>
      <c r="D91"/>
      <c r="E91"/>
      <c r="F91"/>
      <c r="J91" s="99"/>
      <c r="K91" s="127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A92" s="84">
        <f>EXP(3*LN(A93/A89)/4+LN(A89))</f>
        <v>1.4889677745633594</v>
      </c>
      <c r="B92" s="84">
        <f t="shared" si="0"/>
        <v>1.5434858079364953</v>
      </c>
      <c r="C92" s="84">
        <f t="shared" si="1"/>
        <v>0.99999745504604587</v>
      </c>
      <c r="D92"/>
      <c r="E92"/>
      <c r="F92"/>
      <c r="J92" s="99"/>
      <c r="K92" s="127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A93" s="84">
        <v>1.6</v>
      </c>
      <c r="B93" s="84">
        <f t="shared" si="0"/>
        <v>1.6742525317171835</v>
      </c>
      <c r="C93" s="84">
        <f t="shared" si="1"/>
        <v>0.9999986772739311</v>
      </c>
      <c r="D93"/>
      <c r="E93"/>
      <c r="F93"/>
      <c r="J93" s="99"/>
      <c r="K93" s="127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A94" s="84">
        <f>EXP(LN(A97/A93)/4+LN(A93))</f>
        <v>1.7519509624758738</v>
      </c>
      <c r="B94" s="84">
        <f t="shared" si="0"/>
        <v>1.8332552089809921</v>
      </c>
      <c r="C94" s="84">
        <f t="shared" si="1"/>
        <v>0.9999993758001845</v>
      </c>
      <c r="D94"/>
      <c r="E94"/>
      <c r="F94"/>
      <c r="J94" s="99"/>
      <c r="K94" s="127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A95" s="84">
        <f>EXP(2*LN(A97/A93)/4+LN(A93))</f>
        <v>1.9183326093250876</v>
      </c>
      <c r="B95" s="84">
        <f t="shared" si="0"/>
        <v>2.0073582673988493</v>
      </c>
      <c r="C95" s="84">
        <f t="shared" si="1"/>
        <v>0.99999971186957992</v>
      </c>
      <c r="D95"/>
      <c r="E95"/>
      <c r="F95"/>
      <c r="J95" s="99"/>
      <c r="K95" s="127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A96" s="84">
        <f>EXP(3*LN(A97/A93)/4+LN(A93))</f>
        <v>2.1005154132849637</v>
      </c>
      <c r="B96" s="84">
        <f t="shared" si="0"/>
        <v>2.1979957803770724</v>
      </c>
      <c r="C96" s="84">
        <f t="shared" si="1"/>
        <v>0.99999986990833412</v>
      </c>
      <c r="D96"/>
      <c r="E96"/>
      <c r="F96"/>
      <c r="J96" s="99"/>
      <c r="K96" s="127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:31" x14ac:dyDescent="0.25">
      <c r="A97" s="84">
        <v>2.2999999999999998</v>
      </c>
      <c r="B97" s="84">
        <f t="shared" si="0"/>
        <v>2.377672382641121</v>
      </c>
      <c r="C97" s="84">
        <f t="shared" si="1"/>
        <v>0.99999993582222668</v>
      </c>
      <c r="D97"/>
      <c r="E97"/>
      <c r="F97"/>
      <c r="J97" s="99"/>
      <c r="K97" s="127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:31" x14ac:dyDescent="0.25">
      <c r="A98" s="84">
        <f>EXP(LN(A101/A97)/4+LN(A97))</f>
        <v>2.457967808336655</v>
      </c>
      <c r="B98" s="84">
        <f t="shared" si="0"/>
        <v>2.5409748588273868</v>
      </c>
      <c r="C98" s="84">
        <f t="shared" si="1"/>
        <v>0.99999996513942269</v>
      </c>
      <c r="D98"/>
      <c r="E98"/>
      <c r="F98"/>
      <c r="J98" s="99"/>
      <c r="K98" s="127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:31" x14ac:dyDescent="0.25">
      <c r="A99" s="84">
        <f>EXP(2*LN(A101/A97)/4+LN(A97))</f>
        <v>2.6267851073127391</v>
      </c>
      <c r="B99" s="84">
        <f t="shared" si="0"/>
        <v>2.7154932194741281</v>
      </c>
      <c r="C99" s="84">
        <f t="shared" si="1"/>
        <v>0.99999998128822742</v>
      </c>
      <c r="D99"/>
      <c r="E99"/>
      <c r="F99"/>
      <c r="J99" s="99"/>
      <c r="K99" s="127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:31" x14ac:dyDescent="0.25">
      <c r="A100" s="84">
        <f>EXP(3*LN(A101/A97)/4+LN(A97))</f>
        <v>2.807197057909939</v>
      </c>
      <c r="B100" s="84">
        <f t="shared" si="0"/>
        <v>2.9019977900973353</v>
      </c>
      <c r="C100" s="84">
        <f t="shared" si="1"/>
        <v>0.99999999007522866</v>
      </c>
      <c r="D100"/>
      <c r="E100"/>
      <c r="F100"/>
      <c r="J100" s="99"/>
      <c r="K100" s="127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:31" ht="15.75" x14ac:dyDescent="0.25">
      <c r="A101" s="84">
        <v>3</v>
      </c>
      <c r="B101" s="84">
        <f t="shared" si="0"/>
        <v>3.1978077331521191</v>
      </c>
      <c r="C101" s="84">
        <f t="shared" si="1"/>
        <v>0.99999999615427182</v>
      </c>
      <c r="D101"/>
      <c r="E101"/>
      <c r="F101"/>
      <c r="J101" s="99"/>
      <c r="K101" s="127"/>
      <c r="L101" s="120"/>
      <c r="M101" s="121"/>
      <c r="N101" s="121"/>
      <c r="O101" s="121"/>
      <c r="P101" s="121"/>
      <c r="Q101" s="121"/>
      <c r="R101" s="121"/>
      <c r="S101" s="121"/>
      <c r="T101" s="121"/>
      <c r="U101" s="121"/>
      <c r="V101" s="98"/>
      <c r="W101" s="98"/>
      <c r="X101" s="98"/>
      <c r="Y101" s="98"/>
      <c r="Z101" s="98"/>
      <c r="AA101" s="98"/>
      <c r="AB101" s="98"/>
      <c r="AC101" s="98"/>
      <c r="AD101" s="98"/>
      <c r="AE101" s="98">
        <v>0.628</v>
      </c>
    </row>
    <row r="102" spans="1:31" x14ac:dyDescent="0.25">
      <c r="A102" s="84">
        <f>EXP(LN(A105/A101)/4+LN(A101))</f>
        <v>3.4086580994024982</v>
      </c>
      <c r="B102" s="84">
        <f t="shared" si="0"/>
        <v>3.6334110766469716</v>
      </c>
      <c r="C102" s="84">
        <f t="shared" si="1"/>
        <v>0.99999999893734659</v>
      </c>
      <c r="D102"/>
      <c r="E102"/>
      <c r="F102"/>
      <c r="J102" s="99"/>
      <c r="K102" s="127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:31" x14ac:dyDescent="0.25">
      <c r="A103" s="84">
        <f>EXP(2*LN(A105/A101)/4+LN(A101))</f>
        <v>3.8729833462074179</v>
      </c>
      <c r="B103" s="84">
        <f t="shared" si="0"/>
        <v>4.1283520316238169</v>
      </c>
      <c r="C103" s="84">
        <f t="shared" si="1"/>
        <v>0.99999999971906628</v>
      </c>
      <c r="D103"/>
      <c r="E103"/>
      <c r="F103"/>
      <c r="J103" s="99"/>
      <c r="K103" s="127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:31" x14ac:dyDescent="0.25">
      <c r="A104" s="84">
        <f>EXP(3*LN(A105/A101)/4+LN(A101))</f>
        <v>4.4005586839669677</v>
      </c>
      <c r="B104" s="84">
        <f t="shared" si="0"/>
        <v>4.6907135299264269</v>
      </c>
      <c r="C104" s="84">
        <f t="shared" si="1"/>
        <v>0.99999999992894617</v>
      </c>
      <c r="D104"/>
      <c r="E104"/>
      <c r="F104"/>
      <c r="J104" s="99"/>
      <c r="K104" s="127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:31" x14ac:dyDescent="0.25">
      <c r="A105" s="84">
        <v>5</v>
      </c>
      <c r="B105" s="84">
        <f t="shared" si="0"/>
        <v>5.4525386633262878</v>
      </c>
      <c r="C105" s="84">
        <f t="shared" si="1"/>
        <v>0.99999999998671651</v>
      </c>
      <c r="D105"/>
      <c r="E105"/>
      <c r="F105"/>
      <c r="J105" s="99"/>
      <c r="K105" s="127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:31" x14ac:dyDescent="0.25">
      <c r="A106" s="84">
        <f>EXP(LN(A109/A105)/4+LN(A105))</f>
        <v>5.9460355750136049</v>
      </c>
      <c r="B106" s="84">
        <f t="shared" si="0"/>
        <v>6.4841977732550484</v>
      </c>
      <c r="C106" s="84">
        <f t="shared" si="1"/>
        <v>0.99999999999821521</v>
      </c>
      <c r="D106"/>
      <c r="E106"/>
      <c r="F106"/>
      <c r="J106" s="99"/>
      <c r="K106" s="127"/>
      <c r="L106" s="113"/>
      <c r="M106" s="118"/>
      <c r="N106" s="118"/>
      <c r="O106" s="118"/>
      <c r="P106" s="118"/>
      <c r="Q106" s="118"/>
      <c r="R106" s="118"/>
      <c r="S106" s="118"/>
      <c r="T106" s="118"/>
      <c r="U106" s="11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spans="1:31" x14ac:dyDescent="0.25">
      <c r="A107" s="84">
        <f>EXP(2*LN(A109/A105)/4+LN(A105))</f>
        <v>7.0710678118654746</v>
      </c>
      <c r="B107" s="84">
        <f t="shared" si="0"/>
        <v>7.7110541270397031</v>
      </c>
      <c r="C107" s="84">
        <f t="shared" si="1"/>
        <v>0.99999999999977907</v>
      </c>
      <c r="D107"/>
      <c r="E107"/>
      <c r="F107"/>
      <c r="J107" s="99"/>
      <c r="K107" s="127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:31" x14ac:dyDescent="0.25">
      <c r="A108" s="84">
        <f>EXP(3*LN(A109/A105)/4+LN(A105))</f>
        <v>8.408964152537143</v>
      </c>
      <c r="B108" s="84">
        <f t="shared" si="0"/>
        <v>9.1700404320467115</v>
      </c>
      <c r="C108" s="84">
        <f t="shared" si="1"/>
        <v>0.9999999999999748</v>
      </c>
      <c r="D108"/>
      <c r="E108"/>
      <c r="F108"/>
      <c r="J108" s="99"/>
      <c r="K108" s="127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:31" x14ac:dyDescent="0.25">
      <c r="A109" s="84">
        <v>10</v>
      </c>
      <c r="B109" s="84">
        <v>10</v>
      </c>
      <c r="C109" s="84">
        <f t="shared" si="1"/>
        <v>0.99999999999999178</v>
      </c>
      <c r="D109"/>
      <c r="E109"/>
      <c r="F109"/>
      <c r="J109" s="99"/>
      <c r="K109" s="131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:31" x14ac:dyDescent="0.25">
      <c r="K110" s="131"/>
      <c r="L110" s="81"/>
      <c r="M110" s="93"/>
      <c r="N110" s="93"/>
      <c r="O110" s="93"/>
      <c r="P110" s="93"/>
      <c r="Q110" s="93"/>
      <c r="R110" s="93"/>
      <c r="S110" s="93"/>
      <c r="T110" s="93"/>
      <c r="U110" s="3"/>
    </row>
    <row r="111" spans="1:31" x14ac:dyDescent="0.25">
      <c r="K111" s="131"/>
      <c r="L111" s="81"/>
      <c r="M111" s="93"/>
      <c r="N111" s="93"/>
      <c r="O111" s="93"/>
      <c r="P111" s="93"/>
      <c r="Q111" s="93"/>
      <c r="R111" s="93"/>
      <c r="S111" s="93"/>
      <c r="T111" s="93"/>
      <c r="U111" s="3"/>
    </row>
  </sheetData>
  <mergeCells count="25">
    <mergeCell ref="K109:K111"/>
    <mergeCell ref="K91:K93"/>
    <mergeCell ref="K94:K96"/>
    <mergeCell ref="K97:K99"/>
    <mergeCell ref="K100:K102"/>
    <mergeCell ref="K103:K105"/>
    <mergeCell ref="K106:K108"/>
    <mergeCell ref="K88:K90"/>
    <mergeCell ref="J26:K26"/>
    <mergeCell ref="J60:L60"/>
    <mergeCell ref="K62:K64"/>
    <mergeCell ref="E64:F64"/>
    <mergeCell ref="K65:K67"/>
    <mergeCell ref="K68:K70"/>
    <mergeCell ref="K71:K73"/>
    <mergeCell ref="K74:K76"/>
    <mergeCell ref="K77:K79"/>
    <mergeCell ref="K83:AD83"/>
    <mergeCell ref="K85:K87"/>
    <mergeCell ref="J23:K23"/>
    <mergeCell ref="A7:H7"/>
    <mergeCell ref="J7:V7"/>
    <mergeCell ref="J9:K9"/>
    <mergeCell ref="J11:K11"/>
    <mergeCell ref="A17:H17"/>
  </mergeCells>
  <dataValidations count="3">
    <dataValidation type="list" allowBlank="1" showInputMessage="1" showErrorMessage="1" sqref="B21" xr:uid="{05EB9196-DAD2-4359-AB1B-917C06C4C43B}">
      <formula1>"Medium Dense (Sand),Dense (Sand),Very Dense (Sand),Soft (Clay),Medium (Clay),Stiff (Clay)"</formula1>
    </dataValidation>
    <dataValidation type="list" allowBlank="1" showInputMessage="1" showErrorMessage="1" sqref="B20" xr:uid="{A682BEEB-4D7E-4546-9E9F-878D4124559F}">
      <formula1>"Cohesionless (Sand),Cohesive (Clay)"</formula1>
    </dataValidation>
    <dataValidation type="list" allowBlank="1" showInputMessage="1" showErrorMessage="1" sqref="G19 G27 G9:G10 G12:G14" xr:uid="{BAF89376-8874-4D44-8F90-E352FB27DF00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B676-B222-4BA9-9B40-D9E6E2EED95D}">
  <dimension ref="A1:AL44"/>
  <sheetViews>
    <sheetView topLeftCell="N1" zoomScale="115" zoomScaleNormal="115" workbookViewId="0">
      <selection activeCell="AD33" sqref="AD33:AI44"/>
    </sheetView>
  </sheetViews>
  <sheetFormatPr defaultRowHeight="15" x14ac:dyDescent="0.25"/>
  <cols>
    <col min="1" max="1" width="9.140625" style="1"/>
    <col min="8" max="8" width="5.28515625" customWidth="1"/>
    <col min="9" max="9" width="21" style="1" bestFit="1" customWidth="1"/>
    <col min="10" max="10" width="20.85546875" bestFit="1" customWidth="1"/>
    <col min="11" max="11" width="11.42578125" bestFit="1" customWidth="1"/>
    <col min="12" max="12" width="9.140625" style="1"/>
    <col min="13" max="13" width="10.85546875" customWidth="1"/>
    <col min="16" max="16" width="10.42578125" bestFit="1" customWidth="1"/>
    <col min="21" max="21" width="13" customWidth="1"/>
    <col min="22" max="23" width="11.5703125" customWidth="1"/>
    <col min="24" max="24" width="11.42578125" customWidth="1"/>
    <col min="25" max="25" width="12.28515625" customWidth="1"/>
    <col min="27" max="27" width="10.85546875" bestFit="1" customWidth="1"/>
    <col min="28" max="28" width="14.7109375" bestFit="1" customWidth="1"/>
    <col min="29" max="29" width="20.5703125" bestFit="1" customWidth="1"/>
    <col min="30" max="30" width="28.85546875" bestFit="1" customWidth="1"/>
    <col min="31" max="31" width="32.7109375" bestFit="1" customWidth="1"/>
  </cols>
  <sheetData>
    <row r="1" spans="1:38" ht="18" x14ac:dyDescent="0.25">
      <c r="A1" s="1" t="s">
        <v>109</v>
      </c>
      <c r="B1" s="1" t="s">
        <v>110</v>
      </c>
      <c r="C1" s="1"/>
      <c r="D1" s="1" t="s">
        <v>111</v>
      </c>
      <c r="E1" s="1"/>
      <c r="F1" s="1" t="s">
        <v>112</v>
      </c>
      <c r="G1" s="1" t="s">
        <v>113</v>
      </c>
      <c r="H1" s="13" t="s">
        <v>73</v>
      </c>
      <c r="I1" s="10" t="s">
        <v>117</v>
      </c>
      <c r="J1" s="10" t="s">
        <v>118</v>
      </c>
      <c r="K1" s="13" t="s">
        <v>151</v>
      </c>
      <c r="L1" s="13" t="s">
        <v>152</v>
      </c>
      <c r="M1" s="10" t="s">
        <v>153</v>
      </c>
      <c r="N1" s="13" t="s">
        <v>154</v>
      </c>
      <c r="O1" s="10" t="s">
        <v>119</v>
      </c>
      <c r="P1" s="10" t="s">
        <v>155</v>
      </c>
      <c r="Q1" s="17" t="s">
        <v>324</v>
      </c>
      <c r="R1" s="17" t="s">
        <v>327</v>
      </c>
      <c r="S1" s="10" t="s">
        <v>121</v>
      </c>
      <c r="T1" s="10" t="s">
        <v>160</v>
      </c>
      <c r="U1" s="10" t="s">
        <v>169</v>
      </c>
      <c r="V1" s="10" t="s">
        <v>340</v>
      </c>
      <c r="W1" s="10" t="s">
        <v>341</v>
      </c>
      <c r="X1" s="10" t="s">
        <v>342</v>
      </c>
      <c r="Y1" s="10" t="s">
        <v>343</v>
      </c>
      <c r="Z1" s="10" t="s">
        <v>130</v>
      </c>
      <c r="AA1" s="10" t="s">
        <v>344</v>
      </c>
      <c r="AB1" s="10" t="s">
        <v>345</v>
      </c>
      <c r="AC1" s="10" t="s">
        <v>346</v>
      </c>
      <c r="AD1" s="10" t="s">
        <v>347</v>
      </c>
      <c r="AE1" s="10" t="s">
        <v>348</v>
      </c>
      <c r="AF1" s="10" t="s">
        <v>349</v>
      </c>
      <c r="AG1" s="10" t="s">
        <v>350</v>
      </c>
      <c r="AH1" s="10"/>
      <c r="AI1" s="10"/>
      <c r="AK1" s="10" t="s">
        <v>228</v>
      </c>
    </row>
    <row r="2" spans="1:38" x14ac:dyDescent="0.25">
      <c r="A2" s="1" t="s">
        <v>61</v>
      </c>
      <c r="B2" s="1" t="s">
        <v>311</v>
      </c>
      <c r="C2" s="1" t="s">
        <v>1</v>
      </c>
      <c r="D2" s="1" t="s">
        <v>312</v>
      </c>
      <c r="E2" s="1" t="s">
        <v>2</v>
      </c>
      <c r="F2" s="1" t="s">
        <v>146</v>
      </c>
      <c r="G2" s="1" t="s">
        <v>147</v>
      </c>
      <c r="H2" s="13" t="s">
        <v>52</v>
      </c>
      <c r="I2" s="10" t="s">
        <v>0</v>
      </c>
      <c r="J2" s="10" t="s">
        <v>108</v>
      </c>
      <c r="K2" s="13" t="s">
        <v>106</v>
      </c>
      <c r="L2" s="13" t="s">
        <v>107</v>
      </c>
      <c r="M2" s="10" t="s">
        <v>105</v>
      </c>
      <c r="N2" s="13" t="s">
        <v>104</v>
      </c>
      <c r="O2" s="10" t="s">
        <v>310</v>
      </c>
      <c r="P2" s="10" t="s">
        <v>13</v>
      </c>
      <c r="Q2" s="17" t="s">
        <v>353</v>
      </c>
      <c r="R2" s="17" t="s">
        <v>354</v>
      </c>
      <c r="S2" s="10" t="s">
        <v>355</v>
      </c>
      <c r="T2" s="10" t="s">
        <v>307</v>
      </c>
      <c r="U2" s="10" t="s">
        <v>38</v>
      </c>
      <c r="V2" s="10" t="s">
        <v>39</v>
      </c>
      <c r="W2" s="10" t="s">
        <v>126</v>
      </c>
      <c r="X2" s="10" t="s">
        <v>127</v>
      </c>
      <c r="Y2" s="10" t="s">
        <v>128</v>
      </c>
      <c r="Z2" s="10" t="s">
        <v>356</v>
      </c>
      <c r="AA2" s="10" t="s">
        <v>296</v>
      </c>
      <c r="AB2" s="10" t="s">
        <v>345</v>
      </c>
      <c r="AC2" s="10" t="s">
        <v>346</v>
      </c>
      <c r="AD2" s="10" t="s">
        <v>347</v>
      </c>
      <c r="AE2" s="10" t="s">
        <v>348</v>
      </c>
      <c r="AF2" s="10" t="s">
        <v>306</v>
      </c>
      <c r="AG2" s="10" t="s">
        <v>14</v>
      </c>
      <c r="AH2" s="10" t="s">
        <v>313</v>
      </c>
      <c r="AI2" s="10" t="s">
        <v>314</v>
      </c>
      <c r="AK2" s="10"/>
    </row>
    <row r="3" spans="1:38" x14ac:dyDescent="0.25">
      <c r="A3" s="1">
        <v>1</v>
      </c>
      <c r="B3">
        <v>0.20319999999999999</v>
      </c>
      <c r="C3">
        <f>B3*1000</f>
        <v>203.2</v>
      </c>
      <c r="D3">
        <v>1.11252E-2</v>
      </c>
      <c r="E3">
        <f>D3*1000</f>
        <v>11.1252</v>
      </c>
      <c r="F3" s="4">
        <f>B3/D3</f>
        <v>18.264840182648403</v>
      </c>
      <c r="G3" s="1">
        <v>30</v>
      </c>
      <c r="H3" s="1">
        <v>75</v>
      </c>
      <c r="I3" s="1" t="s">
        <v>15</v>
      </c>
      <c r="J3" t="s">
        <v>289</v>
      </c>
      <c r="K3">
        <f>IF(J3="medium dense",18,IF(J3="dense",18.5,IF(J3="very dense",19,IF(J3="soft",17.5,IF(J3="medium stiff",18,IF(J3="stiff",18.5,0))))))</f>
        <v>18</v>
      </c>
      <c r="L3" s="1">
        <f>IF(J3="medium dense",37,IF(J3="dense",40,IF(J3="very dense",43,0)))</f>
        <v>37</v>
      </c>
      <c r="M3">
        <f>IF(J3="soft",37.5,IF(J3="medium stiff",75,IF(J3="stiff",125,0)))</f>
        <v>0</v>
      </c>
      <c r="N3">
        <f>IF(J3="soft",1.1,IF(J3="medium stiff",0.72,IF(J3="stiff",0.4,0)))</f>
        <v>0</v>
      </c>
      <c r="O3" s="1">
        <v>1</v>
      </c>
      <c r="P3">
        <f>IF(I3="sand", PI() * B3 * O3*K3* 0.5 * (1 + (1 - SIN(RADIANS(L3)))) * TAN(RADIANS(0.9*L3)), PI() * B3 * N3 * M3)</f>
        <v>5.2767305728744729</v>
      </c>
      <c r="Q3">
        <f t="shared" ref="Q3:Q22" si="0">IF(AND(H3&lt;=90,H3&gt;60),60-H3,0)</f>
        <v>-15</v>
      </c>
      <c r="R3">
        <f t="shared" ref="R3:R22" si="1">IF(B3&lt;0.5,1,0)</f>
        <v>1</v>
      </c>
      <c r="S3">
        <f t="shared" ref="S3:S22" si="2">LN(F3)</f>
        <v>2.9049779102855271</v>
      </c>
      <c r="T3">
        <f t="shared" ref="T3:T22" si="3">LN(P3)</f>
        <v>1.6633066962458134</v>
      </c>
      <c r="U3" s="38">
        <f t="shared" ref="U3:U22" si="4">-4.11127 + 0.6064 * B3 + 0.002805 * G3 + 0.038944*Q3</f>
        <v>-4.4880595200000002</v>
      </c>
      <c r="V3" s="38">
        <f t="shared" ref="V3:V22" si="5">2.29445 + (-0.04675*B3) + (-0.00104 * G3) + (-0.09201 * Q3)</f>
        <v>3.6339003999999999</v>
      </c>
      <c r="W3" s="38">
        <f t="shared" ref="W3:W22" si="6">0.42882 + 0.09845 * B3 + 0.0006 * G3 + 0.01203*Q3</f>
        <v>0.28637503999999997</v>
      </c>
      <c r="X3" s="38">
        <f t="shared" ref="X3:X22" si="7">2.64335 + (-0.36353*B3) + 0.00086 * G3 + (-0.05422*Q3)</f>
        <v>3.4085807039999998</v>
      </c>
      <c r="Y3" s="38">
        <f>-4.57877 + (-0.04142 * (S3*S3)) + (0.9346 * S3) + (0.4714 * T3) + (0.00007*(180-H3)) + (-5.2467 * R3 * (B3-0.5)) + (-0.28986 * (1-R3))</f>
        <v>0.13533659193712477</v>
      </c>
      <c r="Z3" s="1">
        <v>0.1</v>
      </c>
      <c r="AA3">
        <f>LN(Z3)</f>
        <v>-2.3025850929940455</v>
      </c>
      <c r="AB3">
        <f>AA3-U3</f>
        <v>2.1854744270059547</v>
      </c>
      <c r="AC3">
        <f>AB3/V3</f>
        <v>0.60141285848284531</v>
      </c>
      <c r="AD3">
        <f t="shared" ref="AD3:AD10" si="8">IF(ISNUMBER(ATANH(AC3)),ATANH(AC3),100)</f>
        <v>0.69535770349394732</v>
      </c>
      <c r="AE3">
        <f>AD3/W3</f>
        <v>2.4281365565027855</v>
      </c>
      <c r="AF3">
        <f>AE3-X3+Y3</f>
        <v>-0.84510755556008954</v>
      </c>
      <c r="AG3">
        <f>(MIN(5,EXP(AF3)))</f>
        <v>0.42951115941299955</v>
      </c>
      <c r="AH3">
        <v>0.5</v>
      </c>
      <c r="AI3">
        <v>0.25</v>
      </c>
      <c r="AK3" s="122"/>
      <c r="AL3" t="s">
        <v>351</v>
      </c>
    </row>
    <row r="4" spans="1:38" x14ac:dyDescent="0.25">
      <c r="A4" s="1">
        <v>2</v>
      </c>
      <c r="B4">
        <v>0.30480000000000002</v>
      </c>
      <c r="C4">
        <f t="shared" ref="C4:E22" si="9">B4*1000</f>
        <v>304.8</v>
      </c>
      <c r="D4">
        <v>7.1399999999999996E-3</v>
      </c>
      <c r="E4">
        <f t="shared" si="9"/>
        <v>7.14</v>
      </c>
      <c r="F4" s="4">
        <f t="shared" ref="F4:F22" si="10">B4/D4</f>
        <v>42.689075630252105</v>
      </c>
      <c r="G4" s="1">
        <v>30</v>
      </c>
      <c r="H4" s="1">
        <v>65</v>
      </c>
      <c r="I4" s="1" t="s">
        <v>15</v>
      </c>
      <c r="J4" t="s">
        <v>290</v>
      </c>
      <c r="K4">
        <f t="shared" ref="K4:K22" si="11">IF(J4="medium dense",18,IF(J4="dense",18.5,IF(J4="very dense",19,IF(J4="soft",17.5,IF(J4="medium stiff",18,IF(J4="stiff",18.5,0))))))</f>
        <v>18.5</v>
      </c>
      <c r="L4" s="1">
        <f t="shared" ref="L4:L22" si="12">IF(J4="medium dense",37,IF(J4="dense",40,IF(J4="very dense",43,0)))</f>
        <v>40</v>
      </c>
      <c r="M4">
        <f t="shared" ref="M4:M22" si="13">IF(J4="soft",37.5,IF(J4="medium stiff",75,IF(J4="stiff",125,0)))</f>
        <v>0</v>
      </c>
      <c r="N4">
        <f t="shared" ref="N4:N22" si="14">IF(J4="soft",1.1,IF(J4="medium stiff",0.72,IF(J4="stiff",0.4,0)))</f>
        <v>0</v>
      </c>
      <c r="O4" s="1">
        <v>1.2</v>
      </c>
      <c r="P4">
        <f t="shared" ref="P4:P22" si="15">IF(I4="sand", PI() * B4 * O4*K4* 0.5 * (1 + (1 - SIN(RADIANS(L4)))) * TAN(RADIANS(0.9*L4)), PI() * B4 * N4 * M4)</f>
        <v>10.480853985339262</v>
      </c>
      <c r="Q4">
        <f t="shared" si="0"/>
        <v>-5</v>
      </c>
      <c r="R4">
        <f t="shared" si="1"/>
        <v>1</v>
      </c>
      <c r="S4">
        <f t="shared" si="2"/>
        <v>3.7539430474609983</v>
      </c>
      <c r="T4">
        <f t="shared" si="3"/>
        <v>2.3495501627236917</v>
      </c>
      <c r="U4" s="38">
        <f t="shared" si="4"/>
        <v>-4.0370092800000004</v>
      </c>
      <c r="V4" s="38">
        <f t="shared" si="5"/>
        <v>2.7090505999999994</v>
      </c>
      <c r="W4" s="38">
        <f t="shared" si="6"/>
        <v>0.41667756</v>
      </c>
      <c r="X4" s="38">
        <f t="shared" si="7"/>
        <v>2.8294460559999997</v>
      </c>
      <c r="Y4" s="38">
        <f t="shared" ref="Y4:Y22" si="16">-4.57877 + (-0.04142 * (S4*S4)) + (0.9346 * S4) + (0.4714 * T4) + (0.00007*(180-H4)) + (-5.2467 * R4 * (B4-0.5)) + (-0.28986 * (1-R4))</f>
        <v>0.48575465718868227</v>
      </c>
      <c r="Z4" s="1">
        <v>0.1</v>
      </c>
      <c r="AA4">
        <f t="shared" ref="AA4:AA22" si="17">LN(Z4)</f>
        <v>-2.3025850929940455</v>
      </c>
      <c r="AB4">
        <f t="shared" ref="AB4:AB22" si="18">AA4-U4</f>
        <v>1.7344241870059549</v>
      </c>
      <c r="AC4">
        <f t="shared" ref="AC4:AC22" si="19">AB4/V4</f>
        <v>0.64023321934479749</v>
      </c>
      <c r="AD4">
        <f t="shared" si="8"/>
        <v>0.75856886381101818</v>
      </c>
      <c r="AE4">
        <f t="shared" ref="AE4:AE22" si="20">AD4/W4</f>
        <v>1.8205176775322822</v>
      </c>
      <c r="AF4">
        <f t="shared" ref="AF4:AF22" si="21">AE4-X4+Y4</f>
        <v>-0.52317372127903516</v>
      </c>
      <c r="AG4">
        <f t="shared" ref="AG4:AG22" si="22">EXP(AF4)</f>
        <v>0.5926366964473686</v>
      </c>
      <c r="AH4">
        <v>0.5</v>
      </c>
      <c r="AI4">
        <v>0.25</v>
      </c>
    </row>
    <row r="5" spans="1:38" x14ac:dyDescent="0.25">
      <c r="A5" s="1">
        <v>3</v>
      </c>
      <c r="B5">
        <v>0.40639999999999998</v>
      </c>
      <c r="C5">
        <f t="shared" si="9"/>
        <v>406.4</v>
      </c>
      <c r="D5">
        <v>9.5299999999999985E-3</v>
      </c>
      <c r="E5">
        <f t="shared" si="9"/>
        <v>9.5299999999999994</v>
      </c>
      <c r="F5" s="4">
        <f t="shared" si="10"/>
        <v>42.644281217208821</v>
      </c>
      <c r="G5" s="1">
        <v>50</v>
      </c>
      <c r="H5" s="1">
        <v>58</v>
      </c>
      <c r="I5" s="1" t="s">
        <v>15</v>
      </c>
      <c r="J5" t="s">
        <v>292</v>
      </c>
      <c r="K5">
        <f t="shared" si="11"/>
        <v>19</v>
      </c>
      <c r="L5" s="1">
        <f t="shared" si="12"/>
        <v>43</v>
      </c>
      <c r="M5">
        <f t="shared" si="13"/>
        <v>0</v>
      </c>
      <c r="N5">
        <f t="shared" si="14"/>
        <v>0</v>
      </c>
      <c r="O5" s="1">
        <v>1.5</v>
      </c>
      <c r="P5">
        <f t="shared" si="15"/>
        <v>19.210948347261066</v>
      </c>
      <c r="Q5">
        <f t="shared" si="0"/>
        <v>0</v>
      </c>
      <c r="R5">
        <f t="shared" si="1"/>
        <v>1</v>
      </c>
      <c r="S5">
        <f t="shared" si="2"/>
        <v>3.7528931785981614</v>
      </c>
      <c r="T5">
        <f t="shared" si="3"/>
        <v>2.9554803429362764</v>
      </c>
      <c r="U5" s="38">
        <f t="shared" si="4"/>
        <v>-3.7245790400000001</v>
      </c>
      <c r="V5" s="38">
        <f t="shared" si="5"/>
        <v>2.2234507999999997</v>
      </c>
      <c r="W5" s="38">
        <f t="shared" si="6"/>
        <v>0.49883007999999995</v>
      </c>
      <c r="X5" s="38">
        <f t="shared" si="7"/>
        <v>2.538611408</v>
      </c>
      <c r="Y5" s="38">
        <f t="shared" si="16"/>
        <v>0.23816065574110307</v>
      </c>
      <c r="Z5" s="1">
        <v>0.15</v>
      </c>
      <c r="AA5">
        <f t="shared" si="17"/>
        <v>-1.8971199848858813</v>
      </c>
      <c r="AB5">
        <f t="shared" si="18"/>
        <v>1.8274590551141188</v>
      </c>
      <c r="AC5">
        <f t="shared" si="19"/>
        <v>0.82190217796324483</v>
      </c>
      <c r="AD5">
        <f t="shared" si="8"/>
        <v>1.1626517128318059</v>
      </c>
      <c r="AE5">
        <f t="shared" si="20"/>
        <v>2.3307570241790674</v>
      </c>
      <c r="AF5">
        <f t="shared" si="21"/>
        <v>3.0306271920170491E-2</v>
      </c>
      <c r="AG5">
        <f t="shared" si="22"/>
        <v>1.0307701815768135</v>
      </c>
      <c r="AH5">
        <v>0.5</v>
      </c>
      <c r="AI5">
        <v>0.25</v>
      </c>
    </row>
    <row r="6" spans="1:38" x14ac:dyDescent="0.25">
      <c r="A6" s="1">
        <v>4</v>
      </c>
      <c r="B6">
        <v>0.50800000000000001</v>
      </c>
      <c r="C6">
        <f t="shared" si="9"/>
        <v>508</v>
      </c>
      <c r="D6">
        <v>1.1130000000000001E-2</v>
      </c>
      <c r="E6">
        <f t="shared" si="9"/>
        <v>11.13</v>
      </c>
      <c r="F6" s="4">
        <f t="shared" si="10"/>
        <v>45.642407906558844</v>
      </c>
      <c r="G6" s="1">
        <v>100</v>
      </c>
      <c r="H6" s="1">
        <v>51</v>
      </c>
      <c r="I6" s="1" t="s">
        <v>15</v>
      </c>
      <c r="J6" t="s">
        <v>289</v>
      </c>
      <c r="K6">
        <f t="shared" si="11"/>
        <v>18</v>
      </c>
      <c r="L6" s="1">
        <f t="shared" si="12"/>
        <v>37</v>
      </c>
      <c r="M6">
        <f t="shared" si="13"/>
        <v>0</v>
      </c>
      <c r="N6">
        <f t="shared" si="14"/>
        <v>0</v>
      </c>
      <c r="O6" s="1">
        <v>1</v>
      </c>
      <c r="P6">
        <f t="shared" si="15"/>
        <v>13.191826432186181</v>
      </c>
      <c r="Q6">
        <f t="shared" si="0"/>
        <v>0</v>
      </c>
      <c r="R6">
        <f t="shared" si="1"/>
        <v>0</v>
      </c>
      <c r="S6">
        <f t="shared" si="2"/>
        <v>3.8208372822910284</v>
      </c>
      <c r="T6">
        <f t="shared" si="3"/>
        <v>2.5795974281199685</v>
      </c>
      <c r="U6" s="38">
        <f t="shared" si="4"/>
        <v>-3.5227188000000003</v>
      </c>
      <c r="V6" s="38">
        <f t="shared" si="5"/>
        <v>2.1667009999999998</v>
      </c>
      <c r="W6" s="38">
        <f t="shared" si="6"/>
        <v>0.53883259999999999</v>
      </c>
      <c r="X6" s="38">
        <f t="shared" si="7"/>
        <v>2.5446767599999998</v>
      </c>
      <c r="Y6" s="38">
        <f t="shared" si="16"/>
        <v>-0.67730544236845358</v>
      </c>
      <c r="Z6" s="1">
        <v>0.2</v>
      </c>
      <c r="AA6">
        <f t="shared" si="17"/>
        <v>-1.6094379124341003</v>
      </c>
      <c r="AB6">
        <f t="shared" si="18"/>
        <v>1.9132808875659</v>
      </c>
      <c r="AC6">
        <f t="shared" si="19"/>
        <v>0.88303872457062615</v>
      </c>
      <c r="AD6">
        <f t="shared" si="8"/>
        <v>1.3893995965142862</v>
      </c>
      <c r="AE6">
        <f t="shared" si="20"/>
        <v>2.5785366299557344</v>
      </c>
      <c r="AF6">
        <f t="shared" si="21"/>
        <v>-0.64344557241271894</v>
      </c>
      <c r="AG6">
        <f t="shared" si="22"/>
        <v>0.52547872622126668</v>
      </c>
      <c r="AH6">
        <v>0.5</v>
      </c>
      <c r="AI6">
        <v>0.25</v>
      </c>
    </row>
    <row r="7" spans="1:38" x14ac:dyDescent="0.25">
      <c r="A7" s="1">
        <v>5</v>
      </c>
      <c r="B7">
        <v>0.60960000000000003</v>
      </c>
      <c r="C7">
        <f t="shared" si="9"/>
        <v>609.6</v>
      </c>
      <c r="D7">
        <v>9.5299999999999985E-3</v>
      </c>
      <c r="E7">
        <f t="shared" si="9"/>
        <v>9.5299999999999994</v>
      </c>
      <c r="F7" s="4">
        <f t="shared" si="10"/>
        <v>63.966421825813235</v>
      </c>
      <c r="G7" s="1">
        <v>15</v>
      </c>
      <c r="H7" s="1">
        <v>44</v>
      </c>
      <c r="I7" s="1" t="s">
        <v>15</v>
      </c>
      <c r="J7" t="s">
        <v>290</v>
      </c>
      <c r="K7">
        <f t="shared" si="11"/>
        <v>18.5</v>
      </c>
      <c r="L7" s="1">
        <f t="shared" si="12"/>
        <v>40</v>
      </c>
      <c r="M7">
        <f t="shared" si="13"/>
        <v>0</v>
      </c>
      <c r="N7">
        <f t="shared" si="14"/>
        <v>0</v>
      </c>
      <c r="O7" s="1">
        <v>1.2</v>
      </c>
      <c r="P7">
        <f t="shared" si="15"/>
        <v>20.961707970678525</v>
      </c>
      <c r="Q7">
        <f t="shared" si="0"/>
        <v>0</v>
      </c>
      <c r="R7">
        <f t="shared" si="1"/>
        <v>0</v>
      </c>
      <c r="S7">
        <f t="shared" si="2"/>
        <v>4.158358286706326</v>
      </c>
      <c r="T7">
        <f t="shared" si="3"/>
        <v>3.0426973432836371</v>
      </c>
      <c r="U7" s="38">
        <f t="shared" si="4"/>
        <v>-3.6995335599999999</v>
      </c>
      <c r="V7" s="38">
        <f t="shared" si="5"/>
        <v>2.2503511999999999</v>
      </c>
      <c r="W7" s="38">
        <f t="shared" si="6"/>
        <v>0.49783511999999996</v>
      </c>
      <c r="X7" s="38">
        <f t="shared" si="7"/>
        <v>2.4346421120000001</v>
      </c>
      <c r="Y7" s="38">
        <f t="shared" si="16"/>
        <v>-0.25461312321480745</v>
      </c>
      <c r="Z7" s="1">
        <v>0.2</v>
      </c>
      <c r="AA7">
        <f t="shared" si="17"/>
        <v>-1.6094379124341003</v>
      </c>
      <c r="AB7">
        <f t="shared" si="18"/>
        <v>2.0900956475658994</v>
      </c>
      <c r="AC7">
        <f t="shared" si="19"/>
        <v>0.92878642567697856</v>
      </c>
      <c r="AD7">
        <f t="shared" si="8"/>
        <v>1.6494814191438925</v>
      </c>
      <c r="AE7">
        <f t="shared" si="20"/>
        <v>3.3133086696332161</v>
      </c>
      <c r="AF7">
        <f t="shared" si="21"/>
        <v>0.62405343441840855</v>
      </c>
      <c r="AG7">
        <f t="shared" si="22"/>
        <v>1.8664783768084376</v>
      </c>
      <c r="AH7">
        <v>0.5</v>
      </c>
      <c r="AI7">
        <v>0.25</v>
      </c>
    </row>
    <row r="8" spans="1:38" x14ac:dyDescent="0.25">
      <c r="A8" s="1">
        <v>6</v>
      </c>
      <c r="B8">
        <v>0.76200000000000001</v>
      </c>
      <c r="C8">
        <f t="shared" si="9"/>
        <v>762</v>
      </c>
      <c r="D8">
        <v>1.2699999999999999E-2</v>
      </c>
      <c r="E8">
        <f t="shared" si="9"/>
        <v>12.7</v>
      </c>
      <c r="F8" s="4">
        <f t="shared" si="10"/>
        <v>60</v>
      </c>
      <c r="G8" s="1">
        <v>30</v>
      </c>
      <c r="H8" s="1">
        <v>37</v>
      </c>
      <c r="I8" s="1" t="s">
        <v>15</v>
      </c>
      <c r="J8" t="s">
        <v>292</v>
      </c>
      <c r="K8">
        <f t="shared" si="11"/>
        <v>19</v>
      </c>
      <c r="L8" s="1">
        <f t="shared" si="12"/>
        <v>43</v>
      </c>
      <c r="M8">
        <f t="shared" si="13"/>
        <v>0</v>
      </c>
      <c r="N8">
        <f t="shared" si="14"/>
        <v>0</v>
      </c>
      <c r="O8" s="1">
        <v>1.5</v>
      </c>
      <c r="P8">
        <f t="shared" si="15"/>
        <v>36.020528151114483</v>
      </c>
      <c r="Q8">
        <f t="shared" si="0"/>
        <v>0</v>
      </c>
      <c r="R8">
        <f t="shared" si="1"/>
        <v>0</v>
      </c>
      <c r="S8">
        <f t="shared" si="2"/>
        <v>4.0943445622221004</v>
      </c>
      <c r="T8">
        <f t="shared" si="3"/>
        <v>3.5840890023586498</v>
      </c>
      <c r="U8" s="38">
        <f t="shared" si="4"/>
        <v>-3.5650431999999999</v>
      </c>
      <c r="V8" s="38">
        <f t="shared" si="5"/>
        <v>2.2276265</v>
      </c>
      <c r="W8" s="38">
        <f t="shared" si="6"/>
        <v>0.52183889999999999</v>
      </c>
      <c r="X8" s="38">
        <f t="shared" si="7"/>
        <v>2.3921401399999995</v>
      </c>
      <c r="Y8" s="38">
        <f t="shared" si="16"/>
        <v>-3.6856705703024961E-2</v>
      </c>
      <c r="Z8" s="1">
        <v>0.25</v>
      </c>
      <c r="AA8">
        <f t="shared" si="17"/>
        <v>-1.3862943611198906</v>
      </c>
      <c r="AB8">
        <f t="shared" si="18"/>
        <v>2.1787488388801091</v>
      </c>
      <c r="AC8">
        <f t="shared" si="19"/>
        <v>0.97805841279052352</v>
      </c>
      <c r="AD8">
        <f t="shared" si="8"/>
        <v>2.2507436237850884</v>
      </c>
      <c r="AE8">
        <f t="shared" si="20"/>
        <v>4.3131005062771068</v>
      </c>
      <c r="AF8">
        <f t="shared" si="21"/>
        <v>1.8841036605740824</v>
      </c>
      <c r="AG8">
        <f t="shared" si="22"/>
        <v>6.5804534778841051</v>
      </c>
      <c r="AH8">
        <v>0.5</v>
      </c>
      <c r="AI8">
        <v>0.25</v>
      </c>
    </row>
    <row r="9" spans="1:38" x14ac:dyDescent="0.25">
      <c r="A9" s="1">
        <v>7</v>
      </c>
      <c r="B9">
        <v>0.86360000000000003</v>
      </c>
      <c r="C9">
        <f t="shared" si="9"/>
        <v>863.6</v>
      </c>
      <c r="D9">
        <v>1.1130000000000001E-2</v>
      </c>
      <c r="E9">
        <f t="shared" si="9"/>
        <v>11.13</v>
      </c>
      <c r="F9" s="4">
        <f t="shared" si="10"/>
        <v>77.592093441150041</v>
      </c>
      <c r="G9" s="1">
        <v>50</v>
      </c>
      <c r="H9" s="1">
        <v>30</v>
      </c>
      <c r="I9" s="1" t="s">
        <v>15</v>
      </c>
      <c r="J9" t="s">
        <v>289</v>
      </c>
      <c r="K9">
        <f t="shared" si="11"/>
        <v>18</v>
      </c>
      <c r="L9" s="1">
        <f t="shared" si="12"/>
        <v>37</v>
      </c>
      <c r="M9">
        <f t="shared" si="13"/>
        <v>0</v>
      </c>
      <c r="N9">
        <f t="shared" si="14"/>
        <v>0</v>
      </c>
      <c r="O9" s="1">
        <v>1</v>
      </c>
      <c r="P9">
        <f t="shared" si="15"/>
        <v>22.426104934716506</v>
      </c>
      <c r="Q9">
        <f t="shared" si="0"/>
        <v>0</v>
      </c>
      <c r="R9">
        <f t="shared" si="1"/>
        <v>0</v>
      </c>
      <c r="S9">
        <f t="shared" si="2"/>
        <v>4.3514655333531991</v>
      </c>
      <c r="T9">
        <f t="shared" si="3"/>
        <v>3.1102256791821388</v>
      </c>
      <c r="U9" s="38">
        <f t="shared" si="4"/>
        <v>-3.4473329600000002</v>
      </c>
      <c r="V9" s="38">
        <f t="shared" si="5"/>
        <v>2.2020766999999997</v>
      </c>
      <c r="W9" s="38">
        <f t="shared" si="6"/>
        <v>0.54384142000000002</v>
      </c>
      <c r="X9" s="38">
        <f t="shared" si="7"/>
        <v>2.3724054919999999</v>
      </c>
      <c r="Y9" s="38">
        <f t="shared" si="16"/>
        <v>-0.10938807712897719</v>
      </c>
      <c r="Z9" s="1">
        <v>0.28000000000000003</v>
      </c>
      <c r="AA9">
        <f t="shared" si="17"/>
        <v>-1.2729656758128873</v>
      </c>
      <c r="AB9">
        <f t="shared" si="18"/>
        <v>2.1743672841871131</v>
      </c>
      <c r="AC9">
        <f t="shared" si="19"/>
        <v>0.98741668906769386</v>
      </c>
      <c r="AD9">
        <f t="shared" si="8"/>
        <v>2.5311097606942257</v>
      </c>
      <c r="AE9">
        <f t="shared" si="20"/>
        <v>4.6541320090960072</v>
      </c>
      <c r="AF9">
        <f t="shared" si="21"/>
        <v>2.1723384399670302</v>
      </c>
      <c r="AG9">
        <f t="shared" si="22"/>
        <v>8.7787887273298058</v>
      </c>
      <c r="AH9">
        <v>0.5</v>
      </c>
      <c r="AI9">
        <v>0.25</v>
      </c>
    </row>
    <row r="10" spans="1:38" x14ac:dyDescent="0.25">
      <c r="A10" s="1">
        <v>8</v>
      </c>
      <c r="B10">
        <v>1.0668</v>
      </c>
      <c r="C10">
        <f t="shared" si="9"/>
        <v>1066.8</v>
      </c>
      <c r="D10">
        <v>1.2699999999999999E-2</v>
      </c>
      <c r="E10">
        <f t="shared" si="9"/>
        <v>12.7</v>
      </c>
      <c r="F10" s="4">
        <f t="shared" si="10"/>
        <v>84</v>
      </c>
      <c r="G10" s="1">
        <v>100</v>
      </c>
      <c r="H10" s="1">
        <v>23</v>
      </c>
      <c r="I10" s="1" t="s">
        <v>15</v>
      </c>
      <c r="J10" t="s">
        <v>290</v>
      </c>
      <c r="K10">
        <f t="shared" si="11"/>
        <v>18.5</v>
      </c>
      <c r="L10" s="1">
        <f t="shared" si="12"/>
        <v>40</v>
      </c>
      <c r="M10">
        <f t="shared" si="13"/>
        <v>0</v>
      </c>
      <c r="N10">
        <f t="shared" si="14"/>
        <v>0</v>
      </c>
      <c r="O10" s="1">
        <v>1.2</v>
      </c>
      <c r="P10">
        <f t="shared" si="15"/>
        <v>36.682988948687417</v>
      </c>
      <c r="Q10">
        <f t="shared" si="0"/>
        <v>0</v>
      </c>
      <c r="R10">
        <f t="shared" si="1"/>
        <v>0</v>
      </c>
      <c r="S10">
        <f t="shared" si="2"/>
        <v>4.4308167988433134</v>
      </c>
      <c r="T10">
        <f t="shared" si="3"/>
        <v>3.6023131312190597</v>
      </c>
      <c r="U10" s="38">
        <f t="shared" si="4"/>
        <v>-3.1838624800000002</v>
      </c>
      <c r="V10" s="38">
        <f t="shared" si="5"/>
        <v>2.1405770999999998</v>
      </c>
      <c r="W10" s="38">
        <f t="shared" si="6"/>
        <v>0.59384645999999996</v>
      </c>
      <c r="X10" s="38">
        <f t="shared" si="7"/>
        <v>2.3415361959999998</v>
      </c>
      <c r="Y10" s="38">
        <f t="shared" si="16"/>
        <v>0.16836865480216651</v>
      </c>
      <c r="Z10" s="1">
        <v>0.18</v>
      </c>
      <c r="AA10">
        <f t="shared" si="17"/>
        <v>-1.7147984280919266</v>
      </c>
      <c r="AB10">
        <f t="shared" si="18"/>
        <v>1.4690640519080735</v>
      </c>
      <c r="AC10">
        <f t="shared" si="19"/>
        <v>0.68629345418488952</v>
      </c>
      <c r="AD10">
        <f t="shared" si="8"/>
        <v>0.8409150977233486</v>
      </c>
      <c r="AE10">
        <f t="shared" si="20"/>
        <v>1.416048009654463</v>
      </c>
      <c r="AF10">
        <f t="shared" si="21"/>
        <v>-0.75711953154337031</v>
      </c>
      <c r="AG10">
        <f t="shared" si="22"/>
        <v>0.46901546740252487</v>
      </c>
      <c r="AH10">
        <v>0.5</v>
      </c>
      <c r="AI10">
        <v>0.25</v>
      </c>
    </row>
    <row r="11" spans="1:38" x14ac:dyDescent="0.25">
      <c r="A11" s="1">
        <v>9</v>
      </c>
      <c r="B11">
        <v>0.60960000000000003</v>
      </c>
      <c r="C11">
        <f t="shared" si="9"/>
        <v>609.6</v>
      </c>
      <c r="D11">
        <v>1.1130000000000001E-2</v>
      </c>
      <c r="E11">
        <f t="shared" si="9"/>
        <v>11.13</v>
      </c>
      <c r="F11" s="4">
        <f t="shared" si="10"/>
        <v>54.770889487870619</v>
      </c>
      <c r="G11" s="1">
        <v>150</v>
      </c>
      <c r="H11" s="1">
        <v>16</v>
      </c>
      <c r="I11" s="1" t="s">
        <v>15</v>
      </c>
      <c r="J11" t="s">
        <v>292</v>
      </c>
      <c r="K11">
        <f t="shared" si="11"/>
        <v>19</v>
      </c>
      <c r="L11" s="1">
        <f t="shared" si="12"/>
        <v>43</v>
      </c>
      <c r="M11">
        <f t="shared" si="13"/>
        <v>0</v>
      </c>
      <c r="N11">
        <f t="shared" si="14"/>
        <v>0</v>
      </c>
      <c r="O11" s="1">
        <v>1.5</v>
      </c>
      <c r="P11">
        <f t="shared" si="15"/>
        <v>28.816422520891596</v>
      </c>
      <c r="Q11">
        <f t="shared" si="0"/>
        <v>0</v>
      </c>
      <c r="R11">
        <f t="shared" si="1"/>
        <v>0</v>
      </c>
      <c r="S11">
        <f t="shared" si="2"/>
        <v>4.0031588390849828</v>
      </c>
      <c r="T11">
        <f t="shared" si="3"/>
        <v>3.3609454510444405</v>
      </c>
      <c r="U11" s="38">
        <f t="shared" si="4"/>
        <v>-3.32085856</v>
      </c>
      <c r="V11" s="38">
        <f t="shared" si="5"/>
        <v>2.1099511999999998</v>
      </c>
      <c r="W11" s="38">
        <f t="shared" si="6"/>
        <v>0.57883511999999993</v>
      </c>
      <c r="X11" s="38">
        <f t="shared" si="7"/>
        <v>2.550742112</v>
      </c>
      <c r="Y11" s="38">
        <f t="shared" si="16"/>
        <v>-0.19521518958773559</v>
      </c>
      <c r="Z11" s="1">
        <v>0.4</v>
      </c>
      <c r="AA11">
        <f t="shared" si="17"/>
        <v>-0.916290731874155</v>
      </c>
      <c r="AB11">
        <f t="shared" si="18"/>
        <v>2.4045678281258449</v>
      </c>
      <c r="AC11">
        <f t="shared" si="19"/>
        <v>1.13963196311168</v>
      </c>
      <c r="AD11" s="122">
        <f>IF(AC11&gt;=1,5,ATANH(AC11))</f>
        <v>5</v>
      </c>
      <c r="AE11" s="122">
        <f t="shared" si="20"/>
        <v>8.6380384106617445</v>
      </c>
      <c r="AF11" s="122">
        <f t="shared" si="21"/>
        <v>5.8920811090740086</v>
      </c>
      <c r="AG11" s="122">
        <f t="shared" si="22"/>
        <v>362.15819135803019</v>
      </c>
      <c r="AH11" s="122">
        <v>0.5</v>
      </c>
      <c r="AI11" s="122">
        <v>0.25</v>
      </c>
    </row>
    <row r="12" spans="1:38" x14ac:dyDescent="0.25">
      <c r="A12" s="1">
        <v>10</v>
      </c>
      <c r="B12">
        <v>0.60960000000000003</v>
      </c>
      <c r="C12">
        <f t="shared" si="9"/>
        <v>609.6</v>
      </c>
      <c r="D12">
        <v>1.1130000000000001E-2</v>
      </c>
      <c r="E12">
        <f t="shared" si="9"/>
        <v>11.13</v>
      </c>
      <c r="F12" s="4">
        <f t="shared" si="10"/>
        <v>54.770889487870619</v>
      </c>
      <c r="G12" s="1">
        <v>200</v>
      </c>
      <c r="H12" s="1">
        <v>15</v>
      </c>
      <c r="I12" s="1" t="s">
        <v>15</v>
      </c>
      <c r="J12" t="s">
        <v>289</v>
      </c>
      <c r="K12">
        <f t="shared" si="11"/>
        <v>18</v>
      </c>
      <c r="L12" s="1">
        <f t="shared" si="12"/>
        <v>37</v>
      </c>
      <c r="M12">
        <f t="shared" si="13"/>
        <v>0</v>
      </c>
      <c r="N12">
        <f t="shared" si="14"/>
        <v>0</v>
      </c>
      <c r="O12" s="1">
        <v>1.2</v>
      </c>
      <c r="P12">
        <f t="shared" si="15"/>
        <v>18.996230062348097</v>
      </c>
      <c r="Q12">
        <f t="shared" si="0"/>
        <v>0</v>
      </c>
      <c r="R12">
        <f t="shared" si="1"/>
        <v>0</v>
      </c>
      <c r="S12">
        <f t="shared" si="2"/>
        <v>4.0031588390849828</v>
      </c>
      <c r="T12">
        <f t="shared" si="3"/>
        <v>2.9442405417078774</v>
      </c>
      <c r="U12" s="38">
        <f t="shared" si="4"/>
        <v>-3.18060856</v>
      </c>
      <c r="V12" s="38">
        <f t="shared" si="5"/>
        <v>2.0579511999999998</v>
      </c>
      <c r="W12" s="38">
        <f t="shared" si="6"/>
        <v>0.60883511999999995</v>
      </c>
      <c r="X12" s="38">
        <f t="shared" si="7"/>
        <v>2.5937421120000002</v>
      </c>
      <c r="Y12" s="38">
        <f t="shared" si="16"/>
        <v>-0.39157988384899139</v>
      </c>
      <c r="Z12" s="1">
        <v>1.2</v>
      </c>
      <c r="AA12">
        <f t="shared" si="17"/>
        <v>0.18232155679395459</v>
      </c>
      <c r="AB12">
        <f t="shared" si="18"/>
        <v>3.3629301167939545</v>
      </c>
      <c r="AC12">
        <f t="shared" si="19"/>
        <v>1.6341155790253699</v>
      </c>
      <c r="AD12" s="122">
        <f>IF(AC12&gt;=1,5,ATANH(AC12))</f>
        <v>5</v>
      </c>
      <c r="AE12" s="122">
        <f t="shared" si="20"/>
        <v>8.2124040413437385</v>
      </c>
      <c r="AF12" s="122">
        <f t="shared" si="21"/>
        <v>5.2270820454947469</v>
      </c>
      <c r="AG12" s="122">
        <f t="shared" si="22"/>
        <v>186.2485450644661</v>
      </c>
      <c r="AH12" s="122">
        <v>0.5</v>
      </c>
      <c r="AI12" s="122">
        <v>0.25</v>
      </c>
    </row>
    <row r="13" spans="1:38" x14ac:dyDescent="0.25">
      <c r="A13" s="1">
        <v>11</v>
      </c>
      <c r="B13">
        <v>0.20319999999999999</v>
      </c>
      <c r="C13">
        <f t="shared" si="9"/>
        <v>203.2</v>
      </c>
      <c r="D13">
        <v>5.5599999999999998E-3</v>
      </c>
      <c r="E13">
        <f t="shared" si="9"/>
        <v>5.56</v>
      </c>
      <c r="F13" s="4">
        <f t="shared" si="10"/>
        <v>36.546762589928058</v>
      </c>
      <c r="G13" s="1">
        <v>15</v>
      </c>
      <c r="H13" s="1">
        <v>72</v>
      </c>
      <c r="I13" s="1" t="s">
        <v>16</v>
      </c>
      <c r="J13" t="s">
        <v>287</v>
      </c>
      <c r="K13">
        <f t="shared" si="11"/>
        <v>17.5</v>
      </c>
      <c r="L13" s="1">
        <f t="shared" si="12"/>
        <v>0</v>
      </c>
      <c r="M13">
        <f t="shared" si="13"/>
        <v>37.5</v>
      </c>
      <c r="N13">
        <f t="shared" si="14"/>
        <v>1.1000000000000001</v>
      </c>
      <c r="O13" s="1" t="s">
        <v>352</v>
      </c>
      <c r="P13">
        <f t="shared" si="15"/>
        <v>26.332829622389646</v>
      </c>
      <c r="Q13">
        <f t="shared" si="0"/>
        <v>-12</v>
      </c>
      <c r="R13">
        <f t="shared" si="1"/>
        <v>1</v>
      </c>
      <c r="S13">
        <f t="shared" si="2"/>
        <v>3.598592607441836</v>
      </c>
      <c r="T13">
        <f t="shared" si="3"/>
        <v>3.2708164353522799</v>
      </c>
      <c r="U13" s="38">
        <f t="shared" si="4"/>
        <v>-4.4133025200000002</v>
      </c>
      <c r="V13" s="38">
        <f t="shared" si="5"/>
        <v>3.3734704</v>
      </c>
      <c r="W13" s="38">
        <f t="shared" si="6"/>
        <v>0.31346503999999997</v>
      </c>
      <c r="X13" s="38">
        <f t="shared" si="7"/>
        <v>3.2330207040000003</v>
      </c>
      <c r="Y13" s="38">
        <f t="shared" si="16"/>
        <v>1.3547345147356484</v>
      </c>
      <c r="Z13" s="1">
        <v>0.05</v>
      </c>
      <c r="AA13">
        <f t="shared" si="17"/>
        <v>-2.9957322735539909</v>
      </c>
      <c r="AB13">
        <f t="shared" si="18"/>
        <v>1.4175702464460094</v>
      </c>
      <c r="AC13">
        <f t="shared" si="19"/>
        <v>0.4202112597300422</v>
      </c>
      <c r="AD13">
        <f t="shared" ref="AD13:AD20" si="23">IF(ISNUMBER(ATANH(AC13)),ATANH(AC13),100)</f>
        <v>0.44794855885624785</v>
      </c>
      <c r="AE13">
        <f t="shared" si="20"/>
        <v>1.4290223843024021</v>
      </c>
      <c r="AF13">
        <f t="shared" si="21"/>
        <v>-0.44926380496194973</v>
      </c>
      <c r="AG13">
        <f t="shared" si="22"/>
        <v>0.63809774313738099</v>
      </c>
      <c r="AH13">
        <v>0.5</v>
      </c>
      <c r="AI13">
        <v>0.25</v>
      </c>
    </row>
    <row r="14" spans="1:38" x14ac:dyDescent="0.25">
      <c r="A14" s="1">
        <v>12</v>
      </c>
      <c r="B14">
        <v>0.30480000000000002</v>
      </c>
      <c r="C14">
        <f t="shared" si="9"/>
        <v>304.8</v>
      </c>
      <c r="D14">
        <v>7.1399999999999996E-3</v>
      </c>
      <c r="E14">
        <f t="shared" si="9"/>
        <v>7.14</v>
      </c>
      <c r="F14" s="4">
        <f t="shared" si="10"/>
        <v>42.689075630252105</v>
      </c>
      <c r="G14" s="1">
        <v>30</v>
      </c>
      <c r="H14" s="1">
        <v>65</v>
      </c>
      <c r="I14" s="1" t="s">
        <v>16</v>
      </c>
      <c r="J14" t="s">
        <v>291</v>
      </c>
      <c r="K14">
        <f t="shared" si="11"/>
        <v>18</v>
      </c>
      <c r="L14" s="1">
        <f t="shared" si="12"/>
        <v>0</v>
      </c>
      <c r="M14">
        <f t="shared" si="13"/>
        <v>75</v>
      </c>
      <c r="N14">
        <f t="shared" si="14"/>
        <v>0.72</v>
      </c>
      <c r="O14" s="1" t="s">
        <v>352</v>
      </c>
      <c r="P14">
        <f t="shared" si="15"/>
        <v>51.708101803965121</v>
      </c>
      <c r="Q14">
        <f t="shared" si="0"/>
        <v>-5</v>
      </c>
      <c r="R14">
        <f t="shared" si="1"/>
        <v>1</v>
      </c>
      <c r="S14">
        <f t="shared" si="2"/>
        <v>3.7539430474609983</v>
      </c>
      <c r="T14">
        <f t="shared" si="3"/>
        <v>3.9456144772440287</v>
      </c>
      <c r="U14" s="38">
        <f t="shared" si="4"/>
        <v>-4.0370092800000004</v>
      </c>
      <c r="V14" s="38">
        <f t="shared" si="5"/>
        <v>2.7090505999999994</v>
      </c>
      <c r="W14" s="38">
        <f t="shared" si="6"/>
        <v>0.41667756</v>
      </c>
      <c r="X14" s="38">
        <f t="shared" si="7"/>
        <v>2.8294460559999997</v>
      </c>
      <c r="Y14" s="38">
        <f t="shared" si="16"/>
        <v>1.238139375053569</v>
      </c>
      <c r="Z14" s="1">
        <v>0.1</v>
      </c>
      <c r="AA14">
        <f t="shared" si="17"/>
        <v>-2.3025850929940455</v>
      </c>
      <c r="AB14">
        <f t="shared" si="18"/>
        <v>1.7344241870059549</v>
      </c>
      <c r="AC14">
        <f t="shared" si="19"/>
        <v>0.64023321934479749</v>
      </c>
      <c r="AD14">
        <f t="shared" si="23"/>
        <v>0.75856886381101818</v>
      </c>
      <c r="AE14">
        <f t="shared" si="20"/>
        <v>1.8205176775322822</v>
      </c>
      <c r="AF14">
        <f t="shared" si="21"/>
        <v>0.22921099658585153</v>
      </c>
      <c r="AG14">
        <f t="shared" si="22"/>
        <v>1.257607361877443</v>
      </c>
      <c r="AH14">
        <v>0.5</v>
      </c>
      <c r="AI14">
        <v>0.25</v>
      </c>
    </row>
    <row r="15" spans="1:38" x14ac:dyDescent="0.25">
      <c r="A15" s="1">
        <v>13</v>
      </c>
      <c r="B15">
        <v>0.40639999999999998</v>
      </c>
      <c r="C15">
        <f t="shared" si="9"/>
        <v>406.4</v>
      </c>
      <c r="D15">
        <v>9.5299999999999985E-3</v>
      </c>
      <c r="E15">
        <f t="shared" si="9"/>
        <v>9.5299999999999994</v>
      </c>
      <c r="F15" s="4">
        <f t="shared" si="10"/>
        <v>42.644281217208821</v>
      </c>
      <c r="G15" s="1">
        <v>50</v>
      </c>
      <c r="H15" s="1">
        <v>58</v>
      </c>
      <c r="I15" s="1" t="s">
        <v>16</v>
      </c>
      <c r="J15" t="s">
        <v>288</v>
      </c>
      <c r="K15">
        <f t="shared" si="11"/>
        <v>18.5</v>
      </c>
      <c r="L15" s="1">
        <f t="shared" si="12"/>
        <v>0</v>
      </c>
      <c r="M15">
        <f t="shared" si="13"/>
        <v>125</v>
      </c>
      <c r="N15">
        <f t="shared" si="14"/>
        <v>0.4</v>
      </c>
      <c r="O15" s="1" t="s">
        <v>352</v>
      </c>
      <c r="P15">
        <f t="shared" si="15"/>
        <v>63.837162720944598</v>
      </c>
      <c r="Q15">
        <f t="shared" si="0"/>
        <v>0</v>
      </c>
      <c r="R15">
        <f t="shared" si="1"/>
        <v>1</v>
      </c>
      <c r="S15">
        <f t="shared" si="2"/>
        <v>3.7528931785981614</v>
      </c>
      <c r="T15">
        <f t="shared" si="3"/>
        <v>4.1563355085596809</v>
      </c>
      <c r="U15" s="38">
        <f t="shared" si="4"/>
        <v>-3.7245790400000001</v>
      </c>
      <c r="V15" s="38">
        <f t="shared" si="5"/>
        <v>2.2234507999999997</v>
      </c>
      <c r="W15" s="38">
        <f t="shared" si="6"/>
        <v>0.49883007999999995</v>
      </c>
      <c r="X15" s="38">
        <f t="shared" si="7"/>
        <v>2.538611408</v>
      </c>
      <c r="Y15" s="38">
        <f t="shared" si="16"/>
        <v>0.80424378081597592</v>
      </c>
      <c r="Z15" s="1">
        <v>0.15</v>
      </c>
      <c r="AA15">
        <f t="shared" si="17"/>
        <v>-1.8971199848858813</v>
      </c>
      <c r="AB15">
        <f t="shared" si="18"/>
        <v>1.8274590551141188</v>
      </c>
      <c r="AC15">
        <f t="shared" si="19"/>
        <v>0.82190217796324483</v>
      </c>
      <c r="AD15">
        <f t="shared" si="23"/>
        <v>1.1626517128318059</v>
      </c>
      <c r="AE15">
        <f t="shared" si="20"/>
        <v>2.3307570241790674</v>
      </c>
      <c r="AF15">
        <f t="shared" si="21"/>
        <v>0.59638939699504334</v>
      </c>
      <c r="AG15">
        <f t="shared" si="22"/>
        <v>1.8155517154769825</v>
      </c>
      <c r="AH15">
        <v>0.5</v>
      </c>
      <c r="AI15">
        <v>0.25</v>
      </c>
    </row>
    <row r="16" spans="1:38" x14ac:dyDescent="0.25">
      <c r="A16" s="1">
        <v>14</v>
      </c>
      <c r="B16">
        <v>0.50800000000000001</v>
      </c>
      <c r="C16">
        <f t="shared" si="9"/>
        <v>508</v>
      </c>
      <c r="D16">
        <v>1.1130000000000001E-2</v>
      </c>
      <c r="E16">
        <f t="shared" si="9"/>
        <v>11.13</v>
      </c>
      <c r="F16" s="4">
        <f t="shared" si="10"/>
        <v>45.642407906558844</v>
      </c>
      <c r="G16" s="1">
        <v>100</v>
      </c>
      <c r="H16" s="1">
        <v>51</v>
      </c>
      <c r="I16" s="1" t="s">
        <v>16</v>
      </c>
      <c r="J16" t="s">
        <v>287</v>
      </c>
      <c r="K16">
        <f t="shared" si="11"/>
        <v>17.5</v>
      </c>
      <c r="L16" s="1">
        <f t="shared" si="12"/>
        <v>0</v>
      </c>
      <c r="M16">
        <f t="shared" si="13"/>
        <v>37.5</v>
      </c>
      <c r="N16">
        <f t="shared" si="14"/>
        <v>1.1000000000000001</v>
      </c>
      <c r="O16" s="1" t="s">
        <v>352</v>
      </c>
      <c r="P16">
        <f t="shared" si="15"/>
        <v>65.832074055974118</v>
      </c>
      <c r="Q16">
        <f t="shared" si="0"/>
        <v>0</v>
      </c>
      <c r="R16">
        <f t="shared" si="1"/>
        <v>0</v>
      </c>
      <c r="S16">
        <f t="shared" si="2"/>
        <v>3.8208372822910284</v>
      </c>
      <c r="T16">
        <f t="shared" si="3"/>
        <v>4.1871071672264346</v>
      </c>
      <c r="U16" s="38">
        <f t="shared" si="4"/>
        <v>-3.5227188000000003</v>
      </c>
      <c r="V16" s="38">
        <f t="shared" si="5"/>
        <v>2.1667009999999998</v>
      </c>
      <c r="W16" s="38">
        <f t="shared" si="6"/>
        <v>0.53883259999999999</v>
      </c>
      <c r="X16" s="38">
        <f t="shared" si="7"/>
        <v>2.5446767599999998</v>
      </c>
      <c r="Y16" s="38">
        <f t="shared" si="16"/>
        <v>8.0474648646334468E-2</v>
      </c>
      <c r="Z16" s="1">
        <v>0.2</v>
      </c>
      <c r="AA16">
        <f t="shared" si="17"/>
        <v>-1.6094379124341003</v>
      </c>
      <c r="AB16">
        <f t="shared" si="18"/>
        <v>1.9132808875659</v>
      </c>
      <c r="AC16">
        <f t="shared" si="19"/>
        <v>0.88303872457062615</v>
      </c>
      <c r="AD16">
        <f t="shared" si="23"/>
        <v>1.3893995965142862</v>
      </c>
      <c r="AE16">
        <f t="shared" si="20"/>
        <v>2.5785366299557344</v>
      </c>
      <c r="AF16">
        <f t="shared" si="21"/>
        <v>0.11433451860206911</v>
      </c>
      <c r="AG16">
        <f t="shared" si="22"/>
        <v>1.1211271000328198</v>
      </c>
      <c r="AH16">
        <v>0.5</v>
      </c>
      <c r="AI16">
        <v>0.25</v>
      </c>
    </row>
    <row r="17" spans="1:38" x14ac:dyDescent="0.25">
      <c r="A17" s="1">
        <v>15</v>
      </c>
      <c r="B17">
        <v>0.60960000000000003</v>
      </c>
      <c r="C17">
        <f t="shared" si="9"/>
        <v>609.6</v>
      </c>
      <c r="D17">
        <v>9.5299999999999985E-3</v>
      </c>
      <c r="E17">
        <f t="shared" si="9"/>
        <v>9.5299999999999994</v>
      </c>
      <c r="F17" s="4">
        <f t="shared" si="10"/>
        <v>63.966421825813235</v>
      </c>
      <c r="G17" s="1">
        <v>15</v>
      </c>
      <c r="H17" s="1">
        <v>44</v>
      </c>
      <c r="I17" s="1" t="s">
        <v>16</v>
      </c>
      <c r="J17" t="s">
        <v>291</v>
      </c>
      <c r="K17">
        <f t="shared" si="11"/>
        <v>18</v>
      </c>
      <c r="L17" s="1">
        <f t="shared" si="12"/>
        <v>0</v>
      </c>
      <c r="M17">
        <f t="shared" si="13"/>
        <v>75</v>
      </c>
      <c r="N17">
        <f t="shared" si="14"/>
        <v>0.72</v>
      </c>
      <c r="O17" s="1" t="s">
        <v>352</v>
      </c>
      <c r="P17">
        <f t="shared" si="15"/>
        <v>103.41620360793024</v>
      </c>
      <c r="Q17">
        <f t="shared" si="0"/>
        <v>0</v>
      </c>
      <c r="R17">
        <f t="shared" si="1"/>
        <v>0</v>
      </c>
      <c r="S17">
        <f t="shared" si="2"/>
        <v>4.158358286706326</v>
      </c>
      <c r="T17">
        <f t="shared" si="3"/>
        <v>4.6387616578039736</v>
      </c>
      <c r="U17" s="38">
        <f t="shared" si="4"/>
        <v>-3.6995335599999999</v>
      </c>
      <c r="V17" s="38">
        <f t="shared" si="5"/>
        <v>2.2503511999999999</v>
      </c>
      <c r="W17" s="38">
        <f t="shared" si="6"/>
        <v>0.49783511999999996</v>
      </c>
      <c r="X17" s="38">
        <f t="shared" si="7"/>
        <v>2.4346421120000001</v>
      </c>
      <c r="Y17" s="38">
        <f t="shared" si="16"/>
        <v>0.49777159465007936</v>
      </c>
      <c r="Z17" s="1">
        <v>0.2</v>
      </c>
      <c r="AA17">
        <f t="shared" si="17"/>
        <v>-1.6094379124341003</v>
      </c>
      <c r="AB17">
        <f t="shared" si="18"/>
        <v>2.0900956475658994</v>
      </c>
      <c r="AC17">
        <f t="shared" si="19"/>
        <v>0.92878642567697856</v>
      </c>
      <c r="AD17">
        <f t="shared" si="23"/>
        <v>1.6494814191438925</v>
      </c>
      <c r="AE17">
        <f t="shared" si="20"/>
        <v>3.3133086696332161</v>
      </c>
      <c r="AF17">
        <f t="shared" si="21"/>
        <v>1.3764381522832954</v>
      </c>
      <c r="AG17">
        <f t="shared" si="22"/>
        <v>3.9607688176086686</v>
      </c>
      <c r="AH17">
        <v>0.5</v>
      </c>
      <c r="AI17">
        <v>0.25</v>
      </c>
    </row>
    <row r="18" spans="1:38" x14ac:dyDescent="0.25">
      <c r="A18" s="1">
        <v>16</v>
      </c>
      <c r="B18">
        <v>0.76200000000000001</v>
      </c>
      <c r="C18">
        <f t="shared" si="9"/>
        <v>762</v>
      </c>
      <c r="D18">
        <v>1.2699999999999999E-2</v>
      </c>
      <c r="E18">
        <f t="shared" si="9"/>
        <v>12.7</v>
      </c>
      <c r="F18" s="4">
        <f t="shared" si="10"/>
        <v>60</v>
      </c>
      <c r="G18" s="1">
        <v>30</v>
      </c>
      <c r="H18" s="1">
        <v>37</v>
      </c>
      <c r="I18" s="1" t="s">
        <v>16</v>
      </c>
      <c r="J18" t="s">
        <v>288</v>
      </c>
      <c r="K18">
        <f t="shared" si="11"/>
        <v>18.5</v>
      </c>
      <c r="L18" s="1">
        <f t="shared" si="12"/>
        <v>0</v>
      </c>
      <c r="M18">
        <f t="shared" si="13"/>
        <v>125</v>
      </c>
      <c r="N18">
        <f t="shared" si="14"/>
        <v>0.4</v>
      </c>
      <c r="O18" s="1" t="s">
        <v>352</v>
      </c>
      <c r="P18">
        <f t="shared" si="15"/>
        <v>119.69468010177111</v>
      </c>
      <c r="Q18">
        <f t="shared" si="0"/>
        <v>0</v>
      </c>
      <c r="R18">
        <f t="shared" si="1"/>
        <v>0</v>
      </c>
      <c r="S18">
        <f t="shared" si="2"/>
        <v>4.0943445622221004</v>
      </c>
      <c r="T18">
        <f t="shared" si="3"/>
        <v>4.7849441679820552</v>
      </c>
      <c r="U18" s="38">
        <f t="shared" si="4"/>
        <v>-3.5650431999999999</v>
      </c>
      <c r="V18" s="38">
        <f t="shared" si="5"/>
        <v>2.2276265</v>
      </c>
      <c r="W18" s="38">
        <f t="shared" si="6"/>
        <v>0.52183889999999999</v>
      </c>
      <c r="X18" s="38">
        <f t="shared" si="7"/>
        <v>2.3921401399999995</v>
      </c>
      <c r="Y18" s="38">
        <f t="shared" si="16"/>
        <v>0.529226419371848</v>
      </c>
      <c r="Z18" s="1">
        <v>0.25</v>
      </c>
      <c r="AA18">
        <f t="shared" si="17"/>
        <v>-1.3862943611198906</v>
      </c>
      <c r="AB18">
        <f t="shared" si="18"/>
        <v>2.1787488388801091</v>
      </c>
      <c r="AC18">
        <f t="shared" si="19"/>
        <v>0.97805841279052352</v>
      </c>
      <c r="AD18">
        <f t="shared" si="23"/>
        <v>2.2507436237850884</v>
      </c>
      <c r="AE18">
        <f t="shared" si="20"/>
        <v>4.3131005062771068</v>
      </c>
      <c r="AF18">
        <f t="shared" si="21"/>
        <v>2.4501867856489552</v>
      </c>
      <c r="AG18">
        <f t="shared" si="22"/>
        <v>11.590511458250456</v>
      </c>
      <c r="AH18">
        <v>0.5</v>
      </c>
      <c r="AI18">
        <v>0.25</v>
      </c>
    </row>
    <row r="19" spans="1:38" x14ac:dyDescent="0.25">
      <c r="A19" s="1">
        <v>17</v>
      </c>
      <c r="B19">
        <v>0.86360000000000003</v>
      </c>
      <c r="C19">
        <f t="shared" si="9"/>
        <v>863.6</v>
      </c>
      <c r="D19">
        <v>1.1130000000000001E-2</v>
      </c>
      <c r="E19">
        <f t="shared" si="9"/>
        <v>11.13</v>
      </c>
      <c r="F19" s="4">
        <f t="shared" si="10"/>
        <v>77.592093441150041</v>
      </c>
      <c r="G19" s="1">
        <v>50</v>
      </c>
      <c r="H19" s="1">
        <v>30</v>
      </c>
      <c r="I19" s="1" t="s">
        <v>16</v>
      </c>
      <c r="J19" t="s">
        <v>287</v>
      </c>
      <c r="K19">
        <f t="shared" si="11"/>
        <v>17.5</v>
      </c>
      <c r="L19" s="1">
        <f t="shared" si="12"/>
        <v>0</v>
      </c>
      <c r="M19">
        <f t="shared" si="13"/>
        <v>37.5</v>
      </c>
      <c r="N19">
        <f t="shared" si="14"/>
        <v>1.1000000000000001</v>
      </c>
      <c r="O19" s="1" t="s">
        <v>352</v>
      </c>
      <c r="P19">
        <f t="shared" si="15"/>
        <v>111.91452589515602</v>
      </c>
      <c r="Q19">
        <f t="shared" si="0"/>
        <v>0</v>
      </c>
      <c r="R19">
        <f t="shared" si="1"/>
        <v>0</v>
      </c>
      <c r="S19">
        <f t="shared" si="2"/>
        <v>4.3514655333531991</v>
      </c>
      <c r="T19">
        <f t="shared" si="3"/>
        <v>4.7177354182886058</v>
      </c>
      <c r="U19" s="38">
        <f t="shared" si="4"/>
        <v>-3.4473329600000002</v>
      </c>
      <c r="V19" s="38">
        <f t="shared" si="5"/>
        <v>2.2020766999999997</v>
      </c>
      <c r="W19" s="38">
        <f t="shared" si="6"/>
        <v>0.54384142000000002</v>
      </c>
      <c r="X19" s="38">
        <f t="shared" si="7"/>
        <v>2.3724054919999999</v>
      </c>
      <c r="Y19" s="38">
        <f t="shared" si="16"/>
        <v>0.64839201388581147</v>
      </c>
      <c r="Z19" s="1">
        <v>0.28000000000000003</v>
      </c>
      <c r="AA19">
        <f t="shared" si="17"/>
        <v>-1.2729656758128873</v>
      </c>
      <c r="AB19">
        <f t="shared" si="18"/>
        <v>2.1743672841871131</v>
      </c>
      <c r="AC19">
        <f t="shared" si="19"/>
        <v>0.98741668906769386</v>
      </c>
      <c r="AD19">
        <f t="shared" si="23"/>
        <v>2.5311097606942257</v>
      </c>
      <c r="AE19">
        <f t="shared" si="20"/>
        <v>4.6541320090960072</v>
      </c>
      <c r="AF19">
        <f t="shared" si="21"/>
        <v>2.9301185309818187</v>
      </c>
      <c r="AG19">
        <f t="shared" si="22"/>
        <v>18.729850432665824</v>
      </c>
      <c r="AH19">
        <v>0.5</v>
      </c>
      <c r="AI19">
        <v>0.25</v>
      </c>
    </row>
    <row r="20" spans="1:38" x14ac:dyDescent="0.25">
      <c r="A20" s="1">
        <v>18</v>
      </c>
      <c r="B20">
        <v>1.0668</v>
      </c>
      <c r="C20">
        <f t="shared" si="9"/>
        <v>1066.8</v>
      </c>
      <c r="D20">
        <v>1.2699999999999999E-2</v>
      </c>
      <c r="E20">
        <f t="shared" si="9"/>
        <v>12.7</v>
      </c>
      <c r="F20" s="4">
        <f t="shared" si="10"/>
        <v>84</v>
      </c>
      <c r="G20" s="1">
        <v>100</v>
      </c>
      <c r="H20" s="1">
        <v>23</v>
      </c>
      <c r="I20" s="1" t="s">
        <v>16</v>
      </c>
      <c r="J20" t="s">
        <v>291</v>
      </c>
      <c r="K20">
        <f t="shared" si="11"/>
        <v>18</v>
      </c>
      <c r="L20" s="1">
        <f t="shared" si="12"/>
        <v>0</v>
      </c>
      <c r="M20">
        <f t="shared" si="13"/>
        <v>75</v>
      </c>
      <c r="N20">
        <f t="shared" si="14"/>
        <v>0.72</v>
      </c>
      <c r="O20" s="1" t="s">
        <v>352</v>
      </c>
      <c r="P20">
        <f t="shared" si="15"/>
        <v>180.97835631387795</v>
      </c>
      <c r="Q20">
        <f t="shared" si="0"/>
        <v>0</v>
      </c>
      <c r="R20">
        <f t="shared" si="1"/>
        <v>0</v>
      </c>
      <c r="S20">
        <f t="shared" si="2"/>
        <v>4.4308167988433134</v>
      </c>
      <c r="T20">
        <f t="shared" si="3"/>
        <v>5.1983774457393972</v>
      </c>
      <c r="U20" s="38">
        <f t="shared" si="4"/>
        <v>-3.1838624800000002</v>
      </c>
      <c r="V20" s="38">
        <f t="shared" si="5"/>
        <v>2.1405770999999998</v>
      </c>
      <c r="W20" s="38">
        <f t="shared" si="6"/>
        <v>0.59384645999999996</v>
      </c>
      <c r="X20" s="38">
        <f t="shared" si="7"/>
        <v>2.3415361959999998</v>
      </c>
      <c r="Y20" s="38">
        <f t="shared" si="16"/>
        <v>0.92075337266705359</v>
      </c>
      <c r="Z20" s="1">
        <v>0.18</v>
      </c>
      <c r="AA20">
        <f t="shared" si="17"/>
        <v>-1.7147984280919266</v>
      </c>
      <c r="AB20">
        <f t="shared" si="18"/>
        <v>1.4690640519080735</v>
      </c>
      <c r="AC20">
        <f t="shared" si="19"/>
        <v>0.68629345418488952</v>
      </c>
      <c r="AD20">
        <f t="shared" si="23"/>
        <v>0.8409150977233486</v>
      </c>
      <c r="AE20">
        <f t="shared" si="20"/>
        <v>1.416048009654463</v>
      </c>
      <c r="AF20">
        <f t="shared" si="21"/>
        <v>-4.7348136784832739E-3</v>
      </c>
      <c r="AG20">
        <f t="shared" si="22"/>
        <v>0.99527637788151735</v>
      </c>
      <c r="AH20">
        <v>0.5</v>
      </c>
      <c r="AI20">
        <v>0.25</v>
      </c>
    </row>
    <row r="21" spans="1:38" x14ac:dyDescent="0.25">
      <c r="A21" s="1">
        <v>19</v>
      </c>
      <c r="B21">
        <v>0.60960000000000003</v>
      </c>
      <c r="C21">
        <f t="shared" si="9"/>
        <v>609.6</v>
      </c>
      <c r="D21">
        <v>1.1130000000000001E-2</v>
      </c>
      <c r="E21">
        <f t="shared" si="9"/>
        <v>11.13</v>
      </c>
      <c r="F21" s="4">
        <f t="shared" si="10"/>
        <v>54.770889487870619</v>
      </c>
      <c r="G21" s="1">
        <v>150</v>
      </c>
      <c r="H21" s="1">
        <v>16</v>
      </c>
      <c r="I21" s="1" t="s">
        <v>16</v>
      </c>
      <c r="J21" t="s">
        <v>288</v>
      </c>
      <c r="K21">
        <f t="shared" si="11"/>
        <v>18.5</v>
      </c>
      <c r="L21" s="1">
        <f t="shared" si="12"/>
        <v>0</v>
      </c>
      <c r="M21">
        <f t="shared" si="13"/>
        <v>125</v>
      </c>
      <c r="N21">
        <f t="shared" si="14"/>
        <v>0.4</v>
      </c>
      <c r="O21" s="1" t="s">
        <v>352</v>
      </c>
      <c r="P21">
        <f t="shared" si="15"/>
        <v>95.755744081416907</v>
      </c>
      <c r="Q21">
        <f t="shared" si="0"/>
        <v>0</v>
      </c>
      <c r="R21">
        <f t="shared" si="1"/>
        <v>0</v>
      </c>
      <c r="S21">
        <f t="shared" si="2"/>
        <v>4.0031588390849828</v>
      </c>
      <c r="T21">
        <f t="shared" si="3"/>
        <v>4.5618006166678455</v>
      </c>
      <c r="U21" s="38">
        <f t="shared" si="4"/>
        <v>-3.32085856</v>
      </c>
      <c r="V21" s="38">
        <f t="shared" si="5"/>
        <v>2.1099511999999998</v>
      </c>
      <c r="W21" s="38">
        <f t="shared" si="6"/>
        <v>0.57883511999999993</v>
      </c>
      <c r="X21" s="38">
        <f t="shared" si="7"/>
        <v>2.550742112</v>
      </c>
      <c r="Y21" s="38">
        <f t="shared" si="16"/>
        <v>0.37086793548713748</v>
      </c>
      <c r="Z21" s="1">
        <v>0.4</v>
      </c>
      <c r="AA21">
        <f t="shared" si="17"/>
        <v>-0.916290731874155</v>
      </c>
      <c r="AB21">
        <f t="shared" si="18"/>
        <v>2.4045678281258449</v>
      </c>
      <c r="AC21">
        <f t="shared" si="19"/>
        <v>1.13963196311168</v>
      </c>
      <c r="AD21" s="122">
        <f t="shared" ref="AD21:AD22" si="24">IF(AC21&gt;=1,5,ATANH(AC21))</f>
        <v>5</v>
      </c>
      <c r="AE21" s="122">
        <f t="shared" si="20"/>
        <v>8.6380384106617445</v>
      </c>
      <c r="AF21" s="122">
        <f t="shared" si="21"/>
        <v>6.4581642341488816</v>
      </c>
      <c r="AG21" s="122">
        <f t="shared" si="22"/>
        <v>637.88896627595602</v>
      </c>
      <c r="AH21" s="122">
        <v>0.5</v>
      </c>
      <c r="AI21" s="122">
        <v>0.25</v>
      </c>
    </row>
    <row r="22" spans="1:38" x14ac:dyDescent="0.25">
      <c r="A22" s="1">
        <v>20</v>
      </c>
      <c r="B22">
        <v>0.60960000000000003</v>
      </c>
      <c r="C22">
        <f t="shared" si="9"/>
        <v>609.6</v>
      </c>
      <c r="D22">
        <v>1.1130000000000001E-2</v>
      </c>
      <c r="E22">
        <f t="shared" si="9"/>
        <v>11.13</v>
      </c>
      <c r="F22" s="4">
        <f t="shared" si="10"/>
        <v>54.770889487870619</v>
      </c>
      <c r="G22" s="1">
        <v>200</v>
      </c>
      <c r="H22" s="1">
        <v>15</v>
      </c>
      <c r="I22" s="1" t="s">
        <v>16</v>
      </c>
      <c r="J22" t="s">
        <v>287</v>
      </c>
      <c r="K22">
        <f t="shared" si="11"/>
        <v>17.5</v>
      </c>
      <c r="L22" s="1">
        <f t="shared" si="12"/>
        <v>0</v>
      </c>
      <c r="M22">
        <f t="shared" si="13"/>
        <v>37.5</v>
      </c>
      <c r="N22">
        <f t="shared" si="14"/>
        <v>1.1000000000000001</v>
      </c>
      <c r="O22" s="1" t="s">
        <v>352</v>
      </c>
      <c r="P22">
        <f t="shared" si="15"/>
        <v>78.998488867168945</v>
      </c>
      <c r="Q22">
        <f t="shared" si="0"/>
        <v>0</v>
      </c>
      <c r="R22">
        <f t="shared" si="1"/>
        <v>0</v>
      </c>
      <c r="S22">
        <f t="shared" si="2"/>
        <v>4.0031588390849828</v>
      </c>
      <c r="T22">
        <f t="shared" si="3"/>
        <v>4.3694287240203895</v>
      </c>
      <c r="U22" s="38">
        <f t="shared" si="4"/>
        <v>-3.18060856</v>
      </c>
      <c r="V22" s="38">
        <f t="shared" si="5"/>
        <v>2.0579511999999998</v>
      </c>
      <c r="W22" s="38">
        <f t="shared" si="6"/>
        <v>0.60883511999999995</v>
      </c>
      <c r="X22" s="38">
        <f t="shared" si="7"/>
        <v>2.5937421120000002</v>
      </c>
      <c r="Y22" s="38">
        <f t="shared" si="16"/>
        <v>0.28025382529312659</v>
      </c>
      <c r="Z22" s="1">
        <v>1.2</v>
      </c>
      <c r="AA22">
        <f t="shared" si="17"/>
        <v>0.18232155679395459</v>
      </c>
      <c r="AB22">
        <f t="shared" si="18"/>
        <v>3.3629301167939545</v>
      </c>
      <c r="AC22">
        <f t="shared" si="19"/>
        <v>1.6341155790253699</v>
      </c>
      <c r="AD22" s="122">
        <f t="shared" si="24"/>
        <v>5</v>
      </c>
      <c r="AE22" s="122">
        <f t="shared" si="20"/>
        <v>8.2124040413437385</v>
      </c>
      <c r="AF22" s="122">
        <f t="shared" si="21"/>
        <v>5.8989157546368647</v>
      </c>
      <c r="AG22" s="122">
        <f t="shared" si="22"/>
        <v>364.64189217273321</v>
      </c>
      <c r="AH22" s="122">
        <v>0.5</v>
      </c>
      <c r="AI22" s="122">
        <v>0.25</v>
      </c>
    </row>
    <row r="23" spans="1:38" x14ac:dyDescent="0.25">
      <c r="F23" s="4"/>
      <c r="G23" s="1"/>
      <c r="H23" s="1"/>
      <c r="O23" s="1"/>
      <c r="U23" s="38"/>
      <c r="V23" s="38"/>
      <c r="W23" s="38"/>
      <c r="X23" s="38"/>
      <c r="Y23" s="38"/>
      <c r="Z23" s="1"/>
      <c r="AD23" s="122"/>
      <c r="AE23" s="122"/>
      <c r="AF23" s="122"/>
      <c r="AG23" s="122"/>
      <c r="AH23" s="122"/>
      <c r="AI23" s="122"/>
    </row>
    <row r="24" spans="1:38" x14ac:dyDescent="0.25">
      <c r="A24" s="1" t="s">
        <v>61</v>
      </c>
      <c r="B24" s="1" t="s">
        <v>311</v>
      </c>
      <c r="C24" s="1" t="s">
        <v>1</v>
      </c>
      <c r="D24" s="1" t="s">
        <v>312</v>
      </c>
      <c r="E24" s="1" t="s">
        <v>2</v>
      </c>
      <c r="F24" s="1" t="s">
        <v>146</v>
      </c>
      <c r="G24" s="1" t="s">
        <v>147</v>
      </c>
      <c r="H24" s="13" t="s">
        <v>52</v>
      </c>
      <c r="I24" s="10" t="s">
        <v>0</v>
      </c>
      <c r="J24" s="10" t="s">
        <v>108</v>
      </c>
      <c r="K24" s="13" t="s">
        <v>106</v>
      </c>
      <c r="L24" s="13" t="s">
        <v>107</v>
      </c>
      <c r="M24" s="10" t="s">
        <v>105</v>
      </c>
      <c r="N24" s="13" t="s">
        <v>104</v>
      </c>
      <c r="O24" s="10" t="s">
        <v>310</v>
      </c>
      <c r="P24" s="10" t="s">
        <v>13</v>
      </c>
      <c r="Q24" s="17" t="s">
        <v>353</v>
      </c>
      <c r="R24" s="17" t="s">
        <v>354</v>
      </c>
      <c r="S24" s="10" t="s">
        <v>355</v>
      </c>
      <c r="T24" s="10" t="s">
        <v>307</v>
      </c>
      <c r="U24" s="10" t="s">
        <v>38</v>
      </c>
      <c r="V24" s="10" t="s">
        <v>39</v>
      </c>
      <c r="W24" s="10" t="s">
        <v>126</v>
      </c>
      <c r="X24" s="10" t="s">
        <v>127</v>
      </c>
      <c r="Y24" s="10" t="s">
        <v>128</v>
      </c>
      <c r="Z24" s="10" t="s">
        <v>356</v>
      </c>
      <c r="AA24" s="10" t="s">
        <v>296</v>
      </c>
      <c r="AB24" s="10" t="s">
        <v>345</v>
      </c>
      <c r="AC24" s="10" t="s">
        <v>346</v>
      </c>
      <c r="AD24" s="10" t="s">
        <v>347</v>
      </c>
      <c r="AE24" s="10" t="s">
        <v>348</v>
      </c>
      <c r="AF24" s="10" t="s">
        <v>306</v>
      </c>
      <c r="AG24" s="10" t="s">
        <v>14</v>
      </c>
      <c r="AH24" s="10" t="s">
        <v>313</v>
      </c>
      <c r="AI24" s="10" t="s">
        <v>314</v>
      </c>
    </row>
    <row r="25" spans="1:38" x14ac:dyDescent="0.25">
      <c r="A25" s="1">
        <v>1</v>
      </c>
      <c r="B25">
        <v>0.20319999999999999</v>
      </c>
      <c r="D25">
        <v>1.11252E-2</v>
      </c>
      <c r="F25">
        <v>18.264840182648403</v>
      </c>
      <c r="G25">
        <v>30</v>
      </c>
      <c r="H25">
        <v>75</v>
      </c>
      <c r="I25" s="1" t="s">
        <v>15</v>
      </c>
      <c r="J25" t="s">
        <v>289</v>
      </c>
      <c r="K25">
        <v>18</v>
      </c>
      <c r="L25" s="1">
        <v>37</v>
      </c>
      <c r="M25">
        <v>0</v>
      </c>
      <c r="N25">
        <v>0</v>
      </c>
      <c r="O25">
        <v>1</v>
      </c>
      <c r="P25">
        <v>5.2767305728744729</v>
      </c>
      <c r="Q25">
        <v>-15</v>
      </c>
      <c r="R25">
        <v>1</v>
      </c>
      <c r="S25">
        <v>2.9049779102855271</v>
      </c>
      <c r="T25">
        <v>1.6633066962458134</v>
      </c>
      <c r="U25">
        <v>-4.4880595200000002</v>
      </c>
      <c r="V25">
        <v>3.6339003999999999</v>
      </c>
      <c r="W25">
        <v>0.28637503999999997</v>
      </c>
      <c r="X25">
        <v>3.4085807039999998</v>
      </c>
      <c r="Y25">
        <v>0.13533659193712477</v>
      </c>
      <c r="Z25">
        <v>0.1</v>
      </c>
      <c r="AA25">
        <v>-2.3025850929940455</v>
      </c>
      <c r="AB25">
        <v>2.1854744270059547</v>
      </c>
      <c r="AC25">
        <v>0.60141285848284531</v>
      </c>
      <c r="AD25">
        <v>0.69535770349394732</v>
      </c>
      <c r="AE25">
        <v>2.4281365565027855</v>
      </c>
      <c r="AF25">
        <v>-0.84510755556008954</v>
      </c>
      <c r="AG25">
        <v>0.42951115941299955</v>
      </c>
      <c r="AH25">
        <v>0.5</v>
      </c>
      <c r="AI25">
        <v>0.25</v>
      </c>
      <c r="AL25" t="s">
        <v>351</v>
      </c>
    </row>
    <row r="26" spans="1:38" x14ac:dyDescent="0.25">
      <c r="A26" s="1">
        <v>2</v>
      </c>
      <c r="B26">
        <v>0.30480000000000002</v>
      </c>
      <c r="D26">
        <v>7.1399999999999996E-3</v>
      </c>
      <c r="F26">
        <v>42.689075630252105</v>
      </c>
      <c r="G26">
        <v>30</v>
      </c>
      <c r="H26">
        <v>65</v>
      </c>
      <c r="I26" s="1" t="s">
        <v>15</v>
      </c>
      <c r="J26" t="s">
        <v>290</v>
      </c>
      <c r="K26">
        <v>18.5</v>
      </c>
      <c r="L26" s="1">
        <v>40</v>
      </c>
      <c r="M26">
        <v>0</v>
      </c>
      <c r="N26">
        <v>0</v>
      </c>
      <c r="O26">
        <v>1.2</v>
      </c>
      <c r="P26">
        <v>10.480853985339262</v>
      </c>
      <c r="Q26">
        <v>-5</v>
      </c>
      <c r="R26">
        <v>1</v>
      </c>
      <c r="S26">
        <v>3.7539430474609983</v>
      </c>
      <c r="T26">
        <v>2.3495501627236917</v>
      </c>
      <c r="U26">
        <v>-4.0370092800000004</v>
      </c>
      <c r="V26">
        <v>2.7090505999999994</v>
      </c>
      <c r="W26">
        <v>0.41667756</v>
      </c>
      <c r="X26">
        <v>2.8294460559999997</v>
      </c>
      <c r="Y26">
        <v>0.48575465718868227</v>
      </c>
      <c r="Z26">
        <v>0.1</v>
      </c>
      <c r="AA26">
        <v>-2.3025850929940455</v>
      </c>
      <c r="AB26">
        <v>1.7344241870059549</v>
      </c>
      <c r="AC26">
        <v>0.64023321934479749</v>
      </c>
      <c r="AD26">
        <v>0.75856886381101818</v>
      </c>
      <c r="AE26">
        <v>1.8205176775322822</v>
      </c>
      <c r="AF26">
        <v>-0.52317372127903516</v>
      </c>
      <c r="AG26">
        <v>0.5926366964473686</v>
      </c>
      <c r="AH26">
        <v>0.5</v>
      </c>
      <c r="AI26">
        <v>0.25</v>
      </c>
    </row>
    <row r="27" spans="1:38" x14ac:dyDescent="0.25">
      <c r="A27" s="1">
        <v>3</v>
      </c>
      <c r="B27">
        <v>0.40639999999999998</v>
      </c>
      <c r="D27">
        <v>9.5299999999999985E-3</v>
      </c>
      <c r="F27">
        <v>42.644281217208821</v>
      </c>
      <c r="G27">
        <v>50</v>
      </c>
      <c r="H27">
        <v>58</v>
      </c>
      <c r="I27" s="1" t="s">
        <v>15</v>
      </c>
      <c r="J27" t="s">
        <v>292</v>
      </c>
      <c r="K27">
        <v>19</v>
      </c>
      <c r="L27" s="1">
        <v>43</v>
      </c>
      <c r="M27">
        <v>0</v>
      </c>
      <c r="N27">
        <v>0</v>
      </c>
      <c r="O27">
        <v>1.5</v>
      </c>
      <c r="P27">
        <v>19.210948347261066</v>
      </c>
      <c r="Q27">
        <v>0</v>
      </c>
      <c r="R27">
        <v>1</v>
      </c>
      <c r="S27">
        <v>3.7528931785981614</v>
      </c>
      <c r="T27">
        <v>2.9554803429362764</v>
      </c>
      <c r="U27">
        <v>-3.7245790400000001</v>
      </c>
      <c r="V27">
        <v>2.2234507999999997</v>
      </c>
      <c r="W27">
        <v>0.49883007999999995</v>
      </c>
      <c r="X27">
        <v>2.538611408</v>
      </c>
      <c r="Y27">
        <v>0.23816065574110307</v>
      </c>
      <c r="Z27">
        <v>0.15</v>
      </c>
      <c r="AA27">
        <v>-1.8971199848858813</v>
      </c>
      <c r="AB27">
        <v>1.8274590551141188</v>
      </c>
      <c r="AC27">
        <v>0.82190217796324483</v>
      </c>
      <c r="AD27">
        <v>1.1626517128318059</v>
      </c>
      <c r="AE27">
        <v>2.3307570241790674</v>
      </c>
      <c r="AF27">
        <v>3.0306271920170491E-2</v>
      </c>
      <c r="AG27">
        <v>1.0307701815768135</v>
      </c>
      <c r="AH27">
        <v>0.5</v>
      </c>
      <c r="AI27">
        <v>0.25</v>
      </c>
    </row>
    <row r="28" spans="1:38" x14ac:dyDescent="0.25">
      <c r="A28" s="1">
        <v>4</v>
      </c>
      <c r="B28">
        <v>0.50800000000000001</v>
      </c>
      <c r="D28">
        <v>1.1130000000000001E-2</v>
      </c>
      <c r="F28">
        <v>45.642407906558844</v>
      </c>
      <c r="G28">
        <v>100</v>
      </c>
      <c r="H28">
        <v>51</v>
      </c>
      <c r="I28" s="1" t="s">
        <v>15</v>
      </c>
      <c r="J28" t="s">
        <v>289</v>
      </c>
      <c r="K28">
        <v>18</v>
      </c>
      <c r="L28" s="1">
        <v>37</v>
      </c>
      <c r="M28">
        <v>0</v>
      </c>
      <c r="N28">
        <v>0</v>
      </c>
      <c r="O28">
        <v>1</v>
      </c>
      <c r="P28">
        <v>13.191826432186181</v>
      </c>
      <c r="Q28">
        <v>0</v>
      </c>
      <c r="R28">
        <v>0</v>
      </c>
      <c r="S28">
        <v>3.8208372822910284</v>
      </c>
      <c r="T28">
        <v>2.5795974281199685</v>
      </c>
      <c r="U28">
        <v>-3.5227188000000003</v>
      </c>
      <c r="V28">
        <v>2.1667009999999998</v>
      </c>
      <c r="W28">
        <v>0.53883259999999999</v>
      </c>
      <c r="X28">
        <v>2.5446767599999998</v>
      </c>
      <c r="Y28">
        <v>-0.67730544236845358</v>
      </c>
      <c r="Z28">
        <v>0.2</v>
      </c>
      <c r="AA28">
        <v>-1.6094379124341003</v>
      </c>
      <c r="AB28">
        <v>1.9132808875659</v>
      </c>
      <c r="AC28">
        <v>0.88303872457062615</v>
      </c>
      <c r="AD28">
        <v>1.3893995965142862</v>
      </c>
      <c r="AE28">
        <v>2.5785366299557344</v>
      </c>
      <c r="AF28">
        <v>-0.64344557241271894</v>
      </c>
      <c r="AG28">
        <v>0.52547872622126668</v>
      </c>
      <c r="AH28">
        <v>0.5</v>
      </c>
      <c r="AI28">
        <v>0.25</v>
      </c>
    </row>
    <row r="29" spans="1:38" x14ac:dyDescent="0.25">
      <c r="A29" s="1">
        <v>5</v>
      </c>
      <c r="B29">
        <v>0.60960000000000003</v>
      </c>
      <c r="D29">
        <v>9.5299999999999985E-3</v>
      </c>
      <c r="F29">
        <v>63.966421825813235</v>
      </c>
      <c r="G29">
        <v>15</v>
      </c>
      <c r="H29">
        <v>44</v>
      </c>
      <c r="I29" s="1" t="s">
        <v>15</v>
      </c>
      <c r="J29" t="s">
        <v>290</v>
      </c>
      <c r="K29">
        <v>18.5</v>
      </c>
      <c r="L29" s="1">
        <v>40</v>
      </c>
      <c r="M29">
        <v>0</v>
      </c>
      <c r="N29">
        <v>0</v>
      </c>
      <c r="O29">
        <v>1.2</v>
      </c>
      <c r="P29">
        <v>20.961707970678525</v>
      </c>
      <c r="Q29">
        <v>0</v>
      </c>
      <c r="R29">
        <v>0</v>
      </c>
      <c r="S29">
        <v>4.158358286706326</v>
      </c>
      <c r="T29">
        <v>3.0426973432836371</v>
      </c>
      <c r="U29">
        <v>-3.6995335599999999</v>
      </c>
      <c r="V29">
        <v>2.2503511999999999</v>
      </c>
      <c r="W29">
        <v>0.49783511999999996</v>
      </c>
      <c r="X29">
        <v>2.4346421120000001</v>
      </c>
      <c r="Y29">
        <v>-0.25461312321480745</v>
      </c>
      <c r="Z29">
        <v>0.2</v>
      </c>
      <c r="AA29">
        <v>-1.6094379124341003</v>
      </c>
      <c r="AB29">
        <v>2.0900956475658994</v>
      </c>
      <c r="AC29">
        <v>0.92878642567697856</v>
      </c>
      <c r="AD29">
        <v>1.6494814191438925</v>
      </c>
      <c r="AE29">
        <v>3.3133086696332161</v>
      </c>
      <c r="AF29">
        <v>0.62405343441840855</v>
      </c>
      <c r="AG29">
        <v>1.8664783768084376</v>
      </c>
      <c r="AH29">
        <v>0.5</v>
      </c>
      <c r="AI29">
        <v>0.25</v>
      </c>
    </row>
    <row r="30" spans="1:38" x14ac:dyDescent="0.25">
      <c r="A30" s="1">
        <v>6</v>
      </c>
      <c r="B30">
        <v>0.76200000000000001</v>
      </c>
      <c r="D30">
        <v>1.2699999999999999E-2</v>
      </c>
      <c r="F30">
        <v>60</v>
      </c>
      <c r="G30">
        <v>30</v>
      </c>
      <c r="H30">
        <v>37</v>
      </c>
      <c r="I30" s="1" t="s">
        <v>15</v>
      </c>
      <c r="J30" t="s">
        <v>292</v>
      </c>
      <c r="K30">
        <v>19</v>
      </c>
      <c r="L30" s="1">
        <v>43</v>
      </c>
      <c r="M30">
        <v>0</v>
      </c>
      <c r="N30">
        <v>0</v>
      </c>
      <c r="O30">
        <v>1.5</v>
      </c>
      <c r="P30">
        <v>36.020528151114483</v>
      </c>
      <c r="Q30">
        <v>0</v>
      </c>
      <c r="R30">
        <v>0</v>
      </c>
      <c r="S30">
        <v>4.0943445622221004</v>
      </c>
      <c r="T30">
        <v>3.5840890023586498</v>
      </c>
      <c r="U30">
        <v>-3.5650431999999999</v>
      </c>
      <c r="V30">
        <v>2.2276265</v>
      </c>
      <c r="W30">
        <v>0.52183889999999999</v>
      </c>
      <c r="X30">
        <v>2.3921401399999995</v>
      </c>
      <c r="Y30">
        <v>-3.6856705703024961E-2</v>
      </c>
      <c r="Z30">
        <v>0.25</v>
      </c>
      <c r="AA30">
        <v>-1.3862943611198906</v>
      </c>
      <c r="AB30">
        <v>2.1787488388801091</v>
      </c>
      <c r="AC30">
        <v>0.97805841279052352</v>
      </c>
      <c r="AD30">
        <v>2.2507436237850884</v>
      </c>
      <c r="AE30">
        <v>4.3131005062771068</v>
      </c>
      <c r="AF30">
        <v>1.8841036605740824</v>
      </c>
      <c r="AG30">
        <v>6.5804534778841051</v>
      </c>
      <c r="AH30">
        <v>0.5</v>
      </c>
      <c r="AI30">
        <v>0.25</v>
      </c>
    </row>
    <row r="31" spans="1:38" x14ac:dyDescent="0.25">
      <c r="A31" s="1">
        <v>7</v>
      </c>
      <c r="B31">
        <v>0.86360000000000003</v>
      </c>
      <c r="D31">
        <v>1.1130000000000001E-2</v>
      </c>
      <c r="F31">
        <v>77.592093441150041</v>
      </c>
      <c r="G31">
        <v>50</v>
      </c>
      <c r="H31">
        <v>30</v>
      </c>
      <c r="I31" s="1" t="s">
        <v>15</v>
      </c>
      <c r="J31" t="s">
        <v>289</v>
      </c>
      <c r="K31">
        <v>18</v>
      </c>
      <c r="L31" s="1">
        <v>37</v>
      </c>
      <c r="M31">
        <v>0</v>
      </c>
      <c r="N31">
        <v>0</v>
      </c>
      <c r="O31">
        <v>1</v>
      </c>
      <c r="P31">
        <v>22.426104934716506</v>
      </c>
      <c r="Q31">
        <v>0</v>
      </c>
      <c r="R31">
        <v>0</v>
      </c>
      <c r="S31">
        <v>4.3514655333531991</v>
      </c>
      <c r="T31">
        <v>3.1102256791821388</v>
      </c>
      <c r="U31">
        <v>-3.4473329600000002</v>
      </c>
      <c r="V31">
        <v>2.2020766999999997</v>
      </c>
      <c r="W31">
        <v>0.54384142000000002</v>
      </c>
      <c r="X31">
        <v>2.3724054919999999</v>
      </c>
      <c r="Y31">
        <v>-0.10938807712897719</v>
      </c>
      <c r="Z31">
        <v>0.28000000000000003</v>
      </c>
      <c r="AA31">
        <v>-1.2729656758128873</v>
      </c>
      <c r="AB31">
        <v>2.1743672841871131</v>
      </c>
      <c r="AC31">
        <v>0.98741668906769386</v>
      </c>
      <c r="AD31">
        <v>2.5311097606942257</v>
      </c>
      <c r="AE31">
        <v>4.6541320090960072</v>
      </c>
      <c r="AF31">
        <v>2.1723384399670302</v>
      </c>
      <c r="AG31">
        <v>8.7787887273298058</v>
      </c>
      <c r="AH31">
        <v>0.5</v>
      </c>
      <c r="AI31">
        <v>0.25</v>
      </c>
    </row>
    <row r="32" spans="1:38" x14ac:dyDescent="0.25">
      <c r="A32" s="1">
        <v>8</v>
      </c>
      <c r="B32">
        <v>1.0668</v>
      </c>
      <c r="D32">
        <v>1.2699999999999999E-2</v>
      </c>
      <c r="F32">
        <v>84</v>
      </c>
      <c r="G32">
        <v>100</v>
      </c>
      <c r="H32">
        <v>23</v>
      </c>
      <c r="I32" s="1" t="s">
        <v>15</v>
      </c>
      <c r="J32" t="s">
        <v>290</v>
      </c>
      <c r="K32">
        <v>18.5</v>
      </c>
      <c r="L32" s="1">
        <v>40</v>
      </c>
      <c r="M32">
        <v>0</v>
      </c>
      <c r="N32">
        <v>0</v>
      </c>
      <c r="O32">
        <v>1.2</v>
      </c>
      <c r="P32">
        <v>36.682988948687417</v>
      </c>
      <c r="Q32">
        <v>0</v>
      </c>
      <c r="R32">
        <v>0</v>
      </c>
      <c r="S32">
        <v>4.4308167988433134</v>
      </c>
      <c r="T32">
        <v>3.6023131312190597</v>
      </c>
      <c r="U32">
        <v>-3.1838624800000002</v>
      </c>
      <c r="V32">
        <v>2.1405770999999998</v>
      </c>
      <c r="W32">
        <v>0.59384645999999996</v>
      </c>
      <c r="X32">
        <v>2.3415361959999998</v>
      </c>
      <c r="Y32">
        <v>0.16836865480216651</v>
      </c>
      <c r="Z32">
        <v>0.18</v>
      </c>
      <c r="AA32">
        <v>-1.7147984280919266</v>
      </c>
      <c r="AB32">
        <v>1.4690640519080735</v>
      </c>
      <c r="AC32">
        <v>0.68629345418488952</v>
      </c>
      <c r="AD32">
        <v>0.8409150977233486</v>
      </c>
      <c r="AE32">
        <v>1.416048009654463</v>
      </c>
      <c r="AF32">
        <v>-0.75711953154337031</v>
      </c>
      <c r="AG32">
        <v>0.46901546740252487</v>
      </c>
      <c r="AH32">
        <v>0.5</v>
      </c>
      <c r="AI32">
        <v>0.25</v>
      </c>
    </row>
    <row r="33" spans="1:35" x14ac:dyDescent="0.25">
      <c r="A33" s="1">
        <v>9</v>
      </c>
      <c r="B33">
        <v>0.60960000000000003</v>
      </c>
      <c r="D33">
        <v>1.1130000000000001E-2</v>
      </c>
      <c r="F33">
        <v>54.770889487870619</v>
      </c>
      <c r="G33">
        <v>150</v>
      </c>
      <c r="H33">
        <v>16</v>
      </c>
      <c r="I33" s="1" t="s">
        <v>15</v>
      </c>
      <c r="J33" t="s">
        <v>292</v>
      </c>
      <c r="K33">
        <v>19</v>
      </c>
      <c r="L33" s="1">
        <v>43</v>
      </c>
      <c r="M33">
        <v>0</v>
      </c>
      <c r="N33">
        <v>0</v>
      </c>
      <c r="O33">
        <v>1.5</v>
      </c>
      <c r="P33">
        <v>28.816422520891596</v>
      </c>
      <c r="Q33">
        <v>0</v>
      </c>
      <c r="R33">
        <v>0</v>
      </c>
      <c r="S33">
        <v>4.0031588390849828</v>
      </c>
      <c r="T33">
        <v>3.3609454510444405</v>
      </c>
      <c r="U33">
        <v>-3.32085856</v>
      </c>
      <c r="V33">
        <v>2.1099511999999998</v>
      </c>
      <c r="W33">
        <v>0.57883511999999993</v>
      </c>
      <c r="X33">
        <v>2.550742112</v>
      </c>
      <c r="Y33">
        <v>-0.19521518958773559</v>
      </c>
      <c r="Z33">
        <v>0.4</v>
      </c>
      <c r="AA33">
        <v>-0.916290731874155</v>
      </c>
      <c r="AB33">
        <v>2.4045678281258449</v>
      </c>
      <c r="AC33">
        <v>1.13963196311168</v>
      </c>
      <c r="AD33">
        <v>5</v>
      </c>
      <c r="AE33">
        <v>8.6380384106617445</v>
      </c>
      <c r="AF33">
        <v>5.8920811090740086</v>
      </c>
      <c r="AG33">
        <v>362.15819135803019</v>
      </c>
      <c r="AH33">
        <v>0.5</v>
      </c>
      <c r="AI33">
        <v>0.25</v>
      </c>
    </row>
    <row r="34" spans="1:35" x14ac:dyDescent="0.25">
      <c r="A34" s="1">
        <v>10</v>
      </c>
      <c r="B34">
        <v>0.60960000000000003</v>
      </c>
      <c r="D34">
        <v>1.1130000000000001E-2</v>
      </c>
      <c r="F34">
        <v>54.770889487870619</v>
      </c>
      <c r="G34">
        <v>200</v>
      </c>
      <c r="H34">
        <v>15</v>
      </c>
      <c r="I34" s="1" t="s">
        <v>15</v>
      </c>
      <c r="J34" t="s">
        <v>289</v>
      </c>
      <c r="K34">
        <v>18</v>
      </c>
      <c r="L34" s="1">
        <v>37</v>
      </c>
      <c r="M34">
        <v>0</v>
      </c>
      <c r="N34">
        <v>0</v>
      </c>
      <c r="O34">
        <v>1.2</v>
      </c>
      <c r="P34">
        <v>18.996230062348097</v>
      </c>
      <c r="Q34">
        <v>0</v>
      </c>
      <c r="R34">
        <v>0</v>
      </c>
      <c r="S34">
        <v>4.0031588390849828</v>
      </c>
      <c r="T34">
        <v>2.9442405417078774</v>
      </c>
      <c r="U34">
        <v>-3.18060856</v>
      </c>
      <c r="V34">
        <v>2.0579511999999998</v>
      </c>
      <c r="W34">
        <v>0.60883511999999995</v>
      </c>
      <c r="X34">
        <v>2.5937421120000002</v>
      </c>
      <c r="Y34">
        <v>-0.39157988384899139</v>
      </c>
      <c r="Z34">
        <v>1.2</v>
      </c>
      <c r="AA34">
        <v>0.18232155679395459</v>
      </c>
      <c r="AB34">
        <v>3.3629301167939545</v>
      </c>
      <c r="AC34">
        <v>1.6341155790253699</v>
      </c>
      <c r="AD34">
        <v>5</v>
      </c>
      <c r="AE34">
        <v>8.2124040413437385</v>
      </c>
      <c r="AF34">
        <v>5.2270820454947469</v>
      </c>
      <c r="AG34">
        <v>186.2485450644661</v>
      </c>
      <c r="AH34">
        <v>0.5</v>
      </c>
      <c r="AI34">
        <v>0.25</v>
      </c>
    </row>
    <row r="35" spans="1:35" x14ac:dyDescent="0.25">
      <c r="A35" s="1">
        <v>11</v>
      </c>
      <c r="B35">
        <v>0.20319999999999999</v>
      </c>
      <c r="D35">
        <v>5.5599999999999998E-3</v>
      </c>
      <c r="F35">
        <v>36.546762589928058</v>
      </c>
      <c r="G35">
        <v>15</v>
      </c>
      <c r="H35">
        <v>72</v>
      </c>
      <c r="I35" s="1" t="s">
        <v>16</v>
      </c>
      <c r="J35" t="s">
        <v>287</v>
      </c>
      <c r="K35">
        <v>17.5</v>
      </c>
      <c r="L35" s="1">
        <v>0</v>
      </c>
      <c r="M35">
        <v>37.5</v>
      </c>
      <c r="N35">
        <v>1.1000000000000001</v>
      </c>
      <c r="O35" t="s">
        <v>352</v>
      </c>
      <c r="P35">
        <v>26.332829622389646</v>
      </c>
      <c r="Q35">
        <v>-12</v>
      </c>
      <c r="R35">
        <v>1</v>
      </c>
      <c r="S35">
        <v>3.598592607441836</v>
      </c>
      <c r="T35">
        <v>3.2708164353522799</v>
      </c>
      <c r="U35">
        <v>-4.4133025200000002</v>
      </c>
      <c r="V35">
        <v>3.3734704</v>
      </c>
      <c r="W35">
        <v>0.31346503999999997</v>
      </c>
      <c r="X35">
        <v>3.2330207040000003</v>
      </c>
      <c r="Y35">
        <v>1.3547345147356484</v>
      </c>
      <c r="Z35">
        <v>0.05</v>
      </c>
      <c r="AA35">
        <v>-2.9957322735539909</v>
      </c>
      <c r="AB35">
        <v>1.4175702464460094</v>
      </c>
      <c r="AC35">
        <v>0.4202112597300422</v>
      </c>
      <c r="AD35">
        <v>0.44794855885624785</v>
      </c>
      <c r="AE35">
        <v>1.4290223843024021</v>
      </c>
      <c r="AF35">
        <v>-0.44926380496194973</v>
      </c>
      <c r="AG35">
        <v>0.63809774313738099</v>
      </c>
      <c r="AH35">
        <v>0.5</v>
      </c>
      <c r="AI35">
        <v>0.25</v>
      </c>
    </row>
    <row r="36" spans="1:35" x14ac:dyDescent="0.25">
      <c r="A36" s="1">
        <v>12</v>
      </c>
      <c r="B36">
        <v>0.30480000000000002</v>
      </c>
      <c r="D36">
        <v>7.1399999999999996E-3</v>
      </c>
      <c r="F36">
        <v>42.689075630252105</v>
      </c>
      <c r="G36">
        <v>30</v>
      </c>
      <c r="H36">
        <v>65</v>
      </c>
      <c r="I36" s="1" t="s">
        <v>16</v>
      </c>
      <c r="J36" t="s">
        <v>291</v>
      </c>
      <c r="K36">
        <v>18</v>
      </c>
      <c r="L36" s="1">
        <v>0</v>
      </c>
      <c r="M36">
        <v>75</v>
      </c>
      <c r="N36">
        <v>0.72</v>
      </c>
      <c r="O36" t="s">
        <v>352</v>
      </c>
      <c r="P36">
        <v>51.708101803965121</v>
      </c>
      <c r="Q36">
        <v>-5</v>
      </c>
      <c r="R36">
        <v>1</v>
      </c>
      <c r="S36">
        <v>3.7539430474609983</v>
      </c>
      <c r="T36">
        <v>3.9456144772440287</v>
      </c>
      <c r="U36">
        <v>-4.0370092800000004</v>
      </c>
      <c r="V36">
        <v>2.7090505999999994</v>
      </c>
      <c r="W36">
        <v>0.41667756</v>
      </c>
      <c r="X36">
        <v>2.8294460559999997</v>
      </c>
      <c r="Y36">
        <v>1.238139375053569</v>
      </c>
      <c r="Z36">
        <v>0.1</v>
      </c>
      <c r="AA36">
        <v>-2.3025850929940455</v>
      </c>
      <c r="AB36">
        <v>1.7344241870059549</v>
      </c>
      <c r="AC36">
        <v>0.64023321934479749</v>
      </c>
      <c r="AD36">
        <v>0.75856886381101818</v>
      </c>
      <c r="AE36">
        <v>1.8205176775322822</v>
      </c>
      <c r="AF36">
        <v>0.22921099658585153</v>
      </c>
      <c r="AG36">
        <v>1.257607361877443</v>
      </c>
      <c r="AH36">
        <v>0.5</v>
      </c>
      <c r="AI36">
        <v>0.25</v>
      </c>
    </row>
    <row r="37" spans="1:35" x14ac:dyDescent="0.25">
      <c r="A37" s="1">
        <v>13</v>
      </c>
      <c r="B37">
        <v>0.40639999999999998</v>
      </c>
      <c r="D37">
        <v>9.5299999999999985E-3</v>
      </c>
      <c r="F37">
        <v>42.644281217208821</v>
      </c>
      <c r="G37">
        <v>50</v>
      </c>
      <c r="H37">
        <v>58</v>
      </c>
      <c r="I37" s="1" t="s">
        <v>16</v>
      </c>
      <c r="J37" t="s">
        <v>288</v>
      </c>
      <c r="K37">
        <v>18.5</v>
      </c>
      <c r="L37" s="1">
        <v>0</v>
      </c>
      <c r="M37">
        <v>125</v>
      </c>
      <c r="N37">
        <v>0.4</v>
      </c>
      <c r="O37" t="s">
        <v>352</v>
      </c>
      <c r="P37">
        <v>63.837162720944598</v>
      </c>
      <c r="Q37">
        <v>0</v>
      </c>
      <c r="R37">
        <v>1</v>
      </c>
      <c r="S37">
        <v>3.7528931785981614</v>
      </c>
      <c r="T37">
        <v>4.1563355085596809</v>
      </c>
      <c r="U37">
        <v>-3.7245790400000001</v>
      </c>
      <c r="V37">
        <v>2.2234507999999997</v>
      </c>
      <c r="W37">
        <v>0.49883007999999995</v>
      </c>
      <c r="X37">
        <v>2.538611408</v>
      </c>
      <c r="Y37">
        <v>0.80424378081597592</v>
      </c>
      <c r="Z37">
        <v>0.15</v>
      </c>
      <c r="AA37">
        <v>-1.8971199848858813</v>
      </c>
      <c r="AB37">
        <v>1.8274590551141188</v>
      </c>
      <c r="AC37">
        <v>0.82190217796324483</v>
      </c>
      <c r="AD37">
        <v>1.1626517128318059</v>
      </c>
      <c r="AE37">
        <v>2.3307570241790674</v>
      </c>
      <c r="AF37">
        <v>0.59638939699504334</v>
      </c>
      <c r="AG37">
        <v>1.8155517154769825</v>
      </c>
      <c r="AH37">
        <v>0.5</v>
      </c>
      <c r="AI37">
        <v>0.25</v>
      </c>
    </row>
    <row r="38" spans="1:35" x14ac:dyDescent="0.25">
      <c r="A38" s="1">
        <v>14</v>
      </c>
      <c r="B38">
        <v>0.50800000000000001</v>
      </c>
      <c r="D38">
        <v>1.1130000000000001E-2</v>
      </c>
      <c r="F38">
        <v>45.642407906558844</v>
      </c>
      <c r="G38">
        <v>100</v>
      </c>
      <c r="H38">
        <v>51</v>
      </c>
      <c r="I38" s="1" t="s">
        <v>16</v>
      </c>
      <c r="J38" t="s">
        <v>287</v>
      </c>
      <c r="K38">
        <v>17.5</v>
      </c>
      <c r="L38" s="1">
        <v>0</v>
      </c>
      <c r="M38">
        <v>37.5</v>
      </c>
      <c r="N38">
        <v>1.1000000000000001</v>
      </c>
      <c r="O38" t="s">
        <v>352</v>
      </c>
      <c r="P38">
        <v>65.832074055974118</v>
      </c>
      <c r="Q38">
        <v>0</v>
      </c>
      <c r="R38">
        <v>0</v>
      </c>
      <c r="S38">
        <v>3.8208372822910284</v>
      </c>
      <c r="T38">
        <v>4.1871071672264346</v>
      </c>
      <c r="U38">
        <v>-3.5227188000000003</v>
      </c>
      <c r="V38">
        <v>2.1667009999999998</v>
      </c>
      <c r="W38">
        <v>0.53883259999999999</v>
      </c>
      <c r="X38">
        <v>2.5446767599999998</v>
      </c>
      <c r="Y38">
        <v>8.0474648646334468E-2</v>
      </c>
      <c r="Z38">
        <v>0.2</v>
      </c>
      <c r="AA38">
        <v>-1.6094379124341003</v>
      </c>
      <c r="AB38">
        <v>1.9132808875659</v>
      </c>
      <c r="AC38">
        <v>0.88303872457062615</v>
      </c>
      <c r="AD38">
        <v>1.3893995965142862</v>
      </c>
      <c r="AE38">
        <v>2.5785366299557344</v>
      </c>
      <c r="AF38">
        <v>0.11433451860206911</v>
      </c>
      <c r="AG38">
        <v>1.1211271000328198</v>
      </c>
      <c r="AH38">
        <v>0.5</v>
      </c>
      <c r="AI38">
        <v>0.25</v>
      </c>
    </row>
    <row r="39" spans="1:35" x14ac:dyDescent="0.25">
      <c r="A39" s="1">
        <v>15</v>
      </c>
      <c r="B39">
        <v>0.60960000000000003</v>
      </c>
      <c r="D39">
        <v>9.5299999999999985E-3</v>
      </c>
      <c r="F39">
        <v>63.966421825813235</v>
      </c>
      <c r="G39">
        <v>15</v>
      </c>
      <c r="H39">
        <v>44</v>
      </c>
      <c r="I39" s="1" t="s">
        <v>16</v>
      </c>
      <c r="J39" t="s">
        <v>291</v>
      </c>
      <c r="K39">
        <v>18</v>
      </c>
      <c r="L39" s="1">
        <v>0</v>
      </c>
      <c r="M39">
        <v>75</v>
      </c>
      <c r="N39">
        <v>0.72</v>
      </c>
      <c r="O39" t="s">
        <v>352</v>
      </c>
      <c r="P39">
        <v>103.41620360793024</v>
      </c>
      <c r="Q39">
        <v>0</v>
      </c>
      <c r="R39">
        <v>0</v>
      </c>
      <c r="S39">
        <v>4.158358286706326</v>
      </c>
      <c r="T39">
        <v>4.6387616578039736</v>
      </c>
      <c r="U39">
        <v>-3.6995335599999999</v>
      </c>
      <c r="V39">
        <v>2.2503511999999999</v>
      </c>
      <c r="W39">
        <v>0.49783511999999996</v>
      </c>
      <c r="X39">
        <v>2.4346421120000001</v>
      </c>
      <c r="Y39">
        <v>0.49777159465007936</v>
      </c>
      <c r="Z39">
        <v>0.2</v>
      </c>
      <c r="AA39">
        <v>-1.6094379124341003</v>
      </c>
      <c r="AB39">
        <v>2.0900956475658994</v>
      </c>
      <c r="AC39">
        <v>0.92878642567697856</v>
      </c>
      <c r="AD39">
        <v>1.6494814191438925</v>
      </c>
      <c r="AE39">
        <v>3.3133086696332161</v>
      </c>
      <c r="AF39">
        <v>1.3764381522832954</v>
      </c>
      <c r="AG39">
        <v>3.9607688176086686</v>
      </c>
      <c r="AH39">
        <v>0.5</v>
      </c>
      <c r="AI39">
        <v>0.25</v>
      </c>
    </row>
    <row r="40" spans="1:35" x14ac:dyDescent="0.25">
      <c r="A40" s="1">
        <v>16</v>
      </c>
      <c r="B40">
        <v>0.76200000000000001</v>
      </c>
      <c r="D40">
        <v>1.2699999999999999E-2</v>
      </c>
      <c r="F40">
        <v>60</v>
      </c>
      <c r="G40">
        <v>30</v>
      </c>
      <c r="H40">
        <v>37</v>
      </c>
      <c r="I40" s="1" t="s">
        <v>16</v>
      </c>
      <c r="J40" t="s">
        <v>288</v>
      </c>
      <c r="K40">
        <v>18.5</v>
      </c>
      <c r="L40" s="1">
        <v>0</v>
      </c>
      <c r="M40">
        <v>125</v>
      </c>
      <c r="N40">
        <v>0.4</v>
      </c>
      <c r="O40" t="s">
        <v>352</v>
      </c>
      <c r="P40">
        <v>119.69468010177111</v>
      </c>
      <c r="Q40">
        <v>0</v>
      </c>
      <c r="R40">
        <v>0</v>
      </c>
      <c r="S40">
        <v>4.0943445622221004</v>
      </c>
      <c r="T40">
        <v>4.7849441679820552</v>
      </c>
      <c r="U40">
        <v>-3.5650431999999999</v>
      </c>
      <c r="V40">
        <v>2.2276265</v>
      </c>
      <c r="W40">
        <v>0.52183889999999999</v>
      </c>
      <c r="X40">
        <v>2.3921401399999995</v>
      </c>
      <c r="Y40">
        <v>0.529226419371848</v>
      </c>
      <c r="Z40">
        <v>0.25</v>
      </c>
      <c r="AA40">
        <v>-1.3862943611198906</v>
      </c>
      <c r="AB40">
        <v>2.1787488388801091</v>
      </c>
      <c r="AC40">
        <v>0.97805841279052352</v>
      </c>
      <c r="AD40">
        <v>2.2507436237850884</v>
      </c>
      <c r="AE40">
        <v>4.3131005062771068</v>
      </c>
      <c r="AF40">
        <v>2.4501867856489552</v>
      </c>
      <c r="AG40">
        <v>11.590511458250456</v>
      </c>
      <c r="AH40">
        <v>0.5</v>
      </c>
      <c r="AI40">
        <v>0.25</v>
      </c>
    </row>
    <row r="41" spans="1:35" x14ac:dyDescent="0.25">
      <c r="A41" s="1">
        <v>17</v>
      </c>
      <c r="B41">
        <v>0.86360000000000003</v>
      </c>
      <c r="D41">
        <v>1.1130000000000001E-2</v>
      </c>
      <c r="F41">
        <v>77.592093441150041</v>
      </c>
      <c r="G41">
        <v>50</v>
      </c>
      <c r="H41">
        <v>30</v>
      </c>
      <c r="I41" s="1" t="s">
        <v>16</v>
      </c>
      <c r="J41" t="s">
        <v>287</v>
      </c>
      <c r="K41">
        <v>17.5</v>
      </c>
      <c r="L41" s="1">
        <v>0</v>
      </c>
      <c r="M41">
        <v>37.5</v>
      </c>
      <c r="N41">
        <v>1.1000000000000001</v>
      </c>
      <c r="O41" t="s">
        <v>352</v>
      </c>
      <c r="P41">
        <v>111.91452589515602</v>
      </c>
      <c r="Q41">
        <v>0</v>
      </c>
      <c r="R41">
        <v>0</v>
      </c>
      <c r="S41">
        <v>4.3514655333531991</v>
      </c>
      <c r="T41">
        <v>4.7177354182886058</v>
      </c>
      <c r="U41">
        <v>-3.4473329600000002</v>
      </c>
      <c r="V41">
        <v>2.2020766999999997</v>
      </c>
      <c r="W41">
        <v>0.54384142000000002</v>
      </c>
      <c r="X41">
        <v>2.3724054919999999</v>
      </c>
      <c r="Y41">
        <v>0.64839201388581147</v>
      </c>
      <c r="Z41">
        <v>0.28000000000000003</v>
      </c>
      <c r="AA41">
        <v>-1.2729656758128873</v>
      </c>
      <c r="AB41">
        <v>2.1743672841871131</v>
      </c>
      <c r="AC41">
        <v>0.98741668906769386</v>
      </c>
      <c r="AD41">
        <v>2.5311097606942257</v>
      </c>
      <c r="AE41">
        <v>4.6541320090960072</v>
      </c>
      <c r="AF41">
        <v>2.9301185309818187</v>
      </c>
      <c r="AG41">
        <v>18.729850432665824</v>
      </c>
      <c r="AH41">
        <v>0.5</v>
      </c>
      <c r="AI41">
        <v>0.25</v>
      </c>
    </row>
    <row r="42" spans="1:35" x14ac:dyDescent="0.25">
      <c r="A42" s="1">
        <v>18</v>
      </c>
      <c r="B42">
        <v>1.0668</v>
      </c>
      <c r="D42">
        <v>1.2699999999999999E-2</v>
      </c>
      <c r="F42">
        <v>84</v>
      </c>
      <c r="G42">
        <v>100</v>
      </c>
      <c r="H42">
        <v>23</v>
      </c>
      <c r="I42" s="1" t="s">
        <v>16</v>
      </c>
      <c r="J42" t="s">
        <v>291</v>
      </c>
      <c r="K42">
        <v>18</v>
      </c>
      <c r="L42" s="1">
        <v>0</v>
      </c>
      <c r="M42">
        <v>75</v>
      </c>
      <c r="N42">
        <v>0.72</v>
      </c>
      <c r="O42" t="s">
        <v>352</v>
      </c>
      <c r="P42">
        <v>180.97835631387795</v>
      </c>
      <c r="Q42">
        <v>0</v>
      </c>
      <c r="R42">
        <v>0</v>
      </c>
      <c r="S42">
        <v>4.4308167988433134</v>
      </c>
      <c r="T42">
        <v>5.1983774457393972</v>
      </c>
      <c r="U42">
        <v>-3.1838624800000002</v>
      </c>
      <c r="V42">
        <v>2.1405770999999998</v>
      </c>
      <c r="W42">
        <v>0.59384645999999996</v>
      </c>
      <c r="X42">
        <v>2.3415361959999998</v>
      </c>
      <c r="Y42">
        <v>0.92075337266705359</v>
      </c>
      <c r="Z42">
        <v>0.18</v>
      </c>
      <c r="AA42">
        <v>-1.7147984280919266</v>
      </c>
      <c r="AB42">
        <v>1.4690640519080735</v>
      </c>
      <c r="AC42">
        <v>0.68629345418488952</v>
      </c>
      <c r="AD42">
        <v>0.8409150977233486</v>
      </c>
      <c r="AE42">
        <v>1.416048009654463</v>
      </c>
      <c r="AF42">
        <v>-4.7348136784832739E-3</v>
      </c>
      <c r="AG42">
        <v>0.99527637788151735</v>
      </c>
      <c r="AH42">
        <v>0.5</v>
      </c>
      <c r="AI42">
        <v>0.25</v>
      </c>
    </row>
    <row r="43" spans="1:35" x14ac:dyDescent="0.25">
      <c r="A43" s="1">
        <v>19</v>
      </c>
      <c r="B43">
        <v>0.60960000000000003</v>
      </c>
      <c r="D43">
        <v>1.1130000000000001E-2</v>
      </c>
      <c r="F43">
        <v>54.770889487870619</v>
      </c>
      <c r="G43">
        <v>150</v>
      </c>
      <c r="H43">
        <v>16</v>
      </c>
      <c r="I43" s="1" t="s">
        <v>16</v>
      </c>
      <c r="J43" t="s">
        <v>288</v>
      </c>
      <c r="K43">
        <v>18.5</v>
      </c>
      <c r="L43" s="1">
        <v>0</v>
      </c>
      <c r="M43">
        <v>125</v>
      </c>
      <c r="N43">
        <v>0.4</v>
      </c>
      <c r="O43" t="s">
        <v>352</v>
      </c>
      <c r="P43">
        <v>95.755744081416907</v>
      </c>
      <c r="Q43">
        <v>0</v>
      </c>
      <c r="R43">
        <v>0</v>
      </c>
      <c r="S43">
        <v>4.0031588390849828</v>
      </c>
      <c r="T43">
        <v>4.5618006166678455</v>
      </c>
      <c r="U43">
        <v>-3.32085856</v>
      </c>
      <c r="V43">
        <v>2.1099511999999998</v>
      </c>
      <c r="W43">
        <v>0.57883511999999993</v>
      </c>
      <c r="X43">
        <v>2.550742112</v>
      </c>
      <c r="Y43">
        <v>0.37086793548713748</v>
      </c>
      <c r="Z43">
        <v>0.4</v>
      </c>
      <c r="AA43">
        <v>-0.916290731874155</v>
      </c>
      <c r="AB43">
        <v>2.4045678281258449</v>
      </c>
      <c r="AC43">
        <v>1.13963196311168</v>
      </c>
      <c r="AD43">
        <v>5</v>
      </c>
      <c r="AE43">
        <v>8.6380384106617445</v>
      </c>
      <c r="AF43">
        <v>6.4581642341488816</v>
      </c>
      <c r="AG43">
        <v>637.88896627595602</v>
      </c>
      <c r="AH43">
        <v>0.5</v>
      </c>
      <c r="AI43">
        <v>0.25</v>
      </c>
    </row>
    <row r="44" spans="1:35" x14ac:dyDescent="0.25">
      <c r="A44" s="1">
        <v>20</v>
      </c>
      <c r="B44">
        <v>0.60960000000000003</v>
      </c>
      <c r="D44">
        <v>1.1130000000000001E-2</v>
      </c>
      <c r="F44">
        <v>54.770889487870619</v>
      </c>
      <c r="G44">
        <v>200</v>
      </c>
      <c r="H44">
        <v>15</v>
      </c>
      <c r="I44" s="1" t="s">
        <v>16</v>
      </c>
      <c r="J44" t="s">
        <v>287</v>
      </c>
      <c r="K44">
        <v>17.5</v>
      </c>
      <c r="L44" s="1">
        <v>0</v>
      </c>
      <c r="M44">
        <v>37.5</v>
      </c>
      <c r="N44">
        <v>1.1000000000000001</v>
      </c>
      <c r="O44" t="s">
        <v>352</v>
      </c>
      <c r="P44">
        <v>78.998488867168945</v>
      </c>
      <c r="Q44">
        <v>0</v>
      </c>
      <c r="R44">
        <v>0</v>
      </c>
      <c r="S44">
        <v>4.0031588390849828</v>
      </c>
      <c r="T44">
        <v>4.3694287240203895</v>
      </c>
      <c r="U44">
        <v>-3.18060856</v>
      </c>
      <c r="V44">
        <v>2.0579511999999998</v>
      </c>
      <c r="W44">
        <v>0.60883511999999995</v>
      </c>
      <c r="X44">
        <v>2.5937421120000002</v>
      </c>
      <c r="Y44">
        <v>0.28025382529312659</v>
      </c>
      <c r="Z44">
        <v>1.2</v>
      </c>
      <c r="AA44">
        <v>0.18232155679395459</v>
      </c>
      <c r="AB44">
        <v>3.3629301167939545</v>
      </c>
      <c r="AC44">
        <v>1.6341155790253699</v>
      </c>
      <c r="AD44">
        <v>5</v>
      </c>
      <c r="AE44">
        <v>8.2124040413437385</v>
      </c>
      <c r="AF44">
        <v>5.8989157546368647</v>
      </c>
      <c r="AG44">
        <v>364.64189217273321</v>
      </c>
      <c r="AH44">
        <v>0.5</v>
      </c>
      <c r="AI4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"/>
  <sheetViews>
    <sheetView zoomScaleNormal="100" workbookViewId="0">
      <selection activeCell="S23" sqref="S23"/>
    </sheetView>
  </sheetViews>
  <sheetFormatPr defaultRowHeight="15" x14ac:dyDescent="0.25"/>
  <cols>
    <col min="1" max="2" width="15.5703125" customWidth="1"/>
    <col min="4" max="4" width="12.42578125" customWidth="1"/>
    <col min="22" max="22" width="12.85546875" bestFit="1" customWidth="1"/>
    <col min="23" max="23" width="13" bestFit="1" customWidth="1"/>
    <col min="24" max="24" width="13.5703125" bestFit="1" customWidth="1"/>
    <col min="25" max="25" width="13.85546875" bestFit="1" customWidth="1"/>
    <col min="26" max="33" width="9" customWidth="1"/>
    <col min="35" max="36" width="20.140625" bestFit="1" customWidth="1"/>
    <col min="37" max="38" width="20.140625" customWidth="1"/>
  </cols>
  <sheetData>
    <row r="1" spans="1:50" x14ac:dyDescent="0.25">
      <c r="A1" t="s">
        <v>18</v>
      </c>
      <c r="B1" t="s">
        <v>51</v>
      </c>
      <c r="C1" t="s">
        <v>0</v>
      </c>
      <c r="D1" t="s">
        <v>35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33</v>
      </c>
      <c r="O1" t="s">
        <v>10</v>
      </c>
      <c r="P1" t="s">
        <v>11</v>
      </c>
      <c r="Q1" t="s">
        <v>12</v>
      </c>
      <c r="R1" t="s">
        <v>19</v>
      </c>
      <c r="S1" t="s">
        <v>13</v>
      </c>
      <c r="T1" t="s">
        <v>36</v>
      </c>
      <c r="U1" t="s">
        <v>37</v>
      </c>
      <c r="V1" t="s">
        <v>20</v>
      </c>
      <c r="W1" t="s">
        <v>17</v>
      </c>
      <c r="X1" t="s">
        <v>21</v>
      </c>
      <c r="Y1" t="s">
        <v>22</v>
      </c>
      <c r="Z1" t="s">
        <v>32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25</v>
      </c>
      <c r="AH1" t="s">
        <v>34</v>
      </c>
      <c r="AI1" t="s">
        <v>23</v>
      </c>
      <c r="AJ1" t="s">
        <v>24</v>
      </c>
      <c r="AK1" t="s">
        <v>49</v>
      </c>
      <c r="AL1" t="s">
        <v>50</v>
      </c>
      <c r="AM1" t="s">
        <v>38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39</v>
      </c>
      <c r="AX1" t="s">
        <v>14</v>
      </c>
    </row>
    <row r="2" spans="1:50" x14ac:dyDescent="0.25">
      <c r="A2" s="1">
        <v>15</v>
      </c>
      <c r="B2" s="1" t="str">
        <f>IF(AND(A2&gt;5,A2&lt;85),"ss_tens",IF(AND(A2&gt;105,A2&lt;165),"ss_comp","na"))</f>
        <v>ss_tens</v>
      </c>
      <c r="C2" t="s">
        <v>15</v>
      </c>
      <c r="E2">
        <v>610</v>
      </c>
      <c r="F2">
        <v>10.199999999999999</v>
      </c>
      <c r="G2">
        <v>359000</v>
      </c>
      <c r="H2">
        <v>14</v>
      </c>
      <c r="I2">
        <v>8.5</v>
      </c>
      <c r="J2">
        <v>0.75</v>
      </c>
      <c r="K2">
        <v>40</v>
      </c>
      <c r="L2">
        <v>19</v>
      </c>
      <c r="M2">
        <v>1.2</v>
      </c>
      <c r="N2">
        <v>100</v>
      </c>
      <c r="O2">
        <v>38</v>
      </c>
      <c r="P2">
        <v>0.75</v>
      </c>
      <c r="Q2">
        <v>0.5</v>
      </c>
      <c r="R2">
        <f t="shared" ref="R2:R45" si="0">E2/F2</f>
        <v>59.803921568627452</v>
      </c>
      <c r="S2">
        <v>23.723510319999999</v>
      </c>
      <c r="T2">
        <f t="shared" ref="T2:T45" si="1">G2*1.2</f>
        <v>430800</v>
      </c>
      <c r="U2">
        <f t="shared" ref="U2:U45" si="2">T2/200000000*(1+(H2/(1+I2))*(T2/G2)^I2)</f>
        <v>1.7105705034911944E-2</v>
      </c>
      <c r="V2">
        <f>IF(S2&lt;=70,1,0)</f>
        <v>1</v>
      </c>
      <c r="W2">
        <f>IF(S2&gt;70,1,0)</f>
        <v>0</v>
      </c>
      <c r="X2">
        <f>IF(R2&lt;=100,1,0)</f>
        <v>1</v>
      </c>
      <c r="Y2">
        <f>IF(R2&gt;100,1,0)</f>
        <v>0</v>
      </c>
      <c r="Z2">
        <f t="shared" ref="Z2:Z45" si="3">IF(AND(A2&gt;5,A2&lt;=45),-1.8283-0.054*(A2-45),IF(AND(A2&gt;45,A2&lt;=85),-1.607+0.0073*(A2-75),IF(AND(A2&gt;85,A2&lt;=95),-1.607+0.0073*(A2-85),IF(A2&gt;95,-1.607+0.0073*(A2-95)))))</f>
        <v>-0.20830000000000015</v>
      </c>
      <c r="AA2">
        <f t="shared" ref="AA2:AA45" si="4">IF(A2&lt;=45,0.3766+0.0135*(A2-45),IF(AND(A2&gt;45,A2&lt;=85),0.522+0.0048*(A2-75),IF(AND(A2&gt;85,A2&lt;=95),0.522+0.0048*(A2-85),IF(A2&gt;95,0.522+0.0048*(A2-95)))))</f>
        <v>-2.8399999999999981E-2</v>
      </c>
      <c r="AB2">
        <f t="shared" ref="AB2:AB45" si="5">IF(A2&lt;=45,-0.0159-0.003*(A2-45),IF(AND(A2&gt;45,A2&lt;=85),-0.672-0.0219*(A2-75),IF(AND(A2&gt;85,A2&lt;=95),-0.672-0.0219*(A2-85),IF(A2&gt;95,-0.672-0.0219*(A2-95)))))</f>
        <v>7.4099999999999999E-2</v>
      </c>
      <c r="AC2">
        <f t="shared" ref="AC2:AC45" si="6">IF(A2&lt;=45,0.4949+0.022*(A2-45),IF(AND(A2&gt;45,A2&lt;=85),2.181+0.0562*(A2-75),IF(AND(A2&gt;85,A2&lt;=95),2.181+0.0562*(A2-85),IF(A2&gt;95,2.181+0.0562*(A2-95)))))</f>
        <v>-0.16509999999999991</v>
      </c>
      <c r="AD2">
        <f t="shared" ref="AD2:AD45" si="7">IF(A2&lt;=45,0.47831+0.024*(A2-45),IF(AND(A2&gt;45,A2&lt;=85),2.407+0.0643*(A2-75),IF(AND(A2&gt;85,A2&lt;=95),2.407+0.0643*(A2-85),IF(A2&gt;95,2.407+0.0643*(A2-95)))))</f>
        <v>-0.24168999999999996</v>
      </c>
      <c r="AE2">
        <f t="shared" ref="AE2:AE45" si="8">IF(A2&lt;=45,-0.0016-0.00001*(A2-45),IF(AND(A2&gt;45,A2&lt;=85),-0.00153+0*(A2-75),IF(AND(A2&gt;85,A2&lt;=95),-0.00153+0*(A2-85),IF(A2&gt;95,-0.00153+0*(A2-95)))))</f>
        <v>-1.2999999999999999E-3</v>
      </c>
      <c r="AF2">
        <f t="shared" ref="AF2:AF45" si="9">IF(A2&lt;=45,0.1+0.0023*(A2-45),IF(AND(A2&gt;45,A2&lt;=85),0.1436+0.0014*(A2-75),IF(AND(A2&gt;85,A2&lt;=95),0.1436+0.0014*(A2-85),IF(A2&gt;95,0.1436+0.0014*(A2-95)))))</f>
        <v>3.1E-2</v>
      </c>
      <c r="AG2">
        <f t="shared" ref="AG2:AG45" si="10">AB2*LN(N2)+AC2*V2+AD2*W2+AE2*X2*(R2-100)+AF2*Y2</f>
        <v>0.22839801274250199</v>
      </c>
      <c r="AH2">
        <f t="shared" ref="AH2:AH45" si="11">EXP(Z2+AG2*LN(U2)+AA2*LN(N2))</f>
        <v>0.28131272018708342</v>
      </c>
      <c r="AI2">
        <f t="shared" ref="AI2:AI45" si="12">IF(N2&lt;=50,1,0)</f>
        <v>0</v>
      </c>
      <c r="AJ2">
        <f t="shared" ref="AJ2:AJ45" si="13">IF(N2&gt;50,1,0)</f>
        <v>1</v>
      </c>
      <c r="AK2">
        <f t="shared" ref="AK2:AK45" si="14">IF(Q2&lt;=AH2,1,0)</f>
        <v>0</v>
      </c>
      <c r="AL2">
        <f t="shared" ref="AL2:AL45" si="15">IF(Q2&gt;AH2,1,0)</f>
        <v>1</v>
      </c>
      <c r="AM2">
        <f t="shared" ref="AM2:AM45" si="16">IF(A2&lt;=45,1.3597-0.0083*(A2-45),IF(AND(A2&gt;45,A2&lt;=85),1.0339-0.0109*(A2-75),IF(AND(A2&gt;85,A2&lt;=95),1.0339-0.0109*(A2-85),IF(A2&gt;95,1.0339-0.0109*(A2-95)))))</f>
        <v>1.6086999999999998</v>
      </c>
      <c r="AN2">
        <f t="shared" ref="AN2:AN45" si="17">IF(A2&lt;=45,1.9844-0.0246*(A2-45),IF(AND(A2&gt;45,A2&lt;=85),2.0379+0.0018*(A2-75),IF(AND(A2&gt;85,A2&lt;=95),2.0379+0.0018*(A2-85),IF(A2&gt;95,2.0379+0.0018*(A2-95)))))</f>
        <v>2.7223999999999999</v>
      </c>
      <c r="AO2">
        <f t="shared" ref="AO2:AO45" si="18">IF(A2&lt;=45,-0.0037-0.0001*(A2-45),IF(AND(A2&gt;45,A2&lt;=85),-0.0047-0.00003*(A2-75),IF(AND(A2&gt;85,A2&lt;=95),-0.0047-0.00003*(A2-85),IF(A2&gt;95,-0.0047-0.00003*(A2-95)))))</f>
        <v>-7.000000000000001E-4</v>
      </c>
      <c r="AP2">
        <f t="shared" ref="AP2:AP45" si="19">IF(A2&lt;=45,0.005-0.0011*(A2-45),IF(AND(A2&gt;45,A2&lt;=85),0.016+0.00037*(A2-75),IF(AND(A2&gt;85,A2&lt;=95),0.016+0.00037*(A2-85),IF(A2&gt;95,0.016+0.00037*(A2-95)))))</f>
        <v>3.7999999999999999E-2</v>
      </c>
      <c r="AQ2">
        <f t="shared" ref="AQ2:AQ45" si="20">IF(A2&lt;=45,-0.1222+0.0143*(A2-45),IF(AND(A2&gt;45,A2&lt;=85),-0.1889-0.00222*(A2-75),IF(AND(A2&gt;85,A2&lt;=95),-0.1889-0.00222*(A2-85),IF(A2&gt;95,-0.1889-0.00222*(A2-95)))))</f>
        <v>-0.55120000000000002</v>
      </c>
      <c r="AR2">
        <f t="shared" ref="AR2:AR45" si="21">IF(A2&lt;=45,-0.0052-0.00004*(A2-45),IF(AND(A2&gt;45,A2&lt;=85),-0.0043+0.00003*(A2-75),IF(AND(A2&gt;85,A2&lt;=95),-0.0043+0.00003*(A2-85),IF(A2&gt;95,-0.0043+0.00003*(A2-95)))))</f>
        <v>-4.0000000000000001E-3</v>
      </c>
      <c r="AS2">
        <f t="shared" ref="AS2:AS45" si="22">IF(A2&lt;=45,1.0299+0.0144*(A2-45),IF(AND(A2&gt;45,A2&lt;=85),0.8156-0.00714*(A2-75),IF(AND(A2&gt;85,A2&lt;=95),0.8156-0.00714*(A2-85),IF(A2&gt;95,0.8156-0.00714*(A2-95)))))</f>
        <v>0.5979000000000001</v>
      </c>
      <c r="AT2">
        <f t="shared" ref="AT2:AT45" si="23">IF(A2&lt;=45,0.0069+0.00063*(A2-45),IF(AND(A2&gt;45,A2&lt;=85),-0.0166-0.00078*(A2-75),IF(AND(A2&gt;85,A2&lt;=95),-0.0166-0.00078*(A2-85),IF(A2&gt;95,-0.0166-0.00078*(A2-95)))))</f>
        <v>-1.2E-2</v>
      </c>
      <c r="AU2">
        <f t="shared" ref="AU2:AU45" si="24">IF(A2&lt;=45,-0.0735-0.0075*(A2-45),IF(AND(A2&gt;45,A2&lt;=85),0.073+0.00488*(A2-75),IF(AND(A2&gt;85,A2&lt;=95),0.073+0.00488*(A2-85),IF(A2&gt;95,0.073+0.00488*(A2-95)))))</f>
        <v>0.15149999999999997</v>
      </c>
      <c r="AV2">
        <f t="shared" ref="AV2:AV45" si="25">IF(A2&lt;=45,0.4549+0.01443*(A2-45),IF(AND(A2&gt;45,A2&lt;=85),0.1603-0.00982*(A2-75),IF(AND(A2&gt;85,A2&lt;=95),0.1603-0.00982*(A2-85),IF(A2&gt;95,0.1603-0.00982*(A2-95)))))</f>
        <v>2.200000000000002E-2</v>
      </c>
      <c r="AW2">
        <f t="shared" ref="AW2:AW45" si="26">AK2*(AN2+AO2*S2+AP2*AI2*(N2-50)+AQ2*AJ2+AR2*R2)+AL2*(AS2+AT2*AI2*(N2-50)+AU2*AJ2+AV2*LN(U2))</f>
        <v>0.65989644864647012</v>
      </c>
      <c r="AX2">
        <f t="shared" ref="AX2:AX45" si="27">AM2+AW2*LN(Q2/AH2)</f>
        <v>1.9882336120268065</v>
      </c>
    </row>
    <row r="3" spans="1:50" x14ac:dyDescent="0.25">
      <c r="A3" s="1">
        <v>45</v>
      </c>
      <c r="B3" s="1"/>
      <c r="C3" t="s">
        <v>15</v>
      </c>
      <c r="E3">
        <v>560</v>
      </c>
      <c r="F3">
        <v>7.1</v>
      </c>
      <c r="G3">
        <v>237000</v>
      </c>
      <c r="H3">
        <v>8</v>
      </c>
      <c r="I3">
        <v>50</v>
      </c>
      <c r="J3">
        <v>0.6</v>
      </c>
      <c r="K3">
        <v>33.5</v>
      </c>
      <c r="L3">
        <v>18</v>
      </c>
      <c r="M3">
        <v>1.2</v>
      </c>
      <c r="N3">
        <v>100</v>
      </c>
      <c r="O3">
        <v>32</v>
      </c>
      <c r="P3">
        <v>0.55000000000000004</v>
      </c>
      <c r="Q3">
        <v>0.3</v>
      </c>
      <c r="R3">
        <f t="shared" si="0"/>
        <v>78.873239436619727</v>
      </c>
      <c r="S3">
        <v>12.05453361</v>
      </c>
      <c r="T3">
        <f t="shared" si="1"/>
        <v>284400</v>
      </c>
      <c r="U3">
        <f t="shared" si="2"/>
        <v>2.0313550273416534</v>
      </c>
      <c r="V3">
        <f t="shared" ref="V3:V45" si="28">IF(S3&lt;=70,1,0)</f>
        <v>1</v>
      </c>
      <c r="W3">
        <f t="shared" ref="W3:W45" si="29">IF(S3&gt;70,1,0)</f>
        <v>0</v>
      </c>
      <c r="X3">
        <f t="shared" ref="X3:X45" si="30">IF(R3&lt;=100,1,0)</f>
        <v>1</v>
      </c>
      <c r="Y3">
        <f t="shared" ref="Y3:Y45" si="31">IF(R3&gt;100,1,0)</f>
        <v>0</v>
      </c>
      <c r="Z3">
        <f t="shared" si="3"/>
        <v>-1.8283</v>
      </c>
      <c r="AA3">
        <f t="shared" si="4"/>
        <v>0.37659999999999999</v>
      </c>
      <c r="AB3">
        <f t="shared" si="5"/>
        <v>-1.5900000000000001E-2</v>
      </c>
      <c r="AC3">
        <f t="shared" si="6"/>
        <v>0.49490000000000001</v>
      </c>
      <c r="AD3">
        <f t="shared" si="7"/>
        <v>0.47831000000000001</v>
      </c>
      <c r="AE3">
        <f t="shared" si="8"/>
        <v>-1.6000000000000001E-3</v>
      </c>
      <c r="AF3">
        <f t="shared" si="9"/>
        <v>0.1</v>
      </c>
      <c r="AG3">
        <f t="shared" si="10"/>
        <v>0.45548061094419778</v>
      </c>
      <c r="AH3">
        <f t="shared" si="11"/>
        <v>1.2571001497228844</v>
      </c>
      <c r="AI3">
        <f t="shared" si="12"/>
        <v>0</v>
      </c>
      <c r="AJ3">
        <f t="shared" si="13"/>
        <v>1</v>
      </c>
      <c r="AK3">
        <f t="shared" si="14"/>
        <v>1</v>
      </c>
      <c r="AL3">
        <f t="shared" si="15"/>
        <v>0</v>
      </c>
      <c r="AM3">
        <f t="shared" si="16"/>
        <v>1.3596999999999999</v>
      </c>
      <c r="AN3">
        <f t="shared" si="17"/>
        <v>1.9843999999999999</v>
      </c>
      <c r="AO3">
        <f t="shared" si="18"/>
        <v>-3.7000000000000002E-3</v>
      </c>
      <c r="AP3">
        <f t="shared" si="19"/>
        <v>5.0000000000000001E-3</v>
      </c>
      <c r="AQ3">
        <f t="shared" si="20"/>
        <v>-0.1222</v>
      </c>
      <c r="AR3">
        <f t="shared" si="21"/>
        <v>-5.1999999999999998E-3</v>
      </c>
      <c r="AS3">
        <f t="shared" si="22"/>
        <v>1.0299</v>
      </c>
      <c r="AT3">
        <f t="shared" si="23"/>
        <v>6.8999999999999999E-3</v>
      </c>
      <c r="AU3">
        <f t="shared" si="24"/>
        <v>-7.3499999999999996E-2</v>
      </c>
      <c r="AV3">
        <f t="shared" si="25"/>
        <v>0.45490000000000003</v>
      </c>
      <c r="AW3">
        <f t="shared" si="26"/>
        <v>1.4074573805725774</v>
      </c>
      <c r="AX3">
        <f t="shared" si="27"/>
        <v>-0.65687735486523269</v>
      </c>
    </row>
    <row r="4" spans="1:50" x14ac:dyDescent="0.25">
      <c r="A4" s="1">
        <v>75</v>
      </c>
      <c r="B4" s="1"/>
      <c r="C4" t="s">
        <v>15</v>
      </c>
      <c r="E4">
        <v>560</v>
      </c>
      <c r="F4">
        <v>7.1</v>
      </c>
      <c r="G4">
        <v>308000</v>
      </c>
      <c r="H4">
        <v>8</v>
      </c>
      <c r="I4">
        <v>50</v>
      </c>
      <c r="J4">
        <v>0.7</v>
      </c>
      <c r="K4">
        <v>48</v>
      </c>
      <c r="L4">
        <v>19</v>
      </c>
      <c r="M4">
        <v>1.8</v>
      </c>
      <c r="N4">
        <v>200</v>
      </c>
      <c r="O4">
        <v>38</v>
      </c>
      <c r="P4">
        <v>0.65</v>
      </c>
      <c r="Q4">
        <v>0.6</v>
      </c>
      <c r="R4">
        <f t="shared" si="0"/>
        <v>78.873239436619727</v>
      </c>
      <c r="S4">
        <v>27.674087950000001</v>
      </c>
      <c r="T4">
        <f t="shared" si="1"/>
        <v>369600</v>
      </c>
      <c r="U4">
        <f t="shared" si="2"/>
        <v>2.6399044237182672</v>
      </c>
      <c r="V4">
        <f t="shared" si="28"/>
        <v>1</v>
      </c>
      <c r="W4">
        <f t="shared" si="29"/>
        <v>0</v>
      </c>
      <c r="X4">
        <f t="shared" si="30"/>
        <v>1</v>
      </c>
      <c r="Y4">
        <f t="shared" si="31"/>
        <v>0</v>
      </c>
      <c r="Z4">
        <f t="shared" si="3"/>
        <v>-1.607</v>
      </c>
      <c r="AA4">
        <f t="shared" si="4"/>
        <v>0.52200000000000002</v>
      </c>
      <c r="AB4">
        <f t="shared" si="5"/>
        <v>-0.67200000000000004</v>
      </c>
      <c r="AC4">
        <f t="shared" si="6"/>
        <v>2.181</v>
      </c>
      <c r="AD4">
        <f t="shared" si="7"/>
        <v>2.407</v>
      </c>
      <c r="AE4">
        <f t="shared" si="8"/>
        <v>-1.5299999999999999E-3</v>
      </c>
      <c r="AF4">
        <f t="shared" si="9"/>
        <v>0.14360000000000001</v>
      </c>
      <c r="AG4">
        <f t="shared" si="10"/>
        <v>-1.3471453266583089</v>
      </c>
      <c r="AH4">
        <f t="shared" si="11"/>
        <v>0.86156063334387833</v>
      </c>
      <c r="AI4">
        <f t="shared" si="12"/>
        <v>0</v>
      </c>
      <c r="AJ4">
        <f t="shared" si="13"/>
        <v>1</v>
      </c>
      <c r="AK4">
        <f t="shared" si="14"/>
        <v>1</v>
      </c>
      <c r="AL4">
        <f t="shared" si="15"/>
        <v>0</v>
      </c>
      <c r="AM4">
        <f t="shared" si="16"/>
        <v>1.0339</v>
      </c>
      <c r="AN4">
        <f t="shared" si="17"/>
        <v>2.0379</v>
      </c>
      <c r="AO4">
        <f t="shared" si="18"/>
        <v>-4.7000000000000002E-3</v>
      </c>
      <c r="AP4">
        <f t="shared" si="19"/>
        <v>1.6E-2</v>
      </c>
      <c r="AQ4">
        <f t="shared" si="20"/>
        <v>-0.18890000000000001</v>
      </c>
      <c r="AR4">
        <f t="shared" si="21"/>
        <v>-4.3E-3</v>
      </c>
      <c r="AS4">
        <f t="shared" si="22"/>
        <v>0.81559999999999999</v>
      </c>
      <c r="AT4">
        <f t="shared" si="23"/>
        <v>-1.66E-2</v>
      </c>
      <c r="AU4">
        <f t="shared" si="24"/>
        <v>7.2999999999999995E-2</v>
      </c>
      <c r="AV4">
        <f t="shared" si="25"/>
        <v>0.1603</v>
      </c>
      <c r="AW4">
        <f t="shared" si="26"/>
        <v>1.3797768570575353</v>
      </c>
      <c r="AX4">
        <f t="shared" si="27"/>
        <v>0.53467496105785339</v>
      </c>
    </row>
    <row r="5" spans="1:50" x14ac:dyDescent="0.25">
      <c r="A5" s="1">
        <v>15</v>
      </c>
      <c r="B5" s="1"/>
      <c r="C5" t="s">
        <v>15</v>
      </c>
      <c r="E5">
        <v>560</v>
      </c>
      <c r="F5">
        <v>7.1</v>
      </c>
      <c r="G5">
        <v>379000</v>
      </c>
      <c r="H5">
        <v>8</v>
      </c>
      <c r="I5">
        <v>50</v>
      </c>
      <c r="J5">
        <v>0.8</v>
      </c>
      <c r="K5">
        <v>62.2</v>
      </c>
      <c r="L5">
        <v>20</v>
      </c>
      <c r="M5">
        <v>2.4</v>
      </c>
      <c r="N5">
        <v>300</v>
      </c>
      <c r="O5">
        <v>44</v>
      </c>
      <c r="P5">
        <v>0.75</v>
      </c>
      <c r="Q5">
        <v>0.9</v>
      </c>
      <c r="R5">
        <f t="shared" si="0"/>
        <v>78.873239436619727</v>
      </c>
      <c r="S5">
        <v>54.839880450000003</v>
      </c>
      <c r="T5">
        <f t="shared" si="1"/>
        <v>454800</v>
      </c>
      <c r="U5">
        <f t="shared" si="2"/>
        <v>3.2484538200948805</v>
      </c>
      <c r="V5">
        <f t="shared" si="28"/>
        <v>1</v>
      </c>
      <c r="W5">
        <f t="shared" si="29"/>
        <v>0</v>
      </c>
      <c r="X5">
        <f t="shared" si="30"/>
        <v>1</v>
      </c>
      <c r="Y5">
        <f t="shared" si="31"/>
        <v>0</v>
      </c>
      <c r="Z5">
        <f t="shared" si="3"/>
        <v>-0.20830000000000015</v>
      </c>
      <c r="AA5">
        <f t="shared" si="4"/>
        <v>-2.8399999999999981E-2</v>
      </c>
      <c r="AB5">
        <f t="shared" si="5"/>
        <v>7.4099999999999999E-2</v>
      </c>
      <c r="AC5">
        <f t="shared" si="6"/>
        <v>-0.16509999999999991</v>
      </c>
      <c r="AD5">
        <f t="shared" si="7"/>
        <v>-0.24168999999999996</v>
      </c>
      <c r="AE5">
        <f t="shared" si="8"/>
        <v>-1.2999999999999999E-3</v>
      </c>
      <c r="AF5">
        <f t="shared" si="9"/>
        <v>3.1E-2</v>
      </c>
      <c r="AG5">
        <f t="shared" si="10"/>
        <v>0.2850150701044189</v>
      </c>
      <c r="AH5">
        <f t="shared" si="11"/>
        <v>0.96609934022283173</v>
      </c>
      <c r="AI5">
        <f t="shared" si="12"/>
        <v>0</v>
      </c>
      <c r="AJ5">
        <f t="shared" si="13"/>
        <v>1</v>
      </c>
      <c r="AK5">
        <f t="shared" si="14"/>
        <v>1</v>
      </c>
      <c r="AL5">
        <f t="shared" si="15"/>
        <v>0</v>
      </c>
      <c r="AM5">
        <f t="shared" si="16"/>
        <v>1.6086999999999998</v>
      </c>
      <c r="AN5">
        <f t="shared" si="17"/>
        <v>2.7223999999999999</v>
      </c>
      <c r="AO5">
        <f t="shared" si="18"/>
        <v>-7.000000000000001E-4</v>
      </c>
      <c r="AP5">
        <f t="shared" si="19"/>
        <v>3.7999999999999999E-2</v>
      </c>
      <c r="AQ5">
        <f t="shared" si="20"/>
        <v>-0.55120000000000002</v>
      </c>
      <c r="AR5">
        <f t="shared" si="21"/>
        <v>-4.0000000000000001E-3</v>
      </c>
      <c r="AS5">
        <f t="shared" si="22"/>
        <v>0.5979000000000001</v>
      </c>
      <c r="AT5">
        <f t="shared" si="23"/>
        <v>-1.2E-2</v>
      </c>
      <c r="AU5">
        <f t="shared" si="24"/>
        <v>0.15149999999999997</v>
      </c>
      <c r="AV5">
        <f t="shared" si="25"/>
        <v>2.200000000000002E-2</v>
      </c>
      <c r="AW5">
        <f t="shared" si="26"/>
        <v>1.8173191259385209</v>
      </c>
      <c r="AX5">
        <f t="shared" si="27"/>
        <v>1.4799031365122155</v>
      </c>
    </row>
    <row r="6" spans="1:50" x14ac:dyDescent="0.25">
      <c r="A6" s="1">
        <v>45</v>
      </c>
      <c r="B6" s="1"/>
      <c r="C6" t="s">
        <v>15</v>
      </c>
      <c r="E6">
        <v>1257</v>
      </c>
      <c r="F6">
        <v>6.5</v>
      </c>
      <c r="G6">
        <v>256000</v>
      </c>
      <c r="H6">
        <v>8</v>
      </c>
      <c r="I6">
        <v>50</v>
      </c>
      <c r="J6">
        <v>0.6</v>
      </c>
      <c r="K6">
        <v>33.5</v>
      </c>
      <c r="L6">
        <v>18</v>
      </c>
      <c r="M6">
        <v>1.2</v>
      </c>
      <c r="N6">
        <v>100</v>
      </c>
      <c r="O6">
        <v>32</v>
      </c>
      <c r="P6">
        <v>0.55000000000000004</v>
      </c>
      <c r="Q6">
        <v>0.3</v>
      </c>
      <c r="R6">
        <f t="shared" si="0"/>
        <v>193.38461538461539</v>
      </c>
      <c r="S6">
        <v>27.05812276</v>
      </c>
      <c r="T6">
        <f t="shared" si="1"/>
        <v>307200</v>
      </c>
      <c r="U6">
        <f t="shared" si="2"/>
        <v>2.1942062742593387</v>
      </c>
      <c r="V6">
        <f t="shared" si="28"/>
        <v>1</v>
      </c>
      <c r="W6">
        <f t="shared" si="29"/>
        <v>0</v>
      </c>
      <c r="X6">
        <f t="shared" si="30"/>
        <v>0</v>
      </c>
      <c r="Y6">
        <f t="shared" si="31"/>
        <v>1</v>
      </c>
      <c r="Z6">
        <f t="shared" si="3"/>
        <v>-1.8283</v>
      </c>
      <c r="AA6">
        <f t="shared" si="4"/>
        <v>0.37659999999999999</v>
      </c>
      <c r="AB6">
        <f t="shared" si="5"/>
        <v>-1.5900000000000001E-2</v>
      </c>
      <c r="AC6">
        <f t="shared" si="6"/>
        <v>0.49490000000000001</v>
      </c>
      <c r="AD6">
        <f t="shared" si="7"/>
        <v>0.47831000000000001</v>
      </c>
      <c r="AE6">
        <f t="shared" si="8"/>
        <v>-1.6000000000000001E-3</v>
      </c>
      <c r="AF6">
        <f t="shared" si="9"/>
        <v>0.1</v>
      </c>
      <c r="AG6">
        <f t="shared" si="10"/>
        <v>0.52167779404278936</v>
      </c>
      <c r="AH6">
        <f t="shared" si="11"/>
        <v>1.3715645996165298</v>
      </c>
      <c r="AI6">
        <f t="shared" si="12"/>
        <v>0</v>
      </c>
      <c r="AJ6">
        <f t="shared" si="13"/>
        <v>1</v>
      </c>
      <c r="AK6">
        <f t="shared" si="14"/>
        <v>1</v>
      </c>
      <c r="AL6">
        <f t="shared" si="15"/>
        <v>0</v>
      </c>
      <c r="AM6">
        <f t="shared" si="16"/>
        <v>1.3596999999999999</v>
      </c>
      <c r="AN6">
        <f t="shared" si="17"/>
        <v>1.9843999999999999</v>
      </c>
      <c r="AO6">
        <f t="shared" si="18"/>
        <v>-3.7000000000000002E-3</v>
      </c>
      <c r="AP6">
        <f t="shared" si="19"/>
        <v>5.0000000000000001E-3</v>
      </c>
      <c r="AQ6">
        <f t="shared" si="20"/>
        <v>-0.1222</v>
      </c>
      <c r="AR6">
        <f t="shared" si="21"/>
        <v>-5.1999999999999998E-3</v>
      </c>
      <c r="AS6">
        <f t="shared" si="22"/>
        <v>1.0299</v>
      </c>
      <c r="AT6">
        <f t="shared" si="23"/>
        <v>6.8999999999999999E-3</v>
      </c>
      <c r="AU6">
        <f t="shared" si="24"/>
        <v>-7.3499999999999996E-2</v>
      </c>
      <c r="AV6">
        <f t="shared" si="25"/>
        <v>0.45490000000000003</v>
      </c>
      <c r="AW6">
        <f t="shared" si="26"/>
        <v>0.75648494578799985</v>
      </c>
      <c r="AX6">
        <f t="shared" si="27"/>
        <v>0.20989966715335773</v>
      </c>
    </row>
    <row r="7" spans="1:50" x14ac:dyDescent="0.25">
      <c r="A7" s="1">
        <v>75</v>
      </c>
      <c r="B7" s="1"/>
      <c r="C7" t="s">
        <v>15</v>
      </c>
      <c r="E7">
        <v>1257</v>
      </c>
      <c r="F7">
        <v>6.5</v>
      </c>
      <c r="G7">
        <v>279000</v>
      </c>
      <c r="H7">
        <v>8</v>
      </c>
      <c r="I7">
        <v>50</v>
      </c>
      <c r="J7">
        <v>0.7</v>
      </c>
      <c r="K7">
        <v>48</v>
      </c>
      <c r="L7">
        <v>19</v>
      </c>
      <c r="M7">
        <v>1.8</v>
      </c>
      <c r="N7">
        <v>200</v>
      </c>
      <c r="O7">
        <v>38</v>
      </c>
      <c r="P7">
        <v>0.65</v>
      </c>
      <c r="Q7">
        <v>0.6</v>
      </c>
      <c r="R7">
        <f t="shared" si="0"/>
        <v>193.38461538461539</v>
      </c>
      <c r="S7">
        <v>62.118443849999998</v>
      </c>
      <c r="T7">
        <f t="shared" si="1"/>
        <v>334800</v>
      </c>
      <c r="U7">
        <f t="shared" si="2"/>
        <v>2.391341994212326</v>
      </c>
      <c r="V7">
        <f t="shared" si="28"/>
        <v>1</v>
      </c>
      <c r="W7">
        <f t="shared" si="29"/>
        <v>0</v>
      </c>
      <c r="X7">
        <f t="shared" si="30"/>
        <v>0</v>
      </c>
      <c r="Y7">
        <f t="shared" si="31"/>
        <v>1</v>
      </c>
      <c r="Z7">
        <f t="shared" si="3"/>
        <v>-1.607</v>
      </c>
      <c r="AA7">
        <f t="shared" si="4"/>
        <v>0.52200000000000002</v>
      </c>
      <c r="AB7">
        <f t="shared" si="5"/>
        <v>-0.67200000000000004</v>
      </c>
      <c r="AC7">
        <f t="shared" si="6"/>
        <v>2.181</v>
      </c>
      <c r="AD7">
        <f t="shared" si="7"/>
        <v>2.407</v>
      </c>
      <c r="AE7">
        <f t="shared" si="8"/>
        <v>-1.5299999999999999E-3</v>
      </c>
      <c r="AF7">
        <f t="shared" si="9"/>
        <v>0.14360000000000001</v>
      </c>
      <c r="AG7">
        <f t="shared" si="10"/>
        <v>-1.2358692703202807</v>
      </c>
      <c r="AH7">
        <f t="shared" si="11"/>
        <v>1.0846129750438021</v>
      </c>
      <c r="AI7">
        <f t="shared" si="12"/>
        <v>0</v>
      </c>
      <c r="AJ7">
        <f t="shared" si="13"/>
        <v>1</v>
      </c>
      <c r="AK7">
        <f t="shared" si="14"/>
        <v>1</v>
      </c>
      <c r="AL7">
        <f t="shared" si="15"/>
        <v>0</v>
      </c>
      <c r="AM7">
        <f t="shared" si="16"/>
        <v>1.0339</v>
      </c>
      <c r="AN7">
        <f t="shared" si="17"/>
        <v>2.0379</v>
      </c>
      <c r="AO7">
        <f t="shared" si="18"/>
        <v>-4.7000000000000002E-3</v>
      </c>
      <c r="AP7">
        <f t="shared" si="19"/>
        <v>1.6E-2</v>
      </c>
      <c r="AQ7">
        <f t="shared" si="20"/>
        <v>-0.18890000000000001</v>
      </c>
      <c r="AR7">
        <f t="shared" si="21"/>
        <v>-4.3E-3</v>
      </c>
      <c r="AS7">
        <f t="shared" si="22"/>
        <v>0.81559999999999999</v>
      </c>
      <c r="AT7">
        <f t="shared" si="23"/>
        <v>-1.66E-2</v>
      </c>
      <c r="AU7">
        <f t="shared" si="24"/>
        <v>7.2999999999999995E-2</v>
      </c>
      <c r="AV7">
        <f t="shared" si="25"/>
        <v>0.1603</v>
      </c>
      <c r="AW7">
        <f t="shared" si="26"/>
        <v>0.72548946775115375</v>
      </c>
      <c r="AX7">
        <f t="shared" si="27"/>
        <v>0.60437480066560267</v>
      </c>
    </row>
    <row r="8" spans="1:50" x14ac:dyDescent="0.25">
      <c r="A8" s="1">
        <v>15</v>
      </c>
      <c r="B8" s="1"/>
      <c r="C8" t="s">
        <v>15</v>
      </c>
      <c r="E8">
        <v>1257</v>
      </c>
      <c r="F8">
        <v>6.5</v>
      </c>
      <c r="G8">
        <v>302000</v>
      </c>
      <c r="H8">
        <v>8</v>
      </c>
      <c r="I8">
        <v>50</v>
      </c>
      <c r="J8">
        <v>0.8</v>
      </c>
      <c r="K8">
        <v>62.2</v>
      </c>
      <c r="L8">
        <v>20</v>
      </c>
      <c r="M8">
        <v>2.4</v>
      </c>
      <c r="N8">
        <v>300</v>
      </c>
      <c r="O8">
        <v>44</v>
      </c>
      <c r="P8">
        <v>0.75</v>
      </c>
      <c r="Q8">
        <v>0.9</v>
      </c>
      <c r="R8">
        <f t="shared" si="0"/>
        <v>193.38461538461539</v>
      </c>
      <c r="S8">
        <v>123.0959459</v>
      </c>
      <c r="T8">
        <f t="shared" si="1"/>
        <v>362400</v>
      </c>
      <c r="U8">
        <f t="shared" si="2"/>
        <v>2.5884777141653137</v>
      </c>
      <c r="V8">
        <f t="shared" si="28"/>
        <v>0</v>
      </c>
      <c r="W8">
        <f t="shared" si="29"/>
        <v>1</v>
      </c>
      <c r="X8">
        <f t="shared" si="30"/>
        <v>0</v>
      </c>
      <c r="Y8">
        <f t="shared" si="31"/>
        <v>1</v>
      </c>
      <c r="Z8">
        <f t="shared" si="3"/>
        <v>-0.20830000000000015</v>
      </c>
      <c r="AA8">
        <f t="shared" si="4"/>
        <v>-2.8399999999999981E-2</v>
      </c>
      <c r="AB8">
        <f t="shared" si="5"/>
        <v>7.4099999999999999E-2</v>
      </c>
      <c r="AC8">
        <f t="shared" si="6"/>
        <v>-0.16509999999999991</v>
      </c>
      <c r="AD8">
        <f t="shared" si="7"/>
        <v>-0.24168999999999996</v>
      </c>
      <c r="AE8">
        <f t="shared" si="8"/>
        <v>-1.2999999999999999E-3</v>
      </c>
      <c r="AF8">
        <f t="shared" si="9"/>
        <v>3.1E-2</v>
      </c>
      <c r="AG8">
        <f t="shared" si="10"/>
        <v>0.21196028137202452</v>
      </c>
      <c r="AH8">
        <f t="shared" si="11"/>
        <v>0.84476367225482563</v>
      </c>
      <c r="AI8">
        <f t="shared" si="12"/>
        <v>0</v>
      </c>
      <c r="AJ8">
        <f t="shared" si="13"/>
        <v>1</v>
      </c>
      <c r="AK8">
        <f t="shared" si="14"/>
        <v>0</v>
      </c>
      <c r="AL8">
        <f t="shared" si="15"/>
        <v>1</v>
      </c>
      <c r="AM8">
        <f t="shared" si="16"/>
        <v>1.6086999999999998</v>
      </c>
      <c r="AN8">
        <f t="shared" si="17"/>
        <v>2.7223999999999999</v>
      </c>
      <c r="AO8">
        <f t="shared" si="18"/>
        <v>-7.000000000000001E-4</v>
      </c>
      <c r="AP8">
        <f t="shared" si="19"/>
        <v>3.7999999999999999E-2</v>
      </c>
      <c r="AQ8">
        <f t="shared" si="20"/>
        <v>-0.55120000000000002</v>
      </c>
      <c r="AR8">
        <f t="shared" si="21"/>
        <v>-4.0000000000000001E-3</v>
      </c>
      <c r="AS8">
        <f t="shared" si="22"/>
        <v>0.5979000000000001</v>
      </c>
      <c r="AT8">
        <f t="shared" si="23"/>
        <v>-1.2E-2</v>
      </c>
      <c r="AU8">
        <f t="shared" si="24"/>
        <v>0.15149999999999997</v>
      </c>
      <c r="AV8">
        <f t="shared" si="25"/>
        <v>2.200000000000002E-2</v>
      </c>
      <c r="AW8">
        <f t="shared" si="26"/>
        <v>0.77032353885087734</v>
      </c>
      <c r="AX8">
        <f t="shared" si="27"/>
        <v>1.6574906389808308</v>
      </c>
    </row>
    <row r="9" spans="1:50" x14ac:dyDescent="0.25">
      <c r="A9" s="1">
        <v>45</v>
      </c>
      <c r="B9" s="1"/>
      <c r="C9" t="s">
        <v>15</v>
      </c>
      <c r="E9">
        <v>1723</v>
      </c>
      <c r="F9">
        <v>9.5</v>
      </c>
      <c r="G9">
        <v>241000</v>
      </c>
      <c r="H9">
        <v>8</v>
      </c>
      <c r="I9">
        <v>50</v>
      </c>
      <c r="J9">
        <v>0.6</v>
      </c>
      <c r="K9">
        <v>33.5</v>
      </c>
      <c r="L9">
        <v>18</v>
      </c>
      <c r="M9">
        <v>1.2</v>
      </c>
      <c r="N9">
        <v>100</v>
      </c>
      <c r="O9">
        <v>32</v>
      </c>
      <c r="P9">
        <v>0.55000000000000004</v>
      </c>
      <c r="Q9">
        <v>0.3</v>
      </c>
      <c r="R9">
        <f t="shared" si="0"/>
        <v>181.36842105263159</v>
      </c>
      <c r="S9">
        <v>37.089216800000003</v>
      </c>
      <c r="T9">
        <f t="shared" si="1"/>
        <v>289200</v>
      </c>
      <c r="U9">
        <f t="shared" si="2"/>
        <v>2.0656395003769554</v>
      </c>
      <c r="V9">
        <f t="shared" si="28"/>
        <v>1</v>
      </c>
      <c r="W9">
        <f t="shared" si="29"/>
        <v>0</v>
      </c>
      <c r="X9">
        <f t="shared" si="30"/>
        <v>0</v>
      </c>
      <c r="Y9">
        <f t="shared" si="31"/>
        <v>1</v>
      </c>
      <c r="Z9">
        <f t="shared" si="3"/>
        <v>-1.8283</v>
      </c>
      <c r="AA9">
        <f t="shared" si="4"/>
        <v>0.37659999999999999</v>
      </c>
      <c r="AB9">
        <f t="shared" si="5"/>
        <v>-1.5900000000000001E-2</v>
      </c>
      <c r="AC9">
        <f t="shared" si="6"/>
        <v>0.49490000000000001</v>
      </c>
      <c r="AD9">
        <f t="shared" si="7"/>
        <v>0.47831000000000001</v>
      </c>
      <c r="AE9">
        <f t="shared" si="8"/>
        <v>-1.6000000000000001E-3</v>
      </c>
      <c r="AF9">
        <f t="shared" si="9"/>
        <v>0.1</v>
      </c>
      <c r="AG9">
        <f t="shared" si="10"/>
        <v>0.52167779404278936</v>
      </c>
      <c r="AH9">
        <f t="shared" si="11"/>
        <v>1.3290347939587421</v>
      </c>
      <c r="AI9">
        <f t="shared" si="12"/>
        <v>0</v>
      </c>
      <c r="AJ9">
        <f t="shared" si="13"/>
        <v>1</v>
      </c>
      <c r="AK9">
        <f t="shared" si="14"/>
        <v>1</v>
      </c>
      <c r="AL9">
        <f t="shared" si="15"/>
        <v>0</v>
      </c>
      <c r="AM9">
        <f t="shared" si="16"/>
        <v>1.3596999999999999</v>
      </c>
      <c r="AN9">
        <f t="shared" si="17"/>
        <v>1.9843999999999999</v>
      </c>
      <c r="AO9">
        <f t="shared" si="18"/>
        <v>-3.7000000000000002E-3</v>
      </c>
      <c r="AP9">
        <f t="shared" si="19"/>
        <v>5.0000000000000001E-3</v>
      </c>
      <c r="AQ9">
        <f t="shared" si="20"/>
        <v>-0.1222</v>
      </c>
      <c r="AR9">
        <f t="shared" si="21"/>
        <v>-5.1999999999999998E-3</v>
      </c>
      <c r="AS9">
        <f t="shared" si="22"/>
        <v>1.0299</v>
      </c>
      <c r="AT9">
        <f t="shared" si="23"/>
        <v>6.8999999999999999E-3</v>
      </c>
      <c r="AU9">
        <f t="shared" si="24"/>
        <v>-7.3499999999999996E-2</v>
      </c>
      <c r="AV9">
        <f t="shared" si="25"/>
        <v>0.45490000000000003</v>
      </c>
      <c r="AW9">
        <f t="shared" si="26"/>
        <v>0.78185410836631564</v>
      </c>
      <c r="AX9">
        <f t="shared" si="27"/>
        <v>0.1959682012070687</v>
      </c>
    </row>
    <row r="10" spans="1:50" x14ac:dyDescent="0.25">
      <c r="A10" s="1">
        <v>75</v>
      </c>
      <c r="B10" s="1"/>
      <c r="C10" t="s">
        <v>15</v>
      </c>
      <c r="E10">
        <v>1723</v>
      </c>
      <c r="F10">
        <v>9.5</v>
      </c>
      <c r="G10">
        <v>262000</v>
      </c>
      <c r="H10">
        <v>8</v>
      </c>
      <c r="I10">
        <v>50</v>
      </c>
      <c r="J10">
        <v>0.7</v>
      </c>
      <c r="K10">
        <v>48</v>
      </c>
      <c r="L10">
        <v>19</v>
      </c>
      <c r="M10">
        <v>1.8</v>
      </c>
      <c r="N10">
        <v>200</v>
      </c>
      <c r="O10">
        <v>38</v>
      </c>
      <c r="P10">
        <v>0.65</v>
      </c>
      <c r="Q10">
        <v>0.6</v>
      </c>
      <c r="R10">
        <f t="shared" si="0"/>
        <v>181.36842105263159</v>
      </c>
      <c r="S10">
        <v>85.147238470000005</v>
      </c>
      <c r="T10">
        <f t="shared" si="1"/>
        <v>314400</v>
      </c>
      <c r="U10">
        <f t="shared" si="2"/>
        <v>2.2456329838122921</v>
      </c>
      <c r="V10">
        <f t="shared" si="28"/>
        <v>0</v>
      </c>
      <c r="W10">
        <f t="shared" si="29"/>
        <v>1</v>
      </c>
      <c r="X10">
        <f t="shared" si="30"/>
        <v>0</v>
      </c>
      <c r="Y10">
        <f t="shared" si="31"/>
        <v>1</v>
      </c>
      <c r="Z10">
        <f t="shared" si="3"/>
        <v>-1.607</v>
      </c>
      <c r="AA10">
        <f t="shared" si="4"/>
        <v>0.52200000000000002</v>
      </c>
      <c r="AB10">
        <f t="shared" si="5"/>
        <v>-0.67200000000000004</v>
      </c>
      <c r="AC10">
        <f t="shared" si="6"/>
        <v>2.181</v>
      </c>
      <c r="AD10">
        <f t="shared" si="7"/>
        <v>2.407</v>
      </c>
      <c r="AE10">
        <f t="shared" si="8"/>
        <v>-1.5299999999999999E-3</v>
      </c>
      <c r="AF10">
        <f t="shared" si="9"/>
        <v>0.14360000000000001</v>
      </c>
      <c r="AG10">
        <f t="shared" si="10"/>
        <v>-1.0098692703202807</v>
      </c>
      <c r="AH10">
        <f t="shared" si="11"/>
        <v>1.4074085640001897</v>
      </c>
      <c r="AI10">
        <f t="shared" si="12"/>
        <v>0</v>
      </c>
      <c r="AJ10">
        <f t="shared" si="13"/>
        <v>1</v>
      </c>
      <c r="AK10">
        <f t="shared" si="14"/>
        <v>1</v>
      </c>
      <c r="AL10">
        <f t="shared" si="15"/>
        <v>0</v>
      </c>
      <c r="AM10">
        <f t="shared" si="16"/>
        <v>1.0339</v>
      </c>
      <c r="AN10">
        <f t="shared" si="17"/>
        <v>2.0379</v>
      </c>
      <c r="AO10">
        <f t="shared" si="18"/>
        <v>-4.7000000000000002E-3</v>
      </c>
      <c r="AP10">
        <f t="shared" si="19"/>
        <v>1.6E-2</v>
      </c>
      <c r="AQ10">
        <f t="shared" si="20"/>
        <v>-0.18890000000000001</v>
      </c>
      <c r="AR10">
        <f t="shared" si="21"/>
        <v>-4.3E-3</v>
      </c>
      <c r="AS10">
        <f t="shared" si="22"/>
        <v>0.81559999999999999</v>
      </c>
      <c r="AT10">
        <f t="shared" si="23"/>
        <v>-1.66E-2</v>
      </c>
      <c r="AU10">
        <f t="shared" si="24"/>
        <v>7.2999999999999995E-2</v>
      </c>
      <c r="AV10">
        <f t="shared" si="25"/>
        <v>0.1603</v>
      </c>
      <c r="AW10">
        <f t="shared" si="26"/>
        <v>0.66892376866468417</v>
      </c>
      <c r="AX10">
        <f t="shared" si="27"/>
        <v>0.46359182341053717</v>
      </c>
    </row>
    <row r="11" spans="1:50" x14ac:dyDescent="0.25">
      <c r="A11" s="1">
        <v>45</v>
      </c>
      <c r="B11" s="1"/>
      <c r="C11" t="s">
        <v>15</v>
      </c>
      <c r="E11">
        <v>1723</v>
      </c>
      <c r="F11">
        <v>9.5</v>
      </c>
      <c r="G11">
        <v>284000</v>
      </c>
      <c r="H11">
        <v>8</v>
      </c>
      <c r="I11">
        <v>50</v>
      </c>
      <c r="J11">
        <v>0.8</v>
      </c>
      <c r="K11">
        <v>62.2</v>
      </c>
      <c r="L11">
        <v>20</v>
      </c>
      <c r="M11">
        <v>2.4</v>
      </c>
      <c r="N11">
        <v>300</v>
      </c>
      <c r="O11">
        <v>44</v>
      </c>
      <c r="P11">
        <v>0.75</v>
      </c>
      <c r="Q11">
        <v>0.9</v>
      </c>
      <c r="R11">
        <f t="shared" si="0"/>
        <v>181.36842105263159</v>
      </c>
      <c r="S11">
        <v>168.73056070000001</v>
      </c>
      <c r="T11">
        <f t="shared" si="1"/>
        <v>340800</v>
      </c>
      <c r="U11">
        <f t="shared" si="2"/>
        <v>2.4341975855064537</v>
      </c>
      <c r="V11">
        <f t="shared" si="28"/>
        <v>0</v>
      </c>
      <c r="W11">
        <f t="shared" si="29"/>
        <v>1</v>
      </c>
      <c r="X11">
        <f t="shared" si="30"/>
        <v>0</v>
      </c>
      <c r="Y11">
        <f t="shared" si="31"/>
        <v>1</v>
      </c>
      <c r="Z11">
        <f t="shared" si="3"/>
        <v>-1.8283</v>
      </c>
      <c r="AA11">
        <f t="shared" si="4"/>
        <v>0.37659999999999999</v>
      </c>
      <c r="AB11">
        <f t="shared" si="5"/>
        <v>-1.5900000000000001E-2</v>
      </c>
      <c r="AC11">
        <f t="shared" si="6"/>
        <v>0.49490000000000001</v>
      </c>
      <c r="AD11">
        <f t="shared" si="7"/>
        <v>0.47831000000000001</v>
      </c>
      <c r="AE11">
        <f t="shared" si="8"/>
        <v>-1.6000000000000001E-3</v>
      </c>
      <c r="AF11">
        <f t="shared" si="9"/>
        <v>0.1</v>
      </c>
      <c r="AG11">
        <f t="shared" si="10"/>
        <v>0.48761985865296642</v>
      </c>
      <c r="AH11">
        <f t="shared" si="11"/>
        <v>2.1245063679180709</v>
      </c>
      <c r="AI11">
        <f t="shared" si="12"/>
        <v>0</v>
      </c>
      <c r="AJ11">
        <f t="shared" si="13"/>
        <v>1</v>
      </c>
      <c r="AK11">
        <f t="shared" si="14"/>
        <v>1</v>
      </c>
      <c r="AL11">
        <f t="shared" si="15"/>
        <v>0</v>
      </c>
      <c r="AM11">
        <f t="shared" si="16"/>
        <v>1.3596999999999999</v>
      </c>
      <c r="AN11">
        <f t="shared" si="17"/>
        <v>1.9843999999999999</v>
      </c>
      <c r="AO11">
        <f t="shared" si="18"/>
        <v>-3.7000000000000002E-3</v>
      </c>
      <c r="AP11">
        <f t="shared" si="19"/>
        <v>5.0000000000000001E-3</v>
      </c>
      <c r="AQ11">
        <f t="shared" si="20"/>
        <v>-0.1222</v>
      </c>
      <c r="AR11">
        <f t="shared" si="21"/>
        <v>-5.1999999999999998E-3</v>
      </c>
      <c r="AS11">
        <f t="shared" si="22"/>
        <v>1.0299</v>
      </c>
      <c r="AT11">
        <f t="shared" si="23"/>
        <v>6.8999999999999999E-3</v>
      </c>
      <c r="AU11">
        <f t="shared" si="24"/>
        <v>-7.3499999999999996E-2</v>
      </c>
      <c r="AV11">
        <f t="shared" si="25"/>
        <v>0.45490000000000003</v>
      </c>
      <c r="AW11">
        <f t="shared" si="26"/>
        <v>0.29478113593631539</v>
      </c>
      <c r="AX11">
        <f t="shared" si="27"/>
        <v>1.1065124842312943</v>
      </c>
    </row>
    <row r="12" spans="1:50" x14ac:dyDescent="0.25">
      <c r="A12" s="1">
        <v>15</v>
      </c>
      <c r="B12" s="1"/>
      <c r="C12" t="s">
        <v>15</v>
      </c>
      <c r="E12">
        <v>168</v>
      </c>
      <c r="F12">
        <v>4.8</v>
      </c>
      <c r="G12">
        <v>304000</v>
      </c>
      <c r="H12">
        <v>35</v>
      </c>
      <c r="I12">
        <v>11</v>
      </c>
      <c r="J12">
        <v>0.6</v>
      </c>
      <c r="K12">
        <v>33.5</v>
      </c>
      <c r="L12">
        <v>18</v>
      </c>
      <c r="M12">
        <v>1.2</v>
      </c>
      <c r="N12">
        <v>100</v>
      </c>
      <c r="O12">
        <v>32</v>
      </c>
      <c r="P12">
        <v>0.55000000000000004</v>
      </c>
      <c r="Q12">
        <v>0.3</v>
      </c>
      <c r="R12">
        <f t="shared" si="0"/>
        <v>35</v>
      </c>
      <c r="S12">
        <v>3.6163600819999999</v>
      </c>
      <c r="T12">
        <f t="shared" si="1"/>
        <v>364800</v>
      </c>
      <c r="U12">
        <f t="shared" si="2"/>
        <v>4.1352045320601591E-2</v>
      </c>
      <c r="V12">
        <f t="shared" si="28"/>
        <v>1</v>
      </c>
      <c r="W12">
        <f t="shared" si="29"/>
        <v>0</v>
      </c>
      <c r="X12">
        <f t="shared" si="30"/>
        <v>1</v>
      </c>
      <c r="Y12">
        <f t="shared" si="31"/>
        <v>0</v>
      </c>
      <c r="Z12">
        <f t="shared" si="3"/>
        <v>-0.20830000000000015</v>
      </c>
      <c r="AA12">
        <f t="shared" si="4"/>
        <v>-2.8399999999999981E-2</v>
      </c>
      <c r="AB12">
        <f t="shared" si="5"/>
        <v>7.4099999999999999E-2</v>
      </c>
      <c r="AC12">
        <f t="shared" si="6"/>
        <v>-0.16509999999999991</v>
      </c>
      <c r="AD12">
        <f t="shared" si="7"/>
        <v>-0.24168999999999996</v>
      </c>
      <c r="AE12">
        <f t="shared" si="8"/>
        <v>-1.2999999999999999E-3</v>
      </c>
      <c r="AF12">
        <f t="shared" si="9"/>
        <v>3.1E-2</v>
      </c>
      <c r="AG12">
        <f t="shared" si="10"/>
        <v>0.26064311078171765</v>
      </c>
      <c r="AH12">
        <f t="shared" si="11"/>
        <v>0.31055314550891266</v>
      </c>
      <c r="AI12">
        <f t="shared" si="12"/>
        <v>0</v>
      </c>
      <c r="AJ12">
        <f t="shared" si="13"/>
        <v>1</v>
      </c>
      <c r="AK12">
        <f t="shared" si="14"/>
        <v>1</v>
      </c>
      <c r="AL12">
        <f t="shared" si="15"/>
        <v>0</v>
      </c>
      <c r="AM12">
        <f t="shared" si="16"/>
        <v>1.6086999999999998</v>
      </c>
      <c r="AN12">
        <f t="shared" si="17"/>
        <v>2.7223999999999999</v>
      </c>
      <c r="AO12">
        <f t="shared" si="18"/>
        <v>-7.000000000000001E-4</v>
      </c>
      <c r="AP12">
        <f t="shared" si="19"/>
        <v>3.7999999999999999E-2</v>
      </c>
      <c r="AQ12">
        <f t="shared" si="20"/>
        <v>-0.55120000000000002</v>
      </c>
      <c r="AR12">
        <f t="shared" si="21"/>
        <v>-4.0000000000000001E-3</v>
      </c>
      <c r="AS12">
        <f t="shared" si="22"/>
        <v>0.5979000000000001</v>
      </c>
      <c r="AT12">
        <f t="shared" si="23"/>
        <v>-1.2E-2</v>
      </c>
      <c r="AU12">
        <f t="shared" si="24"/>
        <v>0.15149999999999997</v>
      </c>
      <c r="AV12">
        <f t="shared" si="25"/>
        <v>2.200000000000002E-2</v>
      </c>
      <c r="AW12">
        <f t="shared" si="26"/>
        <v>2.0286685479425999</v>
      </c>
      <c r="AX12">
        <f t="shared" si="27"/>
        <v>1.538563708269217</v>
      </c>
    </row>
    <row r="13" spans="1:50" x14ac:dyDescent="0.25">
      <c r="A13" s="1">
        <v>45</v>
      </c>
      <c r="B13" s="1"/>
      <c r="C13" t="s">
        <v>15</v>
      </c>
      <c r="E13">
        <v>168</v>
      </c>
      <c r="F13">
        <v>4.8</v>
      </c>
      <c r="G13">
        <v>324000</v>
      </c>
      <c r="H13">
        <v>26</v>
      </c>
      <c r="I13">
        <v>10</v>
      </c>
      <c r="J13">
        <v>0.7</v>
      </c>
      <c r="K13">
        <v>48</v>
      </c>
      <c r="L13">
        <v>19</v>
      </c>
      <c r="M13">
        <v>1.8</v>
      </c>
      <c r="N13">
        <v>200</v>
      </c>
      <c r="O13">
        <v>38</v>
      </c>
      <c r="P13">
        <v>0.65</v>
      </c>
      <c r="Q13">
        <v>0.6</v>
      </c>
      <c r="R13">
        <f t="shared" si="0"/>
        <v>35</v>
      </c>
      <c r="S13">
        <v>8.3022263859999992</v>
      </c>
      <c r="T13">
        <f t="shared" si="1"/>
        <v>388800</v>
      </c>
      <c r="U13">
        <f t="shared" si="2"/>
        <v>3.0394465975798687E-2</v>
      </c>
      <c r="V13">
        <f t="shared" si="28"/>
        <v>1</v>
      </c>
      <c r="W13">
        <f t="shared" si="29"/>
        <v>0</v>
      </c>
      <c r="X13">
        <f t="shared" si="30"/>
        <v>1</v>
      </c>
      <c r="Y13">
        <f t="shared" si="31"/>
        <v>0</v>
      </c>
      <c r="Z13">
        <f t="shared" si="3"/>
        <v>-1.8283</v>
      </c>
      <c r="AA13">
        <f t="shared" si="4"/>
        <v>0.37659999999999999</v>
      </c>
      <c r="AB13">
        <f t="shared" si="5"/>
        <v>-1.5900000000000001E-2</v>
      </c>
      <c r="AC13">
        <f t="shared" si="6"/>
        <v>0.49490000000000001</v>
      </c>
      <c r="AD13">
        <f t="shared" si="7"/>
        <v>0.47831000000000001</v>
      </c>
      <c r="AE13">
        <f t="shared" si="8"/>
        <v>-1.6000000000000001E-3</v>
      </c>
      <c r="AF13">
        <f t="shared" si="9"/>
        <v>0.1</v>
      </c>
      <c r="AG13">
        <f t="shared" si="10"/>
        <v>0.51465675387188625</v>
      </c>
      <c r="AH13">
        <f t="shared" si="11"/>
        <v>0.19575246808544466</v>
      </c>
      <c r="AI13">
        <f t="shared" si="12"/>
        <v>0</v>
      </c>
      <c r="AJ13">
        <f t="shared" si="13"/>
        <v>1</v>
      </c>
      <c r="AK13">
        <f t="shared" si="14"/>
        <v>0</v>
      </c>
      <c r="AL13">
        <f t="shared" si="15"/>
        <v>1</v>
      </c>
      <c r="AM13">
        <f t="shared" si="16"/>
        <v>1.3596999999999999</v>
      </c>
      <c r="AN13">
        <f t="shared" si="17"/>
        <v>1.9843999999999999</v>
      </c>
      <c r="AO13">
        <f t="shared" si="18"/>
        <v>-3.7000000000000002E-3</v>
      </c>
      <c r="AP13">
        <f t="shared" si="19"/>
        <v>5.0000000000000001E-3</v>
      </c>
      <c r="AQ13">
        <f t="shared" si="20"/>
        <v>-0.1222</v>
      </c>
      <c r="AR13">
        <f t="shared" si="21"/>
        <v>-5.1999999999999998E-3</v>
      </c>
      <c r="AS13">
        <f t="shared" si="22"/>
        <v>1.0299</v>
      </c>
      <c r="AT13">
        <f t="shared" si="23"/>
        <v>6.8999999999999999E-3</v>
      </c>
      <c r="AU13">
        <f t="shared" si="24"/>
        <v>-7.3499999999999996E-2</v>
      </c>
      <c r="AV13">
        <f t="shared" si="25"/>
        <v>0.45490000000000003</v>
      </c>
      <c r="AW13">
        <f t="shared" si="26"/>
        <v>-0.63279075149930131</v>
      </c>
      <c r="AX13">
        <f t="shared" si="27"/>
        <v>0.65092455005088268</v>
      </c>
    </row>
    <row r="14" spans="1:50" x14ac:dyDescent="0.25">
      <c r="A14" s="1">
        <v>75</v>
      </c>
      <c r="B14" s="1"/>
      <c r="C14" t="s">
        <v>15</v>
      </c>
      <c r="E14">
        <v>168</v>
      </c>
      <c r="F14">
        <v>4.8</v>
      </c>
      <c r="G14">
        <v>345000</v>
      </c>
      <c r="H14">
        <v>17</v>
      </c>
      <c r="I14">
        <v>9</v>
      </c>
      <c r="J14">
        <v>0.8</v>
      </c>
      <c r="K14">
        <v>62.2</v>
      </c>
      <c r="L14">
        <v>20</v>
      </c>
      <c r="M14">
        <v>2.4</v>
      </c>
      <c r="N14">
        <v>300</v>
      </c>
      <c r="O14">
        <v>44</v>
      </c>
      <c r="P14">
        <v>0.75</v>
      </c>
      <c r="Q14">
        <v>0.9</v>
      </c>
      <c r="R14">
        <f t="shared" si="0"/>
        <v>35</v>
      </c>
      <c r="S14">
        <v>16.451964140000001</v>
      </c>
      <c r="T14">
        <f t="shared" si="1"/>
        <v>414000</v>
      </c>
      <c r="U14">
        <f t="shared" si="2"/>
        <v>2.0227267058687996E-2</v>
      </c>
      <c r="V14">
        <f t="shared" si="28"/>
        <v>1</v>
      </c>
      <c r="W14">
        <f t="shared" si="29"/>
        <v>0</v>
      </c>
      <c r="X14">
        <f t="shared" si="30"/>
        <v>1</v>
      </c>
      <c r="Y14">
        <f t="shared" si="31"/>
        <v>0</v>
      </c>
      <c r="Z14">
        <f t="shared" si="3"/>
        <v>-1.607</v>
      </c>
      <c r="AA14">
        <f t="shared" si="4"/>
        <v>0.52200000000000002</v>
      </c>
      <c r="AB14">
        <f t="shared" si="5"/>
        <v>-0.67200000000000004</v>
      </c>
      <c r="AC14">
        <f t="shared" si="6"/>
        <v>2.181</v>
      </c>
      <c r="AD14">
        <f t="shared" si="7"/>
        <v>2.407</v>
      </c>
      <c r="AE14">
        <f t="shared" si="8"/>
        <v>-1.5299999999999999E-3</v>
      </c>
      <c r="AF14">
        <f t="shared" si="9"/>
        <v>0.14360000000000001</v>
      </c>
      <c r="AG14">
        <f t="shared" si="10"/>
        <v>-1.552491822968967</v>
      </c>
      <c r="AH14">
        <f t="shared" si="11"/>
        <v>1679.4407782708179</v>
      </c>
      <c r="AI14">
        <f t="shared" si="12"/>
        <v>0</v>
      </c>
      <c r="AJ14">
        <f t="shared" si="13"/>
        <v>1</v>
      </c>
      <c r="AK14">
        <f t="shared" si="14"/>
        <v>1</v>
      </c>
      <c r="AL14">
        <f t="shared" si="15"/>
        <v>0</v>
      </c>
      <c r="AM14">
        <f t="shared" si="16"/>
        <v>1.0339</v>
      </c>
      <c r="AN14">
        <f t="shared" si="17"/>
        <v>2.0379</v>
      </c>
      <c r="AO14">
        <f t="shared" si="18"/>
        <v>-4.7000000000000002E-3</v>
      </c>
      <c r="AP14">
        <f t="shared" si="19"/>
        <v>1.6E-2</v>
      </c>
      <c r="AQ14">
        <f t="shared" si="20"/>
        <v>-0.18890000000000001</v>
      </c>
      <c r="AR14">
        <f t="shared" si="21"/>
        <v>-4.3E-3</v>
      </c>
      <c r="AS14">
        <f t="shared" si="22"/>
        <v>0.81559999999999999</v>
      </c>
      <c r="AT14">
        <f t="shared" si="23"/>
        <v>-1.66E-2</v>
      </c>
      <c r="AU14">
        <f t="shared" si="24"/>
        <v>7.2999999999999995E-2</v>
      </c>
      <c r="AV14">
        <f t="shared" si="25"/>
        <v>0.1603</v>
      </c>
      <c r="AW14">
        <f t="shared" si="26"/>
        <v>1.6211757685419999</v>
      </c>
      <c r="AX14">
        <f t="shared" si="27"/>
        <v>-11.17610958426631</v>
      </c>
    </row>
    <row r="15" spans="1:50" x14ac:dyDescent="0.25">
      <c r="A15" s="1">
        <v>15</v>
      </c>
      <c r="B15" s="1"/>
      <c r="C15" t="s">
        <v>15</v>
      </c>
      <c r="E15">
        <v>762</v>
      </c>
      <c r="F15">
        <v>9.5</v>
      </c>
      <c r="G15">
        <v>376000</v>
      </c>
      <c r="H15">
        <v>35</v>
      </c>
      <c r="I15">
        <v>6</v>
      </c>
      <c r="J15">
        <v>0.6</v>
      </c>
      <c r="K15">
        <v>33.5</v>
      </c>
      <c r="L15">
        <v>18</v>
      </c>
      <c r="M15">
        <v>1.2</v>
      </c>
      <c r="N15">
        <v>100</v>
      </c>
      <c r="O15">
        <v>32</v>
      </c>
      <c r="P15">
        <v>0.55000000000000004</v>
      </c>
      <c r="Q15">
        <v>0.3</v>
      </c>
      <c r="R15">
        <f t="shared" si="0"/>
        <v>80.21052631578948</v>
      </c>
      <c r="S15">
        <v>16.40277609</v>
      </c>
      <c r="T15">
        <f t="shared" si="1"/>
        <v>451200</v>
      </c>
      <c r="U15">
        <f t="shared" si="2"/>
        <v>3.5937899520000004E-2</v>
      </c>
      <c r="V15">
        <f t="shared" si="28"/>
        <v>1</v>
      </c>
      <c r="W15">
        <f t="shared" si="29"/>
        <v>0</v>
      </c>
      <c r="X15">
        <f t="shared" si="30"/>
        <v>1</v>
      </c>
      <c r="Y15">
        <f t="shared" si="31"/>
        <v>0</v>
      </c>
      <c r="Z15">
        <f t="shared" si="3"/>
        <v>-0.20830000000000015</v>
      </c>
      <c r="AA15">
        <f t="shared" si="4"/>
        <v>-2.8399999999999981E-2</v>
      </c>
      <c r="AB15">
        <f t="shared" si="5"/>
        <v>7.4099999999999999E-2</v>
      </c>
      <c r="AC15">
        <f t="shared" si="6"/>
        <v>-0.16509999999999991</v>
      </c>
      <c r="AD15">
        <f t="shared" si="7"/>
        <v>-0.24168999999999996</v>
      </c>
      <c r="AE15">
        <f t="shared" si="8"/>
        <v>-1.2999999999999999E-3</v>
      </c>
      <c r="AF15">
        <f t="shared" si="9"/>
        <v>3.1E-2</v>
      </c>
      <c r="AG15">
        <f t="shared" si="10"/>
        <v>0.20186942657119136</v>
      </c>
      <c r="AH15">
        <f t="shared" si="11"/>
        <v>0.36403799123101571</v>
      </c>
      <c r="AI15">
        <f t="shared" si="12"/>
        <v>0</v>
      </c>
      <c r="AJ15">
        <f t="shared" si="13"/>
        <v>1</v>
      </c>
      <c r="AK15">
        <f t="shared" si="14"/>
        <v>1</v>
      </c>
      <c r="AL15">
        <f t="shared" si="15"/>
        <v>0</v>
      </c>
      <c r="AM15">
        <f t="shared" si="16"/>
        <v>1.6086999999999998</v>
      </c>
      <c r="AN15">
        <f t="shared" si="17"/>
        <v>2.7223999999999999</v>
      </c>
      <c r="AO15">
        <f t="shared" si="18"/>
        <v>-7.000000000000001E-4</v>
      </c>
      <c r="AP15">
        <f t="shared" si="19"/>
        <v>3.7999999999999999E-2</v>
      </c>
      <c r="AQ15">
        <f t="shared" si="20"/>
        <v>-0.55120000000000002</v>
      </c>
      <c r="AR15">
        <f t="shared" si="21"/>
        <v>-4.0000000000000001E-3</v>
      </c>
      <c r="AS15">
        <f t="shared" si="22"/>
        <v>0.5979000000000001</v>
      </c>
      <c r="AT15">
        <f t="shared" si="23"/>
        <v>-1.2E-2</v>
      </c>
      <c r="AU15">
        <f t="shared" si="24"/>
        <v>0.15149999999999997</v>
      </c>
      <c r="AV15">
        <f t="shared" si="25"/>
        <v>2.200000000000002E-2</v>
      </c>
      <c r="AW15">
        <f t="shared" si="26"/>
        <v>1.8388759514738418</v>
      </c>
      <c r="AX15">
        <f t="shared" si="27"/>
        <v>1.2529220794935005</v>
      </c>
    </row>
    <row r="16" spans="1:50" x14ac:dyDescent="0.25">
      <c r="A16" s="1">
        <v>45</v>
      </c>
      <c r="B16" s="1"/>
      <c r="C16" t="s">
        <v>15</v>
      </c>
      <c r="E16">
        <v>762</v>
      </c>
      <c r="F16">
        <v>9.5</v>
      </c>
      <c r="G16">
        <v>392000</v>
      </c>
      <c r="H16">
        <v>25</v>
      </c>
      <c r="I16">
        <v>8</v>
      </c>
      <c r="J16">
        <v>0.7</v>
      </c>
      <c r="K16">
        <v>48</v>
      </c>
      <c r="L16">
        <v>19</v>
      </c>
      <c r="M16">
        <v>1.8</v>
      </c>
      <c r="N16">
        <v>200</v>
      </c>
      <c r="O16">
        <v>38</v>
      </c>
      <c r="P16">
        <v>0.65</v>
      </c>
      <c r="Q16">
        <v>0.6</v>
      </c>
      <c r="R16">
        <f t="shared" si="0"/>
        <v>80.21052631578948</v>
      </c>
      <c r="S16">
        <v>37.656526820000003</v>
      </c>
      <c r="T16">
        <f t="shared" si="1"/>
        <v>470400</v>
      </c>
      <c r="U16">
        <f t="shared" si="2"/>
        <v>3.0444137471999991E-2</v>
      </c>
      <c r="V16">
        <f t="shared" si="28"/>
        <v>1</v>
      </c>
      <c r="W16">
        <f t="shared" si="29"/>
        <v>0</v>
      </c>
      <c r="X16">
        <f t="shared" si="30"/>
        <v>1</v>
      </c>
      <c r="Y16">
        <f t="shared" si="31"/>
        <v>0</v>
      </c>
      <c r="Z16">
        <f t="shared" si="3"/>
        <v>-1.8283</v>
      </c>
      <c r="AA16">
        <f t="shared" si="4"/>
        <v>0.37659999999999999</v>
      </c>
      <c r="AB16">
        <f t="shared" si="5"/>
        <v>-1.5900000000000001E-2</v>
      </c>
      <c r="AC16">
        <f t="shared" si="6"/>
        <v>0.49490000000000001</v>
      </c>
      <c r="AD16">
        <f t="shared" si="7"/>
        <v>0.47831000000000001</v>
      </c>
      <c r="AE16">
        <f t="shared" si="8"/>
        <v>-1.6000000000000001E-3</v>
      </c>
      <c r="AF16">
        <f t="shared" si="9"/>
        <v>0.1</v>
      </c>
      <c r="AG16">
        <f t="shared" si="10"/>
        <v>0.44231991176662305</v>
      </c>
      <c r="AH16">
        <f t="shared" si="11"/>
        <v>0.25221492004142915</v>
      </c>
      <c r="AI16">
        <f t="shared" si="12"/>
        <v>0</v>
      </c>
      <c r="AJ16">
        <f t="shared" si="13"/>
        <v>1</v>
      </c>
      <c r="AK16">
        <f t="shared" si="14"/>
        <v>0</v>
      </c>
      <c r="AL16">
        <f t="shared" si="15"/>
        <v>1</v>
      </c>
      <c r="AM16">
        <f t="shared" si="16"/>
        <v>1.3596999999999999</v>
      </c>
      <c r="AN16">
        <f t="shared" si="17"/>
        <v>1.9843999999999999</v>
      </c>
      <c r="AO16">
        <f t="shared" si="18"/>
        <v>-3.7000000000000002E-3</v>
      </c>
      <c r="AP16">
        <f t="shared" si="19"/>
        <v>5.0000000000000001E-3</v>
      </c>
      <c r="AQ16">
        <f t="shared" si="20"/>
        <v>-0.1222</v>
      </c>
      <c r="AR16">
        <f t="shared" si="21"/>
        <v>-5.1999999999999998E-3</v>
      </c>
      <c r="AS16">
        <f t="shared" si="22"/>
        <v>1.0299</v>
      </c>
      <c r="AT16">
        <f t="shared" si="23"/>
        <v>6.8999999999999999E-3</v>
      </c>
      <c r="AU16">
        <f t="shared" si="24"/>
        <v>-7.3499999999999996E-2</v>
      </c>
      <c r="AV16">
        <f t="shared" si="25"/>
        <v>0.45490000000000003</v>
      </c>
      <c r="AW16">
        <f t="shared" si="26"/>
        <v>-0.63204794783971419</v>
      </c>
      <c r="AX16">
        <f t="shared" si="27"/>
        <v>0.81193686340894355</v>
      </c>
    </row>
    <row r="17" spans="1:50" x14ac:dyDescent="0.25">
      <c r="A17" s="1">
        <v>75</v>
      </c>
      <c r="B17" s="1"/>
      <c r="C17" t="s">
        <v>15</v>
      </c>
      <c r="E17">
        <v>762</v>
      </c>
      <c r="F17">
        <v>9.5</v>
      </c>
      <c r="G17">
        <v>407000</v>
      </c>
      <c r="H17">
        <v>15</v>
      </c>
      <c r="I17">
        <v>10</v>
      </c>
      <c r="J17">
        <v>0.8</v>
      </c>
      <c r="K17">
        <v>62.2</v>
      </c>
      <c r="L17">
        <v>20</v>
      </c>
      <c r="M17">
        <v>2.4</v>
      </c>
      <c r="N17">
        <v>300</v>
      </c>
      <c r="O17">
        <v>44</v>
      </c>
      <c r="P17">
        <v>0.75</v>
      </c>
      <c r="Q17">
        <v>0.9</v>
      </c>
      <c r="R17">
        <f t="shared" si="0"/>
        <v>80.21052631578948</v>
      </c>
      <c r="S17">
        <v>74.621408759999994</v>
      </c>
      <c r="T17">
        <f t="shared" si="1"/>
        <v>488400</v>
      </c>
      <c r="U17">
        <f t="shared" si="2"/>
        <v>2.3060482286592E-2</v>
      </c>
      <c r="V17">
        <f t="shared" si="28"/>
        <v>0</v>
      </c>
      <c r="W17">
        <f t="shared" si="29"/>
        <v>1</v>
      </c>
      <c r="X17">
        <f t="shared" si="30"/>
        <v>1</v>
      </c>
      <c r="Y17">
        <f t="shared" si="31"/>
        <v>0</v>
      </c>
      <c r="Z17">
        <f t="shared" si="3"/>
        <v>-1.607</v>
      </c>
      <c r="AA17">
        <f t="shared" si="4"/>
        <v>0.52200000000000002</v>
      </c>
      <c r="AB17">
        <f t="shared" si="5"/>
        <v>-0.67200000000000004</v>
      </c>
      <c r="AC17">
        <f t="shared" si="6"/>
        <v>2.181</v>
      </c>
      <c r="AD17">
        <f t="shared" si="7"/>
        <v>2.407</v>
      </c>
      <c r="AE17">
        <f t="shared" si="8"/>
        <v>-1.5299999999999999E-3</v>
      </c>
      <c r="AF17">
        <f t="shared" si="9"/>
        <v>0.14360000000000001</v>
      </c>
      <c r="AG17">
        <f t="shared" si="10"/>
        <v>-1.395663928232125</v>
      </c>
      <c r="AH17">
        <f t="shared" si="11"/>
        <v>758.63277615726849</v>
      </c>
      <c r="AI17">
        <f t="shared" si="12"/>
        <v>0</v>
      </c>
      <c r="AJ17">
        <f t="shared" si="13"/>
        <v>1</v>
      </c>
      <c r="AK17">
        <f t="shared" si="14"/>
        <v>1</v>
      </c>
      <c r="AL17">
        <f t="shared" si="15"/>
        <v>0</v>
      </c>
      <c r="AM17">
        <f t="shared" si="16"/>
        <v>1.0339</v>
      </c>
      <c r="AN17">
        <f t="shared" si="17"/>
        <v>2.0379</v>
      </c>
      <c r="AO17">
        <f t="shared" si="18"/>
        <v>-4.7000000000000002E-3</v>
      </c>
      <c r="AP17">
        <f t="shared" si="19"/>
        <v>1.6E-2</v>
      </c>
      <c r="AQ17">
        <f t="shared" si="20"/>
        <v>-0.18890000000000001</v>
      </c>
      <c r="AR17">
        <f t="shared" si="21"/>
        <v>-4.3E-3</v>
      </c>
      <c r="AS17">
        <f t="shared" si="22"/>
        <v>0.81559999999999999</v>
      </c>
      <c r="AT17">
        <f t="shared" si="23"/>
        <v>-1.66E-2</v>
      </c>
      <c r="AU17">
        <f t="shared" si="24"/>
        <v>7.2999999999999995E-2</v>
      </c>
      <c r="AV17">
        <f t="shared" si="25"/>
        <v>0.1603</v>
      </c>
      <c r="AW17">
        <f t="shared" si="26"/>
        <v>1.1533741156701052</v>
      </c>
      <c r="AX17">
        <f t="shared" si="27"/>
        <v>-6.7362411094146646</v>
      </c>
    </row>
    <row r="18" spans="1:50" x14ac:dyDescent="0.25">
      <c r="A18" s="1">
        <v>15</v>
      </c>
      <c r="B18" s="1"/>
      <c r="C18" t="s">
        <v>15</v>
      </c>
      <c r="E18">
        <v>610</v>
      </c>
      <c r="F18">
        <v>6.4</v>
      </c>
      <c r="G18">
        <v>434000</v>
      </c>
      <c r="H18">
        <v>23</v>
      </c>
      <c r="I18">
        <v>9</v>
      </c>
      <c r="J18">
        <v>0.6</v>
      </c>
      <c r="K18">
        <v>33.5</v>
      </c>
      <c r="L18">
        <v>18</v>
      </c>
      <c r="M18">
        <v>1.2</v>
      </c>
      <c r="N18">
        <v>100</v>
      </c>
      <c r="O18">
        <v>32</v>
      </c>
      <c r="P18">
        <v>0.55000000000000004</v>
      </c>
      <c r="Q18">
        <v>0.3</v>
      </c>
      <c r="R18">
        <f t="shared" si="0"/>
        <v>95.3125</v>
      </c>
      <c r="S18">
        <v>13.13083125</v>
      </c>
      <c r="T18">
        <f t="shared" si="1"/>
        <v>520800</v>
      </c>
      <c r="U18">
        <f t="shared" si="2"/>
        <v>3.3506956484198394E-2</v>
      </c>
      <c r="V18">
        <f t="shared" si="28"/>
        <v>1</v>
      </c>
      <c r="W18">
        <f t="shared" si="29"/>
        <v>0</v>
      </c>
      <c r="X18">
        <f t="shared" si="30"/>
        <v>1</v>
      </c>
      <c r="Y18">
        <f t="shared" si="31"/>
        <v>0</v>
      </c>
      <c r="Z18">
        <f t="shared" si="3"/>
        <v>-0.20830000000000015</v>
      </c>
      <c r="AA18">
        <f t="shared" si="4"/>
        <v>-2.8399999999999981E-2</v>
      </c>
      <c r="AB18">
        <f t="shared" si="5"/>
        <v>7.4099999999999999E-2</v>
      </c>
      <c r="AC18">
        <f t="shared" si="6"/>
        <v>-0.16509999999999991</v>
      </c>
      <c r="AD18">
        <f t="shared" si="7"/>
        <v>-0.24168999999999996</v>
      </c>
      <c r="AE18">
        <f t="shared" si="8"/>
        <v>-1.2999999999999999E-3</v>
      </c>
      <c r="AF18">
        <f t="shared" si="9"/>
        <v>3.1E-2</v>
      </c>
      <c r="AG18">
        <f t="shared" si="10"/>
        <v>0.18223686078171769</v>
      </c>
      <c r="AH18">
        <f t="shared" si="11"/>
        <v>0.38367339797121147</v>
      </c>
      <c r="AI18">
        <f t="shared" si="12"/>
        <v>0</v>
      </c>
      <c r="AJ18">
        <f t="shared" si="13"/>
        <v>1</v>
      </c>
      <c r="AK18">
        <f t="shared" si="14"/>
        <v>1</v>
      </c>
      <c r="AL18">
        <f t="shared" si="15"/>
        <v>0</v>
      </c>
      <c r="AM18">
        <f t="shared" si="16"/>
        <v>1.6086999999999998</v>
      </c>
      <c r="AN18">
        <f t="shared" si="17"/>
        <v>2.7223999999999999</v>
      </c>
      <c r="AO18">
        <f t="shared" si="18"/>
        <v>-7.000000000000001E-4</v>
      </c>
      <c r="AP18">
        <f t="shared" si="19"/>
        <v>3.7999999999999999E-2</v>
      </c>
      <c r="AQ18">
        <f t="shared" si="20"/>
        <v>-0.55120000000000002</v>
      </c>
      <c r="AR18">
        <f t="shared" si="21"/>
        <v>-4.0000000000000001E-3</v>
      </c>
      <c r="AS18">
        <f t="shared" si="22"/>
        <v>0.5979000000000001</v>
      </c>
      <c r="AT18">
        <f t="shared" si="23"/>
        <v>-1.2E-2</v>
      </c>
      <c r="AU18">
        <f t="shared" si="24"/>
        <v>0.15149999999999997</v>
      </c>
      <c r="AV18">
        <f t="shared" si="25"/>
        <v>2.200000000000002E-2</v>
      </c>
      <c r="AW18">
        <f t="shared" si="26"/>
        <v>1.7807584181249996</v>
      </c>
      <c r="AX18">
        <f t="shared" si="27"/>
        <v>1.1706170641275031</v>
      </c>
    </row>
    <row r="19" spans="1:50" x14ac:dyDescent="0.25">
      <c r="A19" s="1">
        <v>45</v>
      </c>
      <c r="B19" s="1"/>
      <c r="C19" t="s">
        <v>15</v>
      </c>
      <c r="E19">
        <v>610</v>
      </c>
      <c r="F19">
        <v>6.4</v>
      </c>
      <c r="G19">
        <v>462000</v>
      </c>
      <c r="H19">
        <v>17</v>
      </c>
      <c r="I19">
        <v>11</v>
      </c>
      <c r="J19">
        <v>0.7</v>
      </c>
      <c r="K19">
        <v>48</v>
      </c>
      <c r="L19">
        <v>19</v>
      </c>
      <c r="M19">
        <v>1.8</v>
      </c>
      <c r="N19">
        <v>200</v>
      </c>
      <c r="O19">
        <v>38</v>
      </c>
      <c r="P19">
        <v>0.65</v>
      </c>
      <c r="Q19">
        <v>0.6</v>
      </c>
      <c r="R19">
        <f t="shared" si="0"/>
        <v>95.3125</v>
      </c>
      <c r="S19">
        <v>30.144988659999999</v>
      </c>
      <c r="T19">
        <f t="shared" si="1"/>
        <v>554400</v>
      </c>
      <c r="U19">
        <f t="shared" si="2"/>
        <v>3.1949938716917758E-2</v>
      </c>
      <c r="V19">
        <f t="shared" si="28"/>
        <v>1</v>
      </c>
      <c r="W19">
        <f t="shared" si="29"/>
        <v>0</v>
      </c>
      <c r="X19">
        <f t="shared" si="30"/>
        <v>1</v>
      </c>
      <c r="Y19">
        <f t="shared" si="31"/>
        <v>0</v>
      </c>
      <c r="Z19">
        <f t="shared" si="3"/>
        <v>-1.8283</v>
      </c>
      <c r="AA19">
        <f t="shared" si="4"/>
        <v>0.37659999999999999</v>
      </c>
      <c r="AB19">
        <f t="shared" si="5"/>
        <v>-1.5900000000000001E-2</v>
      </c>
      <c r="AC19">
        <f t="shared" si="6"/>
        <v>0.49490000000000001</v>
      </c>
      <c r="AD19">
        <f t="shared" si="7"/>
        <v>0.47831000000000001</v>
      </c>
      <c r="AE19">
        <f t="shared" si="8"/>
        <v>-1.6000000000000001E-3</v>
      </c>
      <c r="AF19">
        <f t="shared" si="9"/>
        <v>0.1</v>
      </c>
      <c r="AG19">
        <f t="shared" si="10"/>
        <v>0.41815675387188622</v>
      </c>
      <c r="AH19">
        <f t="shared" si="11"/>
        <v>0.28001502631655567</v>
      </c>
      <c r="AI19">
        <f t="shared" si="12"/>
        <v>0</v>
      </c>
      <c r="AJ19">
        <f t="shared" si="13"/>
        <v>1</v>
      </c>
      <c r="AK19">
        <f t="shared" si="14"/>
        <v>0</v>
      </c>
      <c r="AL19">
        <f t="shared" si="15"/>
        <v>1</v>
      </c>
      <c r="AM19">
        <f t="shared" si="16"/>
        <v>1.3596999999999999</v>
      </c>
      <c r="AN19">
        <f t="shared" si="17"/>
        <v>1.9843999999999999</v>
      </c>
      <c r="AO19">
        <f t="shared" si="18"/>
        <v>-3.7000000000000002E-3</v>
      </c>
      <c r="AP19">
        <f t="shared" si="19"/>
        <v>5.0000000000000001E-3</v>
      </c>
      <c r="AQ19">
        <f t="shared" si="20"/>
        <v>-0.1222</v>
      </c>
      <c r="AR19">
        <f t="shared" si="21"/>
        <v>-5.1999999999999998E-3</v>
      </c>
      <c r="AS19">
        <f t="shared" si="22"/>
        <v>1.0299</v>
      </c>
      <c r="AT19">
        <f t="shared" si="23"/>
        <v>6.8999999999999999E-3</v>
      </c>
      <c r="AU19">
        <f t="shared" si="24"/>
        <v>-7.3499999999999996E-2</v>
      </c>
      <c r="AV19">
        <f t="shared" si="25"/>
        <v>0.45490000000000003</v>
      </c>
      <c r="AW19">
        <f t="shared" si="26"/>
        <v>-0.61008682389384161</v>
      </c>
      <c r="AX19">
        <f t="shared" si="27"/>
        <v>0.89476113596930018</v>
      </c>
    </row>
    <row r="20" spans="1:50" x14ac:dyDescent="0.25">
      <c r="A20" s="1">
        <v>75</v>
      </c>
      <c r="B20" s="1"/>
      <c r="C20" t="s">
        <v>15</v>
      </c>
      <c r="E20">
        <v>610</v>
      </c>
      <c r="F20">
        <v>6.4</v>
      </c>
      <c r="G20">
        <v>490000</v>
      </c>
      <c r="H20">
        <v>11</v>
      </c>
      <c r="I20">
        <v>12</v>
      </c>
      <c r="J20">
        <v>0.8</v>
      </c>
      <c r="K20">
        <v>62.2</v>
      </c>
      <c r="L20">
        <v>20</v>
      </c>
      <c r="M20">
        <v>2.4</v>
      </c>
      <c r="N20">
        <v>300</v>
      </c>
      <c r="O20">
        <v>44</v>
      </c>
      <c r="P20">
        <v>0.75</v>
      </c>
      <c r="Q20">
        <v>0.9</v>
      </c>
      <c r="R20">
        <f t="shared" si="0"/>
        <v>95.3125</v>
      </c>
      <c r="S20">
        <v>59.736298349999998</v>
      </c>
      <c r="T20">
        <f t="shared" si="1"/>
        <v>588000</v>
      </c>
      <c r="U20">
        <f t="shared" si="2"/>
        <v>2.5120514499738383E-2</v>
      </c>
      <c r="V20">
        <f t="shared" si="28"/>
        <v>1</v>
      </c>
      <c r="W20">
        <f t="shared" si="29"/>
        <v>0</v>
      </c>
      <c r="X20">
        <f t="shared" si="30"/>
        <v>1</v>
      </c>
      <c r="Y20">
        <f t="shared" si="31"/>
        <v>0</v>
      </c>
      <c r="Z20">
        <f t="shared" si="3"/>
        <v>-1.607</v>
      </c>
      <c r="AA20">
        <f t="shared" si="4"/>
        <v>0.52200000000000002</v>
      </c>
      <c r="AB20">
        <f t="shared" si="5"/>
        <v>-0.67200000000000004</v>
      </c>
      <c r="AC20">
        <f t="shared" si="6"/>
        <v>2.181</v>
      </c>
      <c r="AD20">
        <f t="shared" si="7"/>
        <v>2.407</v>
      </c>
      <c r="AE20">
        <f t="shared" si="8"/>
        <v>-1.5299999999999999E-3</v>
      </c>
      <c r="AF20">
        <f t="shared" si="9"/>
        <v>0.14360000000000001</v>
      </c>
      <c r="AG20">
        <f t="shared" si="10"/>
        <v>-1.644769947968967</v>
      </c>
      <c r="AH20">
        <f t="shared" si="11"/>
        <v>1685.5089149444932</v>
      </c>
      <c r="AI20">
        <f t="shared" si="12"/>
        <v>0</v>
      </c>
      <c r="AJ20">
        <f t="shared" si="13"/>
        <v>1</v>
      </c>
      <c r="AK20">
        <f t="shared" si="14"/>
        <v>1</v>
      </c>
      <c r="AL20">
        <f t="shared" si="15"/>
        <v>0</v>
      </c>
      <c r="AM20">
        <f t="shared" si="16"/>
        <v>1.0339</v>
      </c>
      <c r="AN20">
        <f t="shared" si="17"/>
        <v>2.0379</v>
      </c>
      <c r="AO20">
        <f t="shared" si="18"/>
        <v>-4.7000000000000002E-3</v>
      </c>
      <c r="AP20">
        <f t="shared" si="19"/>
        <v>1.6E-2</v>
      </c>
      <c r="AQ20">
        <f t="shared" si="20"/>
        <v>-0.18890000000000001</v>
      </c>
      <c r="AR20">
        <f t="shared" si="21"/>
        <v>-4.3E-3</v>
      </c>
      <c r="AS20">
        <f t="shared" si="22"/>
        <v>0.81559999999999999</v>
      </c>
      <c r="AT20">
        <f t="shared" si="23"/>
        <v>-1.66E-2</v>
      </c>
      <c r="AU20">
        <f t="shared" si="24"/>
        <v>7.2999999999999995E-2</v>
      </c>
      <c r="AV20">
        <f t="shared" si="25"/>
        <v>0.1603</v>
      </c>
      <c r="AW20">
        <f t="shared" si="26"/>
        <v>1.1583956477549999</v>
      </c>
      <c r="AX20">
        <f t="shared" si="27"/>
        <v>-7.6948235855321352</v>
      </c>
    </row>
    <row r="21" spans="1:50" x14ac:dyDescent="0.25">
      <c r="A21" s="1">
        <v>45</v>
      </c>
      <c r="B21" s="1"/>
      <c r="C21" t="s">
        <v>15</v>
      </c>
      <c r="E21">
        <v>406</v>
      </c>
      <c r="F21">
        <v>9.5</v>
      </c>
      <c r="G21">
        <v>376000</v>
      </c>
      <c r="H21">
        <v>35</v>
      </c>
      <c r="I21">
        <v>6</v>
      </c>
      <c r="J21">
        <v>0.6</v>
      </c>
      <c r="K21">
        <v>33.5</v>
      </c>
      <c r="L21">
        <v>18</v>
      </c>
      <c r="M21">
        <v>1.2</v>
      </c>
      <c r="N21">
        <v>100</v>
      </c>
      <c r="O21">
        <v>32</v>
      </c>
      <c r="P21">
        <v>0.55000000000000004</v>
      </c>
      <c r="Q21">
        <v>0.3</v>
      </c>
      <c r="R21">
        <f t="shared" si="0"/>
        <v>42.736842105263158</v>
      </c>
      <c r="S21">
        <v>8.7395368659999999</v>
      </c>
      <c r="T21">
        <f t="shared" si="1"/>
        <v>451200</v>
      </c>
      <c r="U21">
        <f t="shared" si="2"/>
        <v>3.5937899520000004E-2</v>
      </c>
      <c r="V21">
        <f t="shared" si="28"/>
        <v>1</v>
      </c>
      <c r="W21">
        <f t="shared" si="29"/>
        <v>0</v>
      </c>
      <c r="X21">
        <f t="shared" si="30"/>
        <v>1</v>
      </c>
      <c r="Y21">
        <f t="shared" si="31"/>
        <v>0</v>
      </c>
      <c r="Z21">
        <f t="shared" si="3"/>
        <v>-1.8283</v>
      </c>
      <c r="AA21">
        <f t="shared" si="4"/>
        <v>0.37659999999999999</v>
      </c>
      <c r="AB21">
        <f t="shared" si="5"/>
        <v>-1.5900000000000001E-2</v>
      </c>
      <c r="AC21">
        <f t="shared" si="6"/>
        <v>0.49490000000000001</v>
      </c>
      <c r="AD21">
        <f t="shared" si="7"/>
        <v>0.47831000000000001</v>
      </c>
      <c r="AE21">
        <f t="shared" si="8"/>
        <v>-1.6000000000000001E-3</v>
      </c>
      <c r="AF21">
        <f t="shared" si="9"/>
        <v>0.1</v>
      </c>
      <c r="AG21">
        <f t="shared" si="10"/>
        <v>0.51329884667436831</v>
      </c>
      <c r="AH21">
        <f t="shared" si="11"/>
        <v>0.1650996910149769</v>
      </c>
      <c r="AI21">
        <f t="shared" si="12"/>
        <v>0</v>
      </c>
      <c r="AJ21">
        <f t="shared" si="13"/>
        <v>1</v>
      </c>
      <c r="AK21">
        <f t="shared" si="14"/>
        <v>0</v>
      </c>
      <c r="AL21">
        <f t="shared" si="15"/>
        <v>1</v>
      </c>
      <c r="AM21">
        <f t="shared" si="16"/>
        <v>1.3596999999999999</v>
      </c>
      <c r="AN21">
        <f t="shared" si="17"/>
        <v>1.9843999999999999</v>
      </c>
      <c r="AO21">
        <f t="shared" si="18"/>
        <v>-3.7000000000000002E-3</v>
      </c>
      <c r="AP21">
        <f t="shared" si="19"/>
        <v>5.0000000000000001E-3</v>
      </c>
      <c r="AQ21">
        <f t="shared" si="20"/>
        <v>-0.1222</v>
      </c>
      <c r="AR21">
        <f t="shared" si="21"/>
        <v>-5.1999999999999998E-3</v>
      </c>
      <c r="AS21">
        <f t="shared" si="22"/>
        <v>1.0299</v>
      </c>
      <c r="AT21">
        <f t="shared" si="23"/>
        <v>6.8999999999999999E-3</v>
      </c>
      <c r="AU21">
        <f t="shared" si="24"/>
        <v>-7.3499999999999996E-2</v>
      </c>
      <c r="AV21">
        <f t="shared" si="25"/>
        <v>0.45490000000000003</v>
      </c>
      <c r="AW21">
        <f t="shared" si="26"/>
        <v>-0.55658049746634541</v>
      </c>
      <c r="AX21">
        <f t="shared" si="27"/>
        <v>1.0272917624092726</v>
      </c>
    </row>
    <row r="22" spans="1:50" x14ac:dyDescent="0.25">
      <c r="A22" s="1">
        <v>15</v>
      </c>
      <c r="B22" s="1"/>
      <c r="C22" t="s">
        <v>15</v>
      </c>
      <c r="E22">
        <v>406</v>
      </c>
      <c r="F22">
        <v>9.5</v>
      </c>
      <c r="G22">
        <v>392000</v>
      </c>
      <c r="H22">
        <v>25</v>
      </c>
      <c r="I22">
        <v>8</v>
      </c>
      <c r="J22">
        <v>0.7</v>
      </c>
      <c r="K22">
        <v>48</v>
      </c>
      <c r="L22">
        <v>19</v>
      </c>
      <c r="M22">
        <v>1.8</v>
      </c>
      <c r="N22">
        <v>200</v>
      </c>
      <c r="O22">
        <v>38</v>
      </c>
      <c r="P22">
        <v>0.65</v>
      </c>
      <c r="Q22">
        <v>0.6</v>
      </c>
      <c r="R22">
        <f t="shared" si="0"/>
        <v>42.736842105263158</v>
      </c>
      <c r="S22">
        <v>20.06371377</v>
      </c>
      <c r="T22">
        <f t="shared" si="1"/>
        <v>470400</v>
      </c>
      <c r="U22">
        <f t="shared" si="2"/>
        <v>3.0444137471999991E-2</v>
      </c>
      <c r="V22">
        <f t="shared" si="28"/>
        <v>1</v>
      </c>
      <c r="W22">
        <f t="shared" si="29"/>
        <v>0</v>
      </c>
      <c r="X22">
        <f t="shared" si="30"/>
        <v>1</v>
      </c>
      <c r="Y22">
        <f t="shared" si="31"/>
        <v>0</v>
      </c>
      <c r="Z22">
        <f t="shared" si="3"/>
        <v>-0.20830000000000015</v>
      </c>
      <c r="AA22">
        <f t="shared" si="4"/>
        <v>-2.8399999999999981E-2</v>
      </c>
      <c r="AB22">
        <f t="shared" si="5"/>
        <v>7.4099999999999999E-2</v>
      </c>
      <c r="AC22">
        <f t="shared" si="6"/>
        <v>-0.16509999999999991</v>
      </c>
      <c r="AD22">
        <f t="shared" si="7"/>
        <v>-0.24168999999999996</v>
      </c>
      <c r="AE22">
        <f t="shared" si="8"/>
        <v>-1.2999999999999999E-3</v>
      </c>
      <c r="AF22">
        <f t="shared" si="9"/>
        <v>3.1E-2</v>
      </c>
      <c r="AG22">
        <f t="shared" si="10"/>
        <v>0.30194742212436743</v>
      </c>
      <c r="AH22">
        <f t="shared" si="11"/>
        <v>0.24338009223358539</v>
      </c>
      <c r="AI22">
        <f t="shared" si="12"/>
        <v>0</v>
      </c>
      <c r="AJ22">
        <f t="shared" si="13"/>
        <v>1</v>
      </c>
      <c r="AK22">
        <f t="shared" si="14"/>
        <v>0</v>
      </c>
      <c r="AL22">
        <f t="shared" si="15"/>
        <v>1</v>
      </c>
      <c r="AM22">
        <f t="shared" si="16"/>
        <v>1.6086999999999998</v>
      </c>
      <c r="AN22">
        <f t="shared" si="17"/>
        <v>2.7223999999999999</v>
      </c>
      <c r="AO22">
        <f t="shared" si="18"/>
        <v>-7.000000000000001E-4</v>
      </c>
      <c r="AP22">
        <f t="shared" si="19"/>
        <v>3.7999999999999999E-2</v>
      </c>
      <c r="AQ22">
        <f t="shared" si="20"/>
        <v>-0.55120000000000002</v>
      </c>
      <c r="AR22">
        <f t="shared" si="21"/>
        <v>-4.0000000000000001E-3</v>
      </c>
      <c r="AS22">
        <f t="shared" si="22"/>
        <v>0.5979000000000001</v>
      </c>
      <c r="AT22">
        <f t="shared" si="23"/>
        <v>-1.2E-2</v>
      </c>
      <c r="AU22">
        <f t="shared" si="24"/>
        <v>0.15149999999999997</v>
      </c>
      <c r="AV22">
        <f t="shared" si="25"/>
        <v>2.200000000000002E-2</v>
      </c>
      <c r="AW22">
        <f t="shared" si="26"/>
        <v>0.67257903967361243</v>
      </c>
      <c r="AX22">
        <f t="shared" si="27"/>
        <v>2.215571610871288</v>
      </c>
    </row>
    <row r="23" spans="1:50" x14ac:dyDescent="0.25">
      <c r="A23" s="1">
        <v>45</v>
      </c>
      <c r="B23" s="1"/>
      <c r="C23" t="s">
        <v>15</v>
      </c>
      <c r="E23">
        <v>406</v>
      </c>
      <c r="F23">
        <v>9.5</v>
      </c>
      <c r="G23">
        <v>407000</v>
      </c>
      <c r="H23">
        <v>15</v>
      </c>
      <c r="I23">
        <v>10</v>
      </c>
      <c r="J23">
        <v>0.8</v>
      </c>
      <c r="K23">
        <v>62.2</v>
      </c>
      <c r="L23">
        <v>20</v>
      </c>
      <c r="M23">
        <v>2.4</v>
      </c>
      <c r="N23">
        <v>300</v>
      </c>
      <c r="O23">
        <v>44</v>
      </c>
      <c r="P23">
        <v>0.75</v>
      </c>
      <c r="Q23">
        <v>0.9</v>
      </c>
      <c r="R23">
        <f t="shared" si="0"/>
        <v>42.736842105263158</v>
      </c>
      <c r="S23">
        <v>39.758913329999999</v>
      </c>
      <c r="T23">
        <f t="shared" si="1"/>
        <v>488400</v>
      </c>
      <c r="U23">
        <f t="shared" si="2"/>
        <v>2.3060482286592E-2</v>
      </c>
      <c r="V23">
        <f t="shared" si="28"/>
        <v>1</v>
      </c>
      <c r="W23">
        <f t="shared" si="29"/>
        <v>0</v>
      </c>
      <c r="X23">
        <f t="shared" si="30"/>
        <v>1</v>
      </c>
      <c r="Y23">
        <f t="shared" si="31"/>
        <v>0</v>
      </c>
      <c r="Z23">
        <f t="shared" si="3"/>
        <v>-1.8283</v>
      </c>
      <c r="AA23">
        <f t="shared" si="4"/>
        <v>0.37659999999999999</v>
      </c>
      <c r="AB23">
        <f t="shared" si="5"/>
        <v>-1.5900000000000001E-2</v>
      </c>
      <c r="AC23">
        <f t="shared" si="6"/>
        <v>0.49490000000000001</v>
      </c>
      <c r="AD23">
        <f t="shared" si="7"/>
        <v>0.47831000000000001</v>
      </c>
      <c r="AE23">
        <f t="shared" si="8"/>
        <v>-1.6000000000000001E-3</v>
      </c>
      <c r="AF23">
        <f t="shared" si="9"/>
        <v>0.1</v>
      </c>
      <c r="AG23">
        <f t="shared" si="10"/>
        <v>0.49583091128454537</v>
      </c>
      <c r="AH23">
        <f t="shared" si="11"/>
        <v>0.21238449254452968</v>
      </c>
      <c r="AI23">
        <f t="shared" si="12"/>
        <v>0</v>
      </c>
      <c r="AJ23">
        <f t="shared" si="13"/>
        <v>1</v>
      </c>
      <c r="AK23">
        <f t="shared" si="14"/>
        <v>0</v>
      </c>
      <c r="AL23">
        <f t="shared" si="15"/>
        <v>1</v>
      </c>
      <c r="AM23">
        <f t="shared" si="16"/>
        <v>1.3596999999999999</v>
      </c>
      <c r="AN23">
        <f t="shared" si="17"/>
        <v>1.9843999999999999</v>
      </c>
      <c r="AO23">
        <f t="shared" si="18"/>
        <v>-3.7000000000000002E-3</v>
      </c>
      <c r="AP23">
        <f t="shared" si="19"/>
        <v>5.0000000000000001E-3</v>
      </c>
      <c r="AQ23">
        <f t="shared" si="20"/>
        <v>-0.1222</v>
      </c>
      <c r="AR23">
        <f t="shared" si="21"/>
        <v>-5.1999999999999998E-3</v>
      </c>
      <c r="AS23">
        <f t="shared" si="22"/>
        <v>1.0299</v>
      </c>
      <c r="AT23">
        <f t="shared" si="23"/>
        <v>6.8999999999999999E-3</v>
      </c>
      <c r="AU23">
        <f t="shared" si="24"/>
        <v>-7.3499999999999996E-2</v>
      </c>
      <c r="AV23">
        <f t="shared" si="25"/>
        <v>0.45490000000000003</v>
      </c>
      <c r="AW23">
        <f t="shared" si="26"/>
        <v>-0.75840689323635535</v>
      </c>
      <c r="AX23">
        <f t="shared" si="27"/>
        <v>0.26456311026741308</v>
      </c>
    </row>
    <row r="24" spans="1:50" x14ac:dyDescent="0.25">
      <c r="A24" s="1">
        <v>75</v>
      </c>
      <c r="B24" s="1"/>
      <c r="C24" t="s">
        <v>16</v>
      </c>
      <c r="E24">
        <v>610</v>
      </c>
      <c r="F24">
        <v>10.199999999999999</v>
      </c>
      <c r="G24">
        <v>359000</v>
      </c>
      <c r="H24">
        <v>14</v>
      </c>
      <c r="I24">
        <v>8.5</v>
      </c>
      <c r="J24">
        <v>0.75</v>
      </c>
      <c r="K24">
        <v>40</v>
      </c>
      <c r="L24">
        <v>19</v>
      </c>
      <c r="M24">
        <v>1.2</v>
      </c>
      <c r="N24">
        <v>100</v>
      </c>
      <c r="O24">
        <v>38</v>
      </c>
      <c r="P24">
        <v>0.75</v>
      </c>
      <c r="Q24">
        <v>0.5</v>
      </c>
      <c r="R24">
        <f t="shared" si="0"/>
        <v>59.803921568627452</v>
      </c>
      <c r="S24">
        <v>57.49114556</v>
      </c>
      <c r="T24">
        <f t="shared" si="1"/>
        <v>430800</v>
      </c>
      <c r="U24">
        <f t="shared" si="2"/>
        <v>1.7105705034911944E-2</v>
      </c>
      <c r="V24">
        <f t="shared" si="28"/>
        <v>1</v>
      </c>
      <c r="W24">
        <f t="shared" si="29"/>
        <v>0</v>
      </c>
      <c r="X24">
        <f t="shared" si="30"/>
        <v>1</v>
      </c>
      <c r="Y24">
        <f t="shared" si="31"/>
        <v>0</v>
      </c>
      <c r="Z24">
        <f t="shared" si="3"/>
        <v>-1.607</v>
      </c>
      <c r="AA24">
        <f t="shared" si="4"/>
        <v>0.52200000000000002</v>
      </c>
      <c r="AB24">
        <f t="shared" si="5"/>
        <v>-0.67200000000000004</v>
      </c>
      <c r="AC24">
        <f t="shared" si="6"/>
        <v>2.181</v>
      </c>
      <c r="AD24">
        <f t="shared" si="7"/>
        <v>2.407</v>
      </c>
      <c r="AE24">
        <f t="shared" si="8"/>
        <v>-1.5299999999999999E-3</v>
      </c>
      <c r="AF24">
        <f t="shared" si="9"/>
        <v>0.14360000000000001</v>
      </c>
      <c r="AG24">
        <f t="shared" si="10"/>
        <v>-0.85217436498399801</v>
      </c>
      <c r="AH24">
        <f t="shared" si="11"/>
        <v>71.082178900628236</v>
      </c>
      <c r="AI24">
        <f t="shared" si="12"/>
        <v>0</v>
      </c>
      <c r="AJ24">
        <f t="shared" si="13"/>
        <v>1</v>
      </c>
      <c r="AK24">
        <f t="shared" si="14"/>
        <v>1</v>
      </c>
      <c r="AL24">
        <f t="shared" si="15"/>
        <v>0</v>
      </c>
      <c r="AM24">
        <f t="shared" si="16"/>
        <v>1.0339</v>
      </c>
      <c r="AN24">
        <f t="shared" si="17"/>
        <v>2.0379</v>
      </c>
      <c r="AO24">
        <f t="shared" si="18"/>
        <v>-4.7000000000000002E-3</v>
      </c>
      <c r="AP24">
        <f t="shared" si="19"/>
        <v>1.6E-2</v>
      </c>
      <c r="AQ24">
        <f t="shared" si="20"/>
        <v>-0.18890000000000001</v>
      </c>
      <c r="AR24">
        <f t="shared" si="21"/>
        <v>-4.3E-3</v>
      </c>
      <c r="AS24">
        <f t="shared" si="22"/>
        <v>0.81559999999999999</v>
      </c>
      <c r="AT24">
        <f t="shared" si="23"/>
        <v>-1.66E-2</v>
      </c>
      <c r="AU24">
        <f t="shared" si="24"/>
        <v>7.2999999999999995E-2</v>
      </c>
      <c r="AV24">
        <f t="shared" si="25"/>
        <v>0.1603</v>
      </c>
      <c r="AW24">
        <f t="shared" si="26"/>
        <v>1.321634753122902</v>
      </c>
      <c r="AX24">
        <f t="shared" si="27"/>
        <v>-5.5174221104114345</v>
      </c>
    </row>
    <row r="25" spans="1:50" x14ac:dyDescent="0.25">
      <c r="A25" s="1">
        <v>15</v>
      </c>
      <c r="B25" s="1"/>
      <c r="C25" t="s">
        <v>16</v>
      </c>
      <c r="E25">
        <v>560</v>
      </c>
      <c r="F25">
        <v>7.1</v>
      </c>
      <c r="G25">
        <v>237000</v>
      </c>
      <c r="H25">
        <v>8</v>
      </c>
      <c r="I25">
        <v>50</v>
      </c>
      <c r="J25">
        <v>0.6</v>
      </c>
      <c r="K25">
        <v>33.5</v>
      </c>
      <c r="L25">
        <v>18</v>
      </c>
      <c r="M25">
        <v>1.2</v>
      </c>
      <c r="N25">
        <v>100</v>
      </c>
      <c r="O25">
        <v>32</v>
      </c>
      <c r="P25">
        <v>0.55000000000000004</v>
      </c>
      <c r="Q25">
        <v>0.3</v>
      </c>
      <c r="R25">
        <f t="shared" si="0"/>
        <v>78.873239436619727</v>
      </c>
      <c r="S25">
        <v>35.36176691</v>
      </c>
      <c r="T25">
        <f t="shared" si="1"/>
        <v>284400</v>
      </c>
      <c r="U25">
        <f t="shared" si="2"/>
        <v>2.0313550273416534</v>
      </c>
      <c r="V25">
        <f t="shared" si="28"/>
        <v>1</v>
      </c>
      <c r="W25">
        <f t="shared" si="29"/>
        <v>0</v>
      </c>
      <c r="X25">
        <f t="shared" si="30"/>
        <v>1</v>
      </c>
      <c r="Y25">
        <f t="shared" si="31"/>
        <v>0</v>
      </c>
      <c r="Z25">
        <f t="shared" si="3"/>
        <v>-0.20830000000000015</v>
      </c>
      <c r="AA25">
        <f t="shared" si="4"/>
        <v>-2.8399999999999981E-2</v>
      </c>
      <c r="AB25">
        <f t="shared" si="5"/>
        <v>7.4099999999999999E-2</v>
      </c>
      <c r="AC25">
        <f t="shared" si="6"/>
        <v>-0.16509999999999991</v>
      </c>
      <c r="AD25">
        <f t="shared" si="7"/>
        <v>-0.24168999999999996</v>
      </c>
      <c r="AE25">
        <f t="shared" si="8"/>
        <v>-1.2999999999999999E-3</v>
      </c>
      <c r="AF25">
        <f t="shared" si="9"/>
        <v>3.1E-2</v>
      </c>
      <c r="AG25">
        <f t="shared" si="10"/>
        <v>0.20360789951411204</v>
      </c>
      <c r="AH25">
        <f t="shared" si="11"/>
        <v>0.82300805621845696</v>
      </c>
      <c r="AI25">
        <f t="shared" si="12"/>
        <v>0</v>
      </c>
      <c r="AJ25">
        <f t="shared" si="13"/>
        <v>1</v>
      </c>
      <c r="AK25">
        <f t="shared" si="14"/>
        <v>1</v>
      </c>
      <c r="AL25">
        <f t="shared" si="15"/>
        <v>0</v>
      </c>
      <c r="AM25">
        <f t="shared" si="16"/>
        <v>1.6086999999999998</v>
      </c>
      <c r="AN25">
        <f t="shared" si="17"/>
        <v>2.7223999999999999</v>
      </c>
      <c r="AO25">
        <f t="shared" si="18"/>
        <v>-7.000000000000001E-4</v>
      </c>
      <c r="AP25">
        <f t="shared" si="19"/>
        <v>3.7999999999999999E-2</v>
      </c>
      <c r="AQ25">
        <f t="shared" si="20"/>
        <v>-0.55120000000000002</v>
      </c>
      <c r="AR25">
        <f t="shared" si="21"/>
        <v>-4.0000000000000001E-3</v>
      </c>
      <c r="AS25">
        <f t="shared" si="22"/>
        <v>0.5979000000000001</v>
      </c>
      <c r="AT25">
        <f t="shared" si="23"/>
        <v>-1.2E-2</v>
      </c>
      <c r="AU25">
        <f t="shared" si="24"/>
        <v>0.15149999999999997</v>
      </c>
      <c r="AV25">
        <f t="shared" si="25"/>
        <v>2.200000000000002E-2</v>
      </c>
      <c r="AW25">
        <f t="shared" si="26"/>
        <v>1.8309538054165211</v>
      </c>
      <c r="AX25">
        <f t="shared" si="27"/>
        <v>-0.23906839681738545</v>
      </c>
    </row>
    <row r="26" spans="1:50" x14ac:dyDescent="0.25">
      <c r="A26" s="1">
        <v>45</v>
      </c>
      <c r="B26" s="1"/>
      <c r="C26" t="s">
        <v>16</v>
      </c>
      <c r="E26">
        <v>560</v>
      </c>
      <c r="F26">
        <v>7.1</v>
      </c>
      <c r="G26">
        <v>308000</v>
      </c>
      <c r="H26">
        <v>8</v>
      </c>
      <c r="I26">
        <v>50</v>
      </c>
      <c r="J26">
        <v>0.7</v>
      </c>
      <c r="K26">
        <v>48</v>
      </c>
      <c r="L26">
        <v>19</v>
      </c>
      <c r="M26">
        <v>1.8</v>
      </c>
      <c r="N26">
        <v>200</v>
      </c>
      <c r="O26">
        <v>38</v>
      </c>
      <c r="P26">
        <v>0.65</v>
      </c>
      <c r="Q26">
        <v>0.6</v>
      </c>
      <c r="R26">
        <f t="shared" si="0"/>
        <v>78.873239436619727</v>
      </c>
      <c r="S26">
        <v>59.11220737</v>
      </c>
      <c r="T26">
        <f t="shared" si="1"/>
        <v>369600</v>
      </c>
      <c r="U26">
        <f t="shared" si="2"/>
        <v>2.6399044237182672</v>
      </c>
      <c r="V26">
        <f t="shared" si="28"/>
        <v>1</v>
      </c>
      <c r="W26">
        <f t="shared" si="29"/>
        <v>0</v>
      </c>
      <c r="X26">
        <f t="shared" si="30"/>
        <v>1</v>
      </c>
      <c r="Y26">
        <f t="shared" si="31"/>
        <v>0</v>
      </c>
      <c r="Z26">
        <f t="shared" si="3"/>
        <v>-1.8283</v>
      </c>
      <c r="AA26">
        <f t="shared" si="4"/>
        <v>0.37659999999999999</v>
      </c>
      <c r="AB26">
        <f t="shared" si="5"/>
        <v>-1.5900000000000001E-2</v>
      </c>
      <c r="AC26">
        <f t="shared" si="6"/>
        <v>0.49490000000000001</v>
      </c>
      <c r="AD26">
        <f t="shared" si="7"/>
        <v>0.47831000000000001</v>
      </c>
      <c r="AE26">
        <f t="shared" si="8"/>
        <v>-1.6000000000000001E-3</v>
      </c>
      <c r="AF26">
        <f t="shared" si="9"/>
        <v>0.1</v>
      </c>
      <c r="AG26">
        <f t="shared" si="10"/>
        <v>0.44445957077329468</v>
      </c>
      <c r="AH26">
        <f t="shared" si="11"/>
        <v>1.819391691819944</v>
      </c>
      <c r="AI26">
        <f t="shared" si="12"/>
        <v>0</v>
      </c>
      <c r="AJ26">
        <f t="shared" si="13"/>
        <v>1</v>
      </c>
      <c r="AK26">
        <f t="shared" si="14"/>
        <v>1</v>
      </c>
      <c r="AL26">
        <f t="shared" si="15"/>
        <v>0</v>
      </c>
      <c r="AM26">
        <f t="shared" si="16"/>
        <v>1.3596999999999999</v>
      </c>
      <c r="AN26">
        <f t="shared" si="17"/>
        <v>1.9843999999999999</v>
      </c>
      <c r="AO26">
        <f t="shared" si="18"/>
        <v>-3.7000000000000002E-3</v>
      </c>
      <c r="AP26">
        <f t="shared" si="19"/>
        <v>5.0000000000000001E-3</v>
      </c>
      <c r="AQ26">
        <f t="shared" si="20"/>
        <v>-0.1222</v>
      </c>
      <c r="AR26">
        <f t="shared" si="21"/>
        <v>-5.1999999999999998E-3</v>
      </c>
      <c r="AS26">
        <f t="shared" si="22"/>
        <v>1.0299</v>
      </c>
      <c r="AT26">
        <f t="shared" si="23"/>
        <v>6.8999999999999999E-3</v>
      </c>
      <c r="AU26">
        <f t="shared" si="24"/>
        <v>-7.3499999999999996E-2</v>
      </c>
      <c r="AV26">
        <f t="shared" si="25"/>
        <v>0.45490000000000003</v>
      </c>
      <c r="AW26">
        <f t="shared" si="26"/>
        <v>1.2333439876605774</v>
      </c>
      <c r="AX26">
        <f t="shared" si="27"/>
        <v>-8.4828140654042983E-3</v>
      </c>
    </row>
    <row r="27" spans="1:50" x14ac:dyDescent="0.25">
      <c r="A27" s="1">
        <v>75</v>
      </c>
      <c r="B27" s="1"/>
      <c r="C27" t="s">
        <v>16</v>
      </c>
      <c r="E27">
        <v>560</v>
      </c>
      <c r="F27">
        <v>7.1</v>
      </c>
      <c r="G27">
        <v>379000</v>
      </c>
      <c r="H27">
        <v>8</v>
      </c>
      <c r="I27">
        <v>50</v>
      </c>
      <c r="J27">
        <v>0.8</v>
      </c>
      <c r="K27">
        <v>62.2</v>
      </c>
      <c r="L27">
        <v>20</v>
      </c>
      <c r="M27">
        <v>2.4</v>
      </c>
      <c r="N27">
        <v>300</v>
      </c>
      <c r="O27">
        <v>44</v>
      </c>
      <c r="P27">
        <v>0.75</v>
      </c>
      <c r="Q27">
        <v>1</v>
      </c>
      <c r="R27">
        <f t="shared" si="0"/>
        <v>78.873239436619727</v>
      </c>
      <c r="S27">
        <v>87.542364250000006</v>
      </c>
      <c r="T27">
        <f t="shared" si="1"/>
        <v>454800</v>
      </c>
      <c r="U27">
        <f t="shared" si="2"/>
        <v>3.2484538200948805</v>
      </c>
      <c r="V27">
        <f t="shared" si="28"/>
        <v>0</v>
      </c>
      <c r="W27">
        <f t="shared" si="29"/>
        <v>1</v>
      </c>
      <c r="X27">
        <f t="shared" si="30"/>
        <v>1</v>
      </c>
      <c r="Y27">
        <f t="shared" si="31"/>
        <v>0</v>
      </c>
      <c r="Z27">
        <f t="shared" si="3"/>
        <v>-1.607</v>
      </c>
      <c r="AA27">
        <f t="shared" si="4"/>
        <v>0.52200000000000002</v>
      </c>
      <c r="AB27">
        <f t="shared" si="5"/>
        <v>-0.67200000000000004</v>
      </c>
      <c r="AC27">
        <f t="shared" si="6"/>
        <v>2.181</v>
      </c>
      <c r="AD27">
        <f t="shared" si="7"/>
        <v>2.407</v>
      </c>
      <c r="AE27">
        <f t="shared" si="8"/>
        <v>-1.5299999999999999E-3</v>
      </c>
      <c r="AF27">
        <f t="shared" si="9"/>
        <v>0.14360000000000001</v>
      </c>
      <c r="AG27">
        <f t="shared" si="10"/>
        <v>-1.3936178793069953</v>
      </c>
      <c r="AH27">
        <f t="shared" si="11"/>
        <v>0.76219179426673356</v>
      </c>
      <c r="AI27">
        <f t="shared" si="12"/>
        <v>0</v>
      </c>
      <c r="AJ27">
        <f t="shared" si="13"/>
        <v>1</v>
      </c>
      <c r="AK27">
        <f t="shared" si="14"/>
        <v>0</v>
      </c>
      <c r="AL27">
        <f t="shared" si="15"/>
        <v>1</v>
      </c>
      <c r="AM27">
        <f t="shared" si="16"/>
        <v>1.0339</v>
      </c>
      <c r="AN27">
        <f t="shared" si="17"/>
        <v>2.0379</v>
      </c>
      <c r="AO27">
        <f t="shared" si="18"/>
        <v>-4.7000000000000002E-3</v>
      </c>
      <c r="AP27">
        <f t="shared" si="19"/>
        <v>1.6E-2</v>
      </c>
      <c r="AQ27">
        <f t="shared" si="20"/>
        <v>-0.18890000000000001</v>
      </c>
      <c r="AR27">
        <f t="shared" si="21"/>
        <v>-4.3E-3</v>
      </c>
      <c r="AS27">
        <f t="shared" si="22"/>
        <v>0.81559999999999999</v>
      </c>
      <c r="AT27">
        <f t="shared" si="23"/>
        <v>-1.66E-2</v>
      </c>
      <c r="AU27">
        <f t="shared" si="24"/>
        <v>7.2999999999999995E-2</v>
      </c>
      <c r="AV27">
        <f t="shared" si="25"/>
        <v>0.1603</v>
      </c>
      <c r="AW27">
        <f t="shared" si="26"/>
        <v>1.0774621154165955</v>
      </c>
      <c r="AX27">
        <f t="shared" si="27"/>
        <v>1.3264924405026637</v>
      </c>
    </row>
    <row r="28" spans="1:50" x14ac:dyDescent="0.25">
      <c r="A28" s="1">
        <v>15</v>
      </c>
      <c r="B28" s="1"/>
      <c r="C28" t="s">
        <v>16</v>
      </c>
      <c r="E28">
        <v>1257</v>
      </c>
      <c r="F28">
        <v>6.5</v>
      </c>
      <c r="G28">
        <v>256000</v>
      </c>
      <c r="H28">
        <v>8</v>
      </c>
      <c r="I28">
        <v>50</v>
      </c>
      <c r="J28">
        <v>0.6</v>
      </c>
      <c r="K28">
        <v>33.5</v>
      </c>
      <c r="L28">
        <v>18</v>
      </c>
      <c r="M28">
        <v>1.2</v>
      </c>
      <c r="N28">
        <v>100</v>
      </c>
      <c r="O28">
        <v>32</v>
      </c>
      <c r="P28">
        <v>0.55000000000000004</v>
      </c>
      <c r="Q28">
        <v>0.3</v>
      </c>
      <c r="R28">
        <f t="shared" si="0"/>
        <v>193.38461538461539</v>
      </c>
      <c r="S28">
        <v>79.374537509999996</v>
      </c>
      <c r="T28">
        <f t="shared" si="1"/>
        <v>307200</v>
      </c>
      <c r="U28">
        <f t="shared" si="2"/>
        <v>2.1942062742593387</v>
      </c>
      <c r="V28">
        <f t="shared" si="28"/>
        <v>0</v>
      </c>
      <c r="W28">
        <f t="shared" si="29"/>
        <v>1</v>
      </c>
      <c r="X28">
        <f t="shared" si="30"/>
        <v>0</v>
      </c>
      <c r="Y28">
        <f t="shared" si="31"/>
        <v>1</v>
      </c>
      <c r="Z28">
        <f t="shared" si="3"/>
        <v>-0.20830000000000015</v>
      </c>
      <c r="AA28">
        <f t="shared" si="4"/>
        <v>-2.8399999999999981E-2</v>
      </c>
      <c r="AB28">
        <f t="shared" si="5"/>
        <v>7.4099999999999999E-2</v>
      </c>
      <c r="AC28">
        <f t="shared" si="6"/>
        <v>-0.16509999999999991</v>
      </c>
      <c r="AD28">
        <f t="shared" si="7"/>
        <v>-0.24168999999999996</v>
      </c>
      <c r="AE28">
        <f t="shared" si="8"/>
        <v>-1.2999999999999999E-3</v>
      </c>
      <c r="AF28">
        <f t="shared" si="9"/>
        <v>3.1E-2</v>
      </c>
      <c r="AG28">
        <f t="shared" si="10"/>
        <v>0.13055311078171764</v>
      </c>
      <c r="AH28">
        <f t="shared" si="11"/>
        <v>0.78938940389689782</v>
      </c>
      <c r="AI28">
        <f t="shared" si="12"/>
        <v>0</v>
      </c>
      <c r="AJ28">
        <f t="shared" si="13"/>
        <v>1</v>
      </c>
      <c r="AK28">
        <f t="shared" si="14"/>
        <v>1</v>
      </c>
      <c r="AL28">
        <f t="shared" si="15"/>
        <v>0</v>
      </c>
      <c r="AM28">
        <f t="shared" si="16"/>
        <v>1.6086999999999998</v>
      </c>
      <c r="AN28">
        <f t="shared" si="17"/>
        <v>2.7223999999999999</v>
      </c>
      <c r="AO28">
        <f t="shared" si="18"/>
        <v>-7.000000000000001E-4</v>
      </c>
      <c r="AP28">
        <f t="shared" si="19"/>
        <v>3.7999999999999999E-2</v>
      </c>
      <c r="AQ28">
        <f t="shared" si="20"/>
        <v>-0.55120000000000002</v>
      </c>
      <c r="AR28">
        <f t="shared" si="21"/>
        <v>-4.0000000000000001E-3</v>
      </c>
      <c r="AS28">
        <f t="shared" si="22"/>
        <v>0.5979000000000001</v>
      </c>
      <c r="AT28">
        <f t="shared" si="23"/>
        <v>-1.2E-2</v>
      </c>
      <c r="AU28">
        <f t="shared" si="24"/>
        <v>0.15149999999999997</v>
      </c>
      <c r="AV28">
        <f t="shared" si="25"/>
        <v>2.200000000000002E-2</v>
      </c>
      <c r="AW28">
        <f t="shared" si="26"/>
        <v>1.3420993622045381</v>
      </c>
      <c r="AX28">
        <f t="shared" si="27"/>
        <v>0.31024937902633587</v>
      </c>
    </row>
    <row r="29" spans="1:50" x14ac:dyDescent="0.25">
      <c r="A29" s="1">
        <v>45</v>
      </c>
      <c r="B29" s="1"/>
      <c r="C29" t="s">
        <v>16</v>
      </c>
      <c r="E29">
        <v>1257</v>
      </c>
      <c r="F29">
        <v>6.5</v>
      </c>
      <c r="G29">
        <v>279000</v>
      </c>
      <c r="H29">
        <v>8</v>
      </c>
      <c r="I29">
        <v>50</v>
      </c>
      <c r="J29">
        <v>0.7</v>
      </c>
      <c r="K29">
        <v>48</v>
      </c>
      <c r="L29">
        <v>19</v>
      </c>
      <c r="M29">
        <v>1.8</v>
      </c>
      <c r="N29">
        <v>200</v>
      </c>
      <c r="O29">
        <v>38</v>
      </c>
      <c r="P29">
        <v>0.65</v>
      </c>
      <c r="Q29">
        <v>0.6</v>
      </c>
      <c r="R29">
        <f t="shared" si="0"/>
        <v>193.38461538461539</v>
      </c>
      <c r="S29">
        <v>132.68579399999999</v>
      </c>
      <c r="T29">
        <f t="shared" si="1"/>
        <v>334800</v>
      </c>
      <c r="U29">
        <f t="shared" si="2"/>
        <v>2.391341994212326</v>
      </c>
      <c r="V29">
        <f t="shared" si="28"/>
        <v>0</v>
      </c>
      <c r="W29">
        <f t="shared" si="29"/>
        <v>1</v>
      </c>
      <c r="X29">
        <f t="shared" si="30"/>
        <v>0</v>
      </c>
      <c r="Y29">
        <f t="shared" si="31"/>
        <v>1</v>
      </c>
      <c r="Z29">
        <f t="shared" si="3"/>
        <v>-1.8283</v>
      </c>
      <c r="AA29">
        <f t="shared" si="4"/>
        <v>0.37659999999999999</v>
      </c>
      <c r="AB29">
        <f t="shared" si="5"/>
        <v>-1.5900000000000001E-2</v>
      </c>
      <c r="AC29">
        <f t="shared" si="6"/>
        <v>0.49490000000000001</v>
      </c>
      <c r="AD29">
        <f t="shared" si="7"/>
        <v>0.47831000000000001</v>
      </c>
      <c r="AE29">
        <f t="shared" si="8"/>
        <v>-1.6000000000000001E-3</v>
      </c>
      <c r="AF29">
        <f t="shared" si="9"/>
        <v>0.1</v>
      </c>
      <c r="AG29">
        <f t="shared" si="10"/>
        <v>0.49406675387188626</v>
      </c>
      <c r="AH29">
        <f t="shared" si="11"/>
        <v>1.81811590482692</v>
      </c>
      <c r="AI29">
        <f t="shared" si="12"/>
        <v>0</v>
      </c>
      <c r="AJ29">
        <f t="shared" si="13"/>
        <v>1</v>
      </c>
      <c r="AK29">
        <f t="shared" si="14"/>
        <v>1</v>
      </c>
      <c r="AL29">
        <f t="shared" si="15"/>
        <v>0</v>
      </c>
      <c r="AM29">
        <f t="shared" si="16"/>
        <v>1.3596999999999999</v>
      </c>
      <c r="AN29">
        <f t="shared" si="17"/>
        <v>1.9843999999999999</v>
      </c>
      <c r="AO29">
        <f t="shared" si="18"/>
        <v>-3.7000000000000002E-3</v>
      </c>
      <c r="AP29">
        <f t="shared" si="19"/>
        <v>5.0000000000000001E-3</v>
      </c>
      <c r="AQ29">
        <f t="shared" si="20"/>
        <v>-0.1222</v>
      </c>
      <c r="AR29">
        <f t="shared" si="21"/>
        <v>-5.1999999999999998E-3</v>
      </c>
      <c r="AS29">
        <f t="shared" si="22"/>
        <v>1.0299</v>
      </c>
      <c r="AT29">
        <f t="shared" si="23"/>
        <v>6.8999999999999999E-3</v>
      </c>
      <c r="AU29">
        <f t="shared" si="24"/>
        <v>-7.3499999999999996E-2</v>
      </c>
      <c r="AV29">
        <f t="shared" si="25"/>
        <v>0.45490000000000003</v>
      </c>
      <c r="AW29">
        <f t="shared" si="26"/>
        <v>0.36566256219999982</v>
      </c>
      <c r="AX29">
        <f t="shared" si="27"/>
        <v>0.95431684046776932</v>
      </c>
    </row>
    <row r="30" spans="1:50" x14ac:dyDescent="0.25">
      <c r="A30" s="1">
        <v>75</v>
      </c>
      <c r="B30" s="1"/>
      <c r="C30" t="s">
        <v>16</v>
      </c>
      <c r="E30">
        <v>1257</v>
      </c>
      <c r="F30">
        <v>6.5</v>
      </c>
      <c r="G30">
        <v>302000</v>
      </c>
      <c r="H30">
        <v>8</v>
      </c>
      <c r="I30">
        <v>50</v>
      </c>
      <c r="J30">
        <v>0.8</v>
      </c>
      <c r="K30">
        <v>62.2</v>
      </c>
      <c r="L30">
        <v>20</v>
      </c>
      <c r="M30">
        <v>2.4</v>
      </c>
      <c r="N30">
        <v>300</v>
      </c>
      <c r="O30">
        <v>44</v>
      </c>
      <c r="P30">
        <v>0.75</v>
      </c>
      <c r="Q30">
        <v>1</v>
      </c>
      <c r="R30">
        <f t="shared" si="0"/>
        <v>193.38461538461539</v>
      </c>
      <c r="S30">
        <v>196.50134259999999</v>
      </c>
      <c r="T30">
        <f t="shared" si="1"/>
        <v>362400</v>
      </c>
      <c r="U30">
        <f t="shared" si="2"/>
        <v>2.5884777141653137</v>
      </c>
      <c r="V30">
        <f t="shared" si="28"/>
        <v>0</v>
      </c>
      <c r="W30">
        <f t="shared" si="29"/>
        <v>1</v>
      </c>
      <c r="X30">
        <f t="shared" si="30"/>
        <v>0</v>
      </c>
      <c r="Y30">
        <f t="shared" si="31"/>
        <v>1</v>
      </c>
      <c r="Z30">
        <f t="shared" si="3"/>
        <v>-1.607</v>
      </c>
      <c r="AA30">
        <f t="shared" si="4"/>
        <v>0.52200000000000002</v>
      </c>
      <c r="AB30">
        <f t="shared" si="5"/>
        <v>-0.67200000000000004</v>
      </c>
      <c r="AC30">
        <f t="shared" si="6"/>
        <v>2.181</v>
      </c>
      <c r="AD30">
        <f t="shared" si="7"/>
        <v>2.407</v>
      </c>
      <c r="AE30">
        <f t="shared" si="8"/>
        <v>-1.5299999999999999E-3</v>
      </c>
      <c r="AF30">
        <f t="shared" si="9"/>
        <v>0.14360000000000001</v>
      </c>
      <c r="AG30">
        <f t="shared" si="10"/>
        <v>-1.2823418229689671</v>
      </c>
      <c r="AH30">
        <f t="shared" si="11"/>
        <v>1.1627381307757172</v>
      </c>
      <c r="AI30">
        <f t="shared" si="12"/>
        <v>0</v>
      </c>
      <c r="AJ30">
        <f t="shared" si="13"/>
        <v>1</v>
      </c>
      <c r="AK30">
        <f t="shared" si="14"/>
        <v>1</v>
      </c>
      <c r="AL30">
        <f t="shared" si="15"/>
        <v>0</v>
      </c>
      <c r="AM30">
        <f t="shared" si="16"/>
        <v>1.0339</v>
      </c>
      <c r="AN30">
        <f t="shared" si="17"/>
        <v>2.0379</v>
      </c>
      <c r="AO30">
        <f t="shared" si="18"/>
        <v>-4.7000000000000002E-3</v>
      </c>
      <c r="AP30">
        <f t="shared" si="19"/>
        <v>1.6E-2</v>
      </c>
      <c r="AQ30">
        <f t="shared" si="20"/>
        <v>-0.18890000000000001</v>
      </c>
      <c r="AR30">
        <f t="shared" si="21"/>
        <v>-4.3E-3</v>
      </c>
      <c r="AS30">
        <f t="shared" si="22"/>
        <v>0.81559999999999999</v>
      </c>
      <c r="AT30">
        <f t="shared" si="23"/>
        <v>-1.66E-2</v>
      </c>
      <c r="AU30">
        <f t="shared" si="24"/>
        <v>7.2999999999999995E-2</v>
      </c>
      <c r="AV30">
        <f t="shared" si="25"/>
        <v>0.1603</v>
      </c>
      <c r="AW30">
        <f t="shared" si="26"/>
        <v>9.3889843626153824E-2</v>
      </c>
      <c r="AX30">
        <f t="shared" si="27"/>
        <v>1.0197435070917136</v>
      </c>
    </row>
    <row r="31" spans="1:50" x14ac:dyDescent="0.25">
      <c r="A31" s="1">
        <v>45</v>
      </c>
      <c r="B31" s="1"/>
      <c r="C31" t="s">
        <v>16</v>
      </c>
      <c r="E31">
        <v>1723</v>
      </c>
      <c r="F31">
        <v>9.5</v>
      </c>
      <c r="G31">
        <v>241000</v>
      </c>
      <c r="H31">
        <v>8</v>
      </c>
      <c r="I31">
        <v>50</v>
      </c>
      <c r="J31">
        <v>0.6</v>
      </c>
      <c r="K31">
        <v>33.5</v>
      </c>
      <c r="L31">
        <v>18</v>
      </c>
      <c r="M31">
        <v>1.2</v>
      </c>
      <c r="N31">
        <v>100</v>
      </c>
      <c r="O31">
        <v>32</v>
      </c>
      <c r="P31">
        <v>0.55000000000000004</v>
      </c>
      <c r="Q31">
        <v>0.3</v>
      </c>
      <c r="R31">
        <f t="shared" si="0"/>
        <v>181.36842105263159</v>
      </c>
      <c r="S31">
        <v>108.8005793</v>
      </c>
      <c r="T31">
        <f t="shared" si="1"/>
        <v>289200</v>
      </c>
      <c r="U31">
        <f t="shared" si="2"/>
        <v>2.0656395003769554</v>
      </c>
      <c r="V31">
        <f t="shared" si="28"/>
        <v>0</v>
      </c>
      <c r="W31">
        <f t="shared" si="29"/>
        <v>1</v>
      </c>
      <c r="X31">
        <f t="shared" si="30"/>
        <v>0</v>
      </c>
      <c r="Y31">
        <f t="shared" si="31"/>
        <v>1</v>
      </c>
      <c r="Z31">
        <f t="shared" si="3"/>
        <v>-1.8283</v>
      </c>
      <c r="AA31">
        <f t="shared" si="4"/>
        <v>0.37659999999999999</v>
      </c>
      <c r="AB31">
        <f t="shared" si="5"/>
        <v>-1.5900000000000001E-2</v>
      </c>
      <c r="AC31">
        <f t="shared" si="6"/>
        <v>0.49490000000000001</v>
      </c>
      <c r="AD31">
        <f t="shared" si="7"/>
        <v>0.47831000000000001</v>
      </c>
      <c r="AE31">
        <f t="shared" si="8"/>
        <v>-1.6000000000000001E-3</v>
      </c>
      <c r="AF31">
        <f t="shared" si="9"/>
        <v>0.1</v>
      </c>
      <c r="AG31">
        <f t="shared" si="10"/>
        <v>0.50508779404278936</v>
      </c>
      <c r="AH31">
        <f t="shared" si="11"/>
        <v>1.3131356625990147</v>
      </c>
      <c r="AI31">
        <f t="shared" si="12"/>
        <v>0</v>
      </c>
      <c r="AJ31">
        <f t="shared" si="13"/>
        <v>1</v>
      </c>
      <c r="AK31">
        <f t="shared" si="14"/>
        <v>1</v>
      </c>
      <c r="AL31">
        <f t="shared" si="15"/>
        <v>0</v>
      </c>
      <c r="AM31">
        <f t="shared" si="16"/>
        <v>1.3596999999999999</v>
      </c>
      <c r="AN31">
        <f t="shared" si="17"/>
        <v>1.9843999999999999</v>
      </c>
      <c r="AO31">
        <f t="shared" si="18"/>
        <v>-3.7000000000000002E-3</v>
      </c>
      <c r="AP31">
        <f t="shared" si="19"/>
        <v>5.0000000000000001E-3</v>
      </c>
      <c r="AQ31">
        <f t="shared" si="20"/>
        <v>-0.1222</v>
      </c>
      <c r="AR31">
        <f t="shared" si="21"/>
        <v>-5.1999999999999998E-3</v>
      </c>
      <c r="AS31">
        <f t="shared" si="22"/>
        <v>1.0299</v>
      </c>
      <c r="AT31">
        <f t="shared" si="23"/>
        <v>6.8999999999999999E-3</v>
      </c>
      <c r="AU31">
        <f t="shared" si="24"/>
        <v>-7.3499999999999996E-2</v>
      </c>
      <c r="AV31">
        <f t="shared" si="25"/>
        <v>0.45490000000000003</v>
      </c>
      <c r="AW31">
        <f t="shared" si="26"/>
        <v>0.51652206711631565</v>
      </c>
      <c r="AX31">
        <f t="shared" si="27"/>
        <v>0.59711161502081123</v>
      </c>
    </row>
    <row r="32" spans="1:50" x14ac:dyDescent="0.25">
      <c r="A32" s="1">
        <v>15</v>
      </c>
      <c r="B32" s="1"/>
      <c r="C32" t="s">
        <v>16</v>
      </c>
      <c r="E32">
        <v>1723</v>
      </c>
      <c r="F32">
        <v>9.5</v>
      </c>
      <c r="G32">
        <v>262000</v>
      </c>
      <c r="H32">
        <v>8</v>
      </c>
      <c r="I32">
        <v>50</v>
      </c>
      <c r="J32">
        <v>0.7</v>
      </c>
      <c r="K32">
        <v>48</v>
      </c>
      <c r="L32">
        <v>19</v>
      </c>
      <c r="M32">
        <v>1.8</v>
      </c>
      <c r="N32">
        <v>200</v>
      </c>
      <c r="O32">
        <v>38</v>
      </c>
      <c r="P32">
        <v>0.65</v>
      </c>
      <c r="Q32">
        <v>0.6</v>
      </c>
      <c r="R32">
        <f t="shared" si="0"/>
        <v>181.36842105263159</v>
      </c>
      <c r="S32">
        <v>181.87559519999999</v>
      </c>
      <c r="T32">
        <f t="shared" si="1"/>
        <v>314400</v>
      </c>
      <c r="U32">
        <f t="shared" si="2"/>
        <v>2.2456329838122921</v>
      </c>
      <c r="V32">
        <f t="shared" si="28"/>
        <v>0</v>
      </c>
      <c r="W32">
        <f t="shared" si="29"/>
        <v>1</v>
      </c>
      <c r="X32">
        <f t="shared" si="30"/>
        <v>0</v>
      </c>
      <c r="Y32">
        <f t="shared" si="31"/>
        <v>1</v>
      </c>
      <c r="Z32">
        <f t="shared" si="3"/>
        <v>-0.20830000000000015</v>
      </c>
      <c r="AA32">
        <f t="shared" si="4"/>
        <v>-2.8399999999999981E-2</v>
      </c>
      <c r="AB32">
        <f t="shared" si="5"/>
        <v>7.4099999999999999E-2</v>
      </c>
      <c r="AC32">
        <f t="shared" si="6"/>
        <v>-0.16509999999999991</v>
      </c>
      <c r="AD32">
        <f t="shared" si="7"/>
        <v>-0.24168999999999996</v>
      </c>
      <c r="AE32">
        <f t="shared" si="8"/>
        <v>-1.2999999999999999E-3</v>
      </c>
      <c r="AF32">
        <f t="shared" si="9"/>
        <v>3.1E-2</v>
      </c>
      <c r="AG32">
        <f t="shared" si="10"/>
        <v>0.18191531686120951</v>
      </c>
      <c r="AH32">
        <f t="shared" si="11"/>
        <v>0.80928429543601732</v>
      </c>
      <c r="AI32">
        <f t="shared" si="12"/>
        <v>0</v>
      </c>
      <c r="AJ32">
        <f t="shared" si="13"/>
        <v>1</v>
      </c>
      <c r="AK32">
        <f t="shared" si="14"/>
        <v>1</v>
      </c>
      <c r="AL32">
        <f t="shared" si="15"/>
        <v>0</v>
      </c>
      <c r="AM32">
        <f t="shared" si="16"/>
        <v>1.6086999999999998</v>
      </c>
      <c r="AN32">
        <f t="shared" si="17"/>
        <v>2.7223999999999999</v>
      </c>
      <c r="AO32">
        <f t="shared" si="18"/>
        <v>-7.000000000000001E-4</v>
      </c>
      <c r="AP32">
        <f t="shared" si="19"/>
        <v>3.7999999999999999E-2</v>
      </c>
      <c r="AQ32">
        <f t="shared" si="20"/>
        <v>-0.55120000000000002</v>
      </c>
      <c r="AR32">
        <f t="shared" si="21"/>
        <v>-4.0000000000000001E-3</v>
      </c>
      <c r="AS32">
        <f t="shared" si="22"/>
        <v>0.5979000000000001</v>
      </c>
      <c r="AT32">
        <f t="shared" si="23"/>
        <v>-1.2E-2</v>
      </c>
      <c r="AU32">
        <f t="shared" si="24"/>
        <v>0.15149999999999997</v>
      </c>
      <c r="AV32">
        <f t="shared" si="25"/>
        <v>2.200000000000002E-2</v>
      </c>
      <c r="AW32">
        <f t="shared" si="26"/>
        <v>1.3184133991494731</v>
      </c>
      <c r="AX32">
        <f t="shared" si="27"/>
        <v>1.2142035305944607</v>
      </c>
    </row>
    <row r="33" spans="1:50" x14ac:dyDescent="0.25">
      <c r="A33" s="1">
        <v>45</v>
      </c>
      <c r="B33" s="1"/>
      <c r="C33" t="s">
        <v>16</v>
      </c>
      <c r="E33">
        <v>1723</v>
      </c>
      <c r="F33">
        <v>9.5</v>
      </c>
      <c r="G33">
        <v>284000</v>
      </c>
      <c r="H33">
        <v>8</v>
      </c>
      <c r="I33">
        <v>50</v>
      </c>
      <c r="J33">
        <v>0.8</v>
      </c>
      <c r="K33">
        <v>62.2</v>
      </c>
      <c r="L33">
        <v>20</v>
      </c>
      <c r="M33">
        <v>2.4</v>
      </c>
      <c r="N33">
        <v>300</v>
      </c>
      <c r="O33">
        <v>44</v>
      </c>
      <c r="P33">
        <v>0.75</v>
      </c>
      <c r="Q33">
        <v>1</v>
      </c>
      <c r="R33">
        <f t="shared" si="0"/>
        <v>181.36842105263159</v>
      </c>
      <c r="S33">
        <v>269.34909570000002</v>
      </c>
      <c r="T33">
        <f t="shared" si="1"/>
        <v>340800</v>
      </c>
      <c r="U33">
        <f t="shared" si="2"/>
        <v>2.4341975855064537</v>
      </c>
      <c r="V33">
        <f t="shared" si="28"/>
        <v>0</v>
      </c>
      <c r="W33">
        <f t="shared" si="29"/>
        <v>1</v>
      </c>
      <c r="X33">
        <f t="shared" si="30"/>
        <v>0</v>
      </c>
      <c r="Y33">
        <f t="shared" si="31"/>
        <v>1</v>
      </c>
      <c r="Z33">
        <f t="shared" si="3"/>
        <v>-1.8283</v>
      </c>
      <c r="AA33">
        <f t="shared" si="4"/>
        <v>0.37659999999999999</v>
      </c>
      <c r="AB33">
        <f t="shared" si="5"/>
        <v>-1.5900000000000001E-2</v>
      </c>
      <c r="AC33">
        <f t="shared" si="6"/>
        <v>0.49490000000000001</v>
      </c>
      <c r="AD33">
        <f t="shared" si="7"/>
        <v>0.47831000000000001</v>
      </c>
      <c r="AE33">
        <f t="shared" si="8"/>
        <v>-1.6000000000000001E-3</v>
      </c>
      <c r="AF33">
        <f t="shared" si="9"/>
        <v>0.1</v>
      </c>
      <c r="AG33">
        <f t="shared" si="10"/>
        <v>0.48761985865296642</v>
      </c>
      <c r="AH33">
        <f t="shared" si="11"/>
        <v>2.1245063679180709</v>
      </c>
      <c r="AI33">
        <f t="shared" si="12"/>
        <v>0</v>
      </c>
      <c r="AJ33">
        <f t="shared" si="13"/>
        <v>1</v>
      </c>
      <c r="AK33">
        <f t="shared" si="14"/>
        <v>1</v>
      </c>
      <c r="AL33">
        <f t="shared" si="15"/>
        <v>0</v>
      </c>
      <c r="AM33">
        <f t="shared" si="16"/>
        <v>1.3596999999999999</v>
      </c>
      <c r="AN33">
        <f t="shared" si="17"/>
        <v>1.9843999999999999</v>
      </c>
      <c r="AO33">
        <f t="shared" si="18"/>
        <v>-3.7000000000000002E-3</v>
      </c>
      <c r="AP33">
        <f t="shared" si="19"/>
        <v>5.0000000000000001E-3</v>
      </c>
      <c r="AQ33">
        <f t="shared" si="20"/>
        <v>-0.1222</v>
      </c>
      <c r="AR33">
        <f t="shared" si="21"/>
        <v>-5.1999999999999998E-3</v>
      </c>
      <c r="AS33">
        <f t="shared" si="22"/>
        <v>1.0299</v>
      </c>
      <c r="AT33">
        <f t="shared" si="23"/>
        <v>6.8999999999999999E-3</v>
      </c>
      <c r="AU33">
        <f t="shared" si="24"/>
        <v>-7.3499999999999996E-2</v>
      </c>
      <c r="AV33">
        <f t="shared" si="25"/>
        <v>0.45490000000000003</v>
      </c>
      <c r="AW33">
        <f t="shared" si="26"/>
        <v>-7.7507443563684442E-2</v>
      </c>
      <c r="AX33">
        <f t="shared" si="27"/>
        <v>1.4181049185595069</v>
      </c>
    </row>
    <row r="34" spans="1:50" x14ac:dyDescent="0.25">
      <c r="A34" s="1">
        <v>75</v>
      </c>
      <c r="B34" s="1"/>
      <c r="C34" t="s">
        <v>16</v>
      </c>
      <c r="E34">
        <v>168</v>
      </c>
      <c r="F34">
        <v>4.8</v>
      </c>
      <c r="G34">
        <v>304000</v>
      </c>
      <c r="H34">
        <v>35</v>
      </c>
      <c r="I34">
        <v>11</v>
      </c>
      <c r="J34">
        <v>0.6</v>
      </c>
      <c r="K34">
        <v>33.5</v>
      </c>
      <c r="L34">
        <v>18</v>
      </c>
      <c r="M34">
        <v>1.2</v>
      </c>
      <c r="N34">
        <v>100</v>
      </c>
      <c r="O34">
        <v>32</v>
      </c>
      <c r="P34">
        <v>0.55000000000000004</v>
      </c>
      <c r="Q34">
        <v>0.3</v>
      </c>
      <c r="R34">
        <f t="shared" si="0"/>
        <v>35</v>
      </c>
      <c r="S34">
        <v>10.60853007</v>
      </c>
      <c r="T34">
        <f t="shared" si="1"/>
        <v>364800</v>
      </c>
      <c r="U34">
        <f t="shared" si="2"/>
        <v>4.1352045320601591E-2</v>
      </c>
      <c r="V34">
        <f t="shared" si="28"/>
        <v>1</v>
      </c>
      <c r="W34">
        <f t="shared" si="29"/>
        <v>0</v>
      </c>
      <c r="X34">
        <f t="shared" si="30"/>
        <v>1</v>
      </c>
      <c r="Y34">
        <f t="shared" si="31"/>
        <v>0</v>
      </c>
      <c r="Z34">
        <f t="shared" si="3"/>
        <v>-1.607</v>
      </c>
      <c r="AA34">
        <f t="shared" si="4"/>
        <v>0.52200000000000002</v>
      </c>
      <c r="AB34">
        <f t="shared" si="5"/>
        <v>-0.67200000000000004</v>
      </c>
      <c r="AC34">
        <f t="shared" si="6"/>
        <v>2.181</v>
      </c>
      <c r="AD34">
        <f t="shared" si="7"/>
        <v>2.407</v>
      </c>
      <c r="AE34">
        <f t="shared" si="8"/>
        <v>-1.5299999999999999E-3</v>
      </c>
      <c r="AF34">
        <f t="shared" si="9"/>
        <v>0.14360000000000001</v>
      </c>
      <c r="AG34">
        <f t="shared" si="10"/>
        <v>-0.81422436498399797</v>
      </c>
      <c r="AH34">
        <f t="shared" si="11"/>
        <v>29.68729466719121</v>
      </c>
      <c r="AI34">
        <f t="shared" si="12"/>
        <v>0</v>
      </c>
      <c r="AJ34">
        <f t="shared" si="13"/>
        <v>1</v>
      </c>
      <c r="AK34">
        <f t="shared" si="14"/>
        <v>1</v>
      </c>
      <c r="AL34">
        <f t="shared" si="15"/>
        <v>0</v>
      </c>
      <c r="AM34">
        <f t="shared" si="16"/>
        <v>1.0339</v>
      </c>
      <c r="AN34">
        <f t="shared" si="17"/>
        <v>2.0379</v>
      </c>
      <c r="AO34">
        <f t="shared" si="18"/>
        <v>-4.7000000000000002E-3</v>
      </c>
      <c r="AP34">
        <f t="shared" si="19"/>
        <v>1.6E-2</v>
      </c>
      <c r="AQ34">
        <f t="shared" si="20"/>
        <v>-0.18890000000000001</v>
      </c>
      <c r="AR34">
        <f t="shared" si="21"/>
        <v>-4.3E-3</v>
      </c>
      <c r="AS34">
        <f t="shared" si="22"/>
        <v>0.81559999999999999</v>
      </c>
      <c r="AT34">
        <f t="shared" si="23"/>
        <v>-1.66E-2</v>
      </c>
      <c r="AU34">
        <f t="shared" si="24"/>
        <v>7.2999999999999995E-2</v>
      </c>
      <c r="AV34">
        <f t="shared" si="25"/>
        <v>0.1603</v>
      </c>
      <c r="AW34">
        <f t="shared" si="26"/>
        <v>1.648639908671</v>
      </c>
      <c r="AX34">
        <f t="shared" si="27"/>
        <v>-6.5410925491711636</v>
      </c>
    </row>
    <row r="35" spans="1:50" x14ac:dyDescent="0.25">
      <c r="A35" s="1">
        <v>15</v>
      </c>
      <c r="B35" s="1"/>
      <c r="C35" t="s">
        <v>16</v>
      </c>
      <c r="E35">
        <v>168</v>
      </c>
      <c r="F35">
        <v>4.8</v>
      </c>
      <c r="G35">
        <v>324000</v>
      </c>
      <c r="H35">
        <v>26</v>
      </c>
      <c r="I35">
        <v>10</v>
      </c>
      <c r="J35">
        <v>0.7</v>
      </c>
      <c r="K35">
        <v>48</v>
      </c>
      <c r="L35">
        <v>19</v>
      </c>
      <c r="M35">
        <v>1.8</v>
      </c>
      <c r="N35">
        <v>200</v>
      </c>
      <c r="O35">
        <v>38</v>
      </c>
      <c r="P35">
        <v>0.65</v>
      </c>
      <c r="Q35">
        <v>0.6</v>
      </c>
      <c r="R35">
        <f t="shared" si="0"/>
        <v>35</v>
      </c>
      <c r="S35">
        <v>17.733662209999999</v>
      </c>
      <c r="T35">
        <f t="shared" si="1"/>
        <v>388800</v>
      </c>
      <c r="U35">
        <f t="shared" si="2"/>
        <v>3.0394465975798687E-2</v>
      </c>
      <c r="V35">
        <f t="shared" si="28"/>
        <v>1</v>
      </c>
      <c r="W35">
        <f t="shared" si="29"/>
        <v>0</v>
      </c>
      <c r="X35">
        <f t="shared" si="30"/>
        <v>1</v>
      </c>
      <c r="Y35">
        <f t="shared" si="31"/>
        <v>0</v>
      </c>
      <c r="Z35">
        <f t="shared" si="3"/>
        <v>-0.20830000000000015</v>
      </c>
      <c r="AA35">
        <f t="shared" si="4"/>
        <v>-2.8399999999999981E-2</v>
      </c>
      <c r="AB35">
        <f t="shared" si="5"/>
        <v>7.4099999999999999E-2</v>
      </c>
      <c r="AC35">
        <f t="shared" si="6"/>
        <v>-0.16509999999999991</v>
      </c>
      <c r="AD35">
        <f t="shared" si="7"/>
        <v>-0.24168999999999996</v>
      </c>
      <c r="AE35">
        <f t="shared" si="8"/>
        <v>-1.2999999999999999E-3</v>
      </c>
      <c r="AF35">
        <f t="shared" si="9"/>
        <v>3.1E-2</v>
      </c>
      <c r="AG35">
        <f t="shared" si="10"/>
        <v>0.31200531686120958</v>
      </c>
      <c r="AH35">
        <f t="shared" si="11"/>
        <v>0.23486106731345016</v>
      </c>
      <c r="AI35">
        <f t="shared" si="12"/>
        <v>0</v>
      </c>
      <c r="AJ35">
        <f t="shared" si="13"/>
        <v>1</v>
      </c>
      <c r="AK35">
        <f t="shared" si="14"/>
        <v>0</v>
      </c>
      <c r="AL35">
        <f t="shared" si="15"/>
        <v>1</v>
      </c>
      <c r="AM35">
        <f t="shared" si="16"/>
        <v>1.6086999999999998</v>
      </c>
      <c r="AN35">
        <f t="shared" si="17"/>
        <v>2.7223999999999999</v>
      </c>
      <c r="AO35">
        <f t="shared" si="18"/>
        <v>-7.000000000000001E-4</v>
      </c>
      <c r="AP35">
        <f t="shared" si="19"/>
        <v>3.7999999999999999E-2</v>
      </c>
      <c r="AQ35">
        <f t="shared" si="20"/>
        <v>-0.55120000000000002</v>
      </c>
      <c r="AR35">
        <f t="shared" si="21"/>
        <v>-4.0000000000000001E-3</v>
      </c>
      <c r="AS35">
        <f t="shared" si="22"/>
        <v>0.5979000000000001</v>
      </c>
      <c r="AT35">
        <f t="shared" si="23"/>
        <v>-1.2E-2</v>
      </c>
      <c r="AU35">
        <f t="shared" si="24"/>
        <v>0.15149999999999997</v>
      </c>
      <c r="AV35">
        <f t="shared" si="25"/>
        <v>2.200000000000002E-2</v>
      </c>
      <c r="AW35">
        <f t="shared" si="26"/>
        <v>0.67254311599695615</v>
      </c>
      <c r="AX35">
        <f t="shared" si="27"/>
        <v>2.2395020764333298</v>
      </c>
    </row>
    <row r="36" spans="1:50" x14ac:dyDescent="0.25">
      <c r="A36" s="1">
        <v>45</v>
      </c>
      <c r="B36" s="1"/>
      <c r="C36" t="s">
        <v>16</v>
      </c>
      <c r="E36">
        <v>168</v>
      </c>
      <c r="F36">
        <v>4.8</v>
      </c>
      <c r="G36">
        <v>345000</v>
      </c>
      <c r="H36">
        <v>17</v>
      </c>
      <c r="I36">
        <v>9</v>
      </c>
      <c r="J36">
        <v>0.8</v>
      </c>
      <c r="K36">
        <v>62.2</v>
      </c>
      <c r="L36">
        <v>20</v>
      </c>
      <c r="M36">
        <v>2.4</v>
      </c>
      <c r="N36">
        <v>300</v>
      </c>
      <c r="O36">
        <v>44</v>
      </c>
      <c r="P36">
        <v>0.75</v>
      </c>
      <c r="Q36">
        <v>1</v>
      </c>
      <c r="R36">
        <f t="shared" si="0"/>
        <v>35</v>
      </c>
      <c r="S36">
        <v>26.262709269999998</v>
      </c>
      <c r="T36">
        <f t="shared" si="1"/>
        <v>414000</v>
      </c>
      <c r="U36">
        <f t="shared" si="2"/>
        <v>2.0227267058687996E-2</v>
      </c>
      <c r="V36">
        <f t="shared" si="28"/>
        <v>1</v>
      </c>
      <c r="W36">
        <f t="shared" si="29"/>
        <v>0</v>
      </c>
      <c r="X36">
        <f t="shared" si="30"/>
        <v>1</v>
      </c>
      <c r="Y36">
        <f t="shared" si="31"/>
        <v>0</v>
      </c>
      <c r="Z36">
        <f t="shared" si="3"/>
        <v>-1.8283</v>
      </c>
      <c r="AA36">
        <f t="shared" si="4"/>
        <v>0.37659999999999999</v>
      </c>
      <c r="AB36">
        <f t="shared" si="5"/>
        <v>-1.5900000000000001E-2</v>
      </c>
      <c r="AC36">
        <f t="shared" si="6"/>
        <v>0.49490000000000001</v>
      </c>
      <c r="AD36">
        <f t="shared" si="7"/>
        <v>0.47831000000000001</v>
      </c>
      <c r="AE36">
        <f t="shared" si="8"/>
        <v>-1.6000000000000001E-3</v>
      </c>
      <c r="AF36">
        <f t="shared" si="9"/>
        <v>0.1</v>
      </c>
      <c r="AG36">
        <f t="shared" si="10"/>
        <v>0.50820985865296642</v>
      </c>
      <c r="AH36">
        <f t="shared" si="11"/>
        <v>0.18963733846362155</v>
      </c>
      <c r="AI36">
        <f t="shared" si="12"/>
        <v>0</v>
      </c>
      <c r="AJ36">
        <f t="shared" si="13"/>
        <v>1</v>
      </c>
      <c r="AK36">
        <f t="shared" si="14"/>
        <v>0</v>
      </c>
      <c r="AL36">
        <f t="shared" si="15"/>
        <v>1</v>
      </c>
      <c r="AM36">
        <f t="shared" si="16"/>
        <v>1.3596999999999999</v>
      </c>
      <c r="AN36">
        <f t="shared" si="17"/>
        <v>1.9843999999999999</v>
      </c>
      <c r="AO36">
        <f t="shared" si="18"/>
        <v>-3.7000000000000002E-3</v>
      </c>
      <c r="AP36">
        <f t="shared" si="19"/>
        <v>5.0000000000000001E-3</v>
      </c>
      <c r="AQ36">
        <f t="shared" si="20"/>
        <v>-0.1222</v>
      </c>
      <c r="AR36">
        <f t="shared" si="21"/>
        <v>-5.1999999999999998E-3</v>
      </c>
      <c r="AS36">
        <f t="shared" si="22"/>
        <v>1.0299</v>
      </c>
      <c r="AT36">
        <f t="shared" si="23"/>
        <v>6.8999999999999999E-3</v>
      </c>
      <c r="AU36">
        <f t="shared" si="24"/>
        <v>-7.3499999999999996E-2</v>
      </c>
      <c r="AV36">
        <f t="shared" si="25"/>
        <v>0.45490000000000003</v>
      </c>
      <c r="AW36">
        <f t="shared" si="26"/>
        <v>-0.81803922496755332</v>
      </c>
      <c r="AX36">
        <f t="shared" si="27"/>
        <v>-4.0618961269900389E-4</v>
      </c>
    </row>
    <row r="37" spans="1:50" x14ac:dyDescent="0.25">
      <c r="A37" s="1">
        <v>75</v>
      </c>
      <c r="B37" s="1"/>
      <c r="C37" t="s">
        <v>16</v>
      </c>
      <c r="E37">
        <v>762</v>
      </c>
      <c r="F37">
        <v>9.5</v>
      </c>
      <c r="G37">
        <v>376000</v>
      </c>
      <c r="H37">
        <v>35</v>
      </c>
      <c r="I37">
        <v>6</v>
      </c>
      <c r="J37">
        <v>0.6</v>
      </c>
      <c r="K37">
        <v>33.5</v>
      </c>
      <c r="L37">
        <v>18</v>
      </c>
      <c r="M37">
        <v>1.2</v>
      </c>
      <c r="N37">
        <v>100</v>
      </c>
      <c r="O37">
        <v>32</v>
      </c>
      <c r="P37">
        <v>0.55000000000000004</v>
      </c>
      <c r="Q37">
        <v>0.3</v>
      </c>
      <c r="R37">
        <f t="shared" si="0"/>
        <v>80.21052631578948</v>
      </c>
      <c r="S37">
        <v>48.117261399999997</v>
      </c>
      <c r="T37">
        <f t="shared" si="1"/>
        <v>451200</v>
      </c>
      <c r="U37">
        <f t="shared" si="2"/>
        <v>3.5937899520000004E-2</v>
      </c>
      <c r="V37">
        <f t="shared" si="28"/>
        <v>1</v>
      </c>
      <c r="W37">
        <f t="shared" si="29"/>
        <v>0</v>
      </c>
      <c r="X37">
        <f t="shared" si="30"/>
        <v>1</v>
      </c>
      <c r="Y37">
        <f t="shared" si="31"/>
        <v>0</v>
      </c>
      <c r="Z37">
        <f t="shared" si="3"/>
        <v>-1.607</v>
      </c>
      <c r="AA37">
        <f t="shared" si="4"/>
        <v>0.52200000000000002</v>
      </c>
      <c r="AB37">
        <f t="shared" si="5"/>
        <v>-0.67200000000000004</v>
      </c>
      <c r="AC37">
        <f t="shared" si="6"/>
        <v>2.181</v>
      </c>
      <c r="AD37">
        <f t="shared" si="7"/>
        <v>2.407</v>
      </c>
      <c r="AE37">
        <f t="shared" si="8"/>
        <v>-1.5299999999999999E-3</v>
      </c>
      <c r="AF37">
        <f t="shared" si="9"/>
        <v>0.14360000000000001</v>
      </c>
      <c r="AG37">
        <f t="shared" si="10"/>
        <v>-0.88339647024715595</v>
      </c>
      <c r="AH37">
        <f t="shared" si="11"/>
        <v>41.889813094222177</v>
      </c>
      <c r="AI37">
        <f t="shared" si="12"/>
        <v>0</v>
      </c>
      <c r="AJ37">
        <f t="shared" si="13"/>
        <v>1</v>
      </c>
      <c r="AK37">
        <f t="shared" si="14"/>
        <v>1</v>
      </c>
      <c r="AL37">
        <f t="shared" si="15"/>
        <v>0</v>
      </c>
      <c r="AM37">
        <f t="shared" si="16"/>
        <v>1.0339</v>
      </c>
      <c r="AN37">
        <f t="shared" si="17"/>
        <v>2.0379</v>
      </c>
      <c r="AO37">
        <f t="shared" si="18"/>
        <v>-4.7000000000000002E-3</v>
      </c>
      <c r="AP37">
        <f t="shared" si="19"/>
        <v>1.6E-2</v>
      </c>
      <c r="AQ37">
        <f t="shared" si="20"/>
        <v>-0.18890000000000001</v>
      </c>
      <c r="AR37">
        <f t="shared" si="21"/>
        <v>-4.3E-3</v>
      </c>
      <c r="AS37">
        <f t="shared" si="22"/>
        <v>0.81559999999999999</v>
      </c>
      <c r="AT37">
        <f t="shared" si="23"/>
        <v>-1.66E-2</v>
      </c>
      <c r="AU37">
        <f t="shared" si="24"/>
        <v>7.2999999999999995E-2</v>
      </c>
      <c r="AV37">
        <f t="shared" si="25"/>
        <v>0.1603</v>
      </c>
      <c r="AW37">
        <f t="shared" si="26"/>
        <v>1.2779436082621052</v>
      </c>
      <c r="AX37">
        <f t="shared" si="27"/>
        <v>-5.277883260516921</v>
      </c>
    </row>
    <row r="38" spans="1:50" x14ac:dyDescent="0.25">
      <c r="A38" s="1">
        <v>15</v>
      </c>
      <c r="B38" s="1"/>
      <c r="C38" t="s">
        <v>16</v>
      </c>
      <c r="E38">
        <v>762</v>
      </c>
      <c r="F38">
        <v>9.5</v>
      </c>
      <c r="G38">
        <v>392000</v>
      </c>
      <c r="H38">
        <v>25</v>
      </c>
      <c r="I38">
        <v>8</v>
      </c>
      <c r="J38">
        <v>0.7</v>
      </c>
      <c r="K38">
        <v>48</v>
      </c>
      <c r="L38">
        <v>19</v>
      </c>
      <c r="M38">
        <v>1.8</v>
      </c>
      <c r="N38">
        <v>200</v>
      </c>
      <c r="O38">
        <v>38</v>
      </c>
      <c r="P38">
        <v>0.65</v>
      </c>
      <c r="Q38">
        <v>0.6</v>
      </c>
      <c r="R38">
        <f t="shared" si="0"/>
        <v>80.21052631578948</v>
      </c>
      <c r="S38">
        <v>80.434825029999999</v>
      </c>
      <c r="T38">
        <f t="shared" si="1"/>
        <v>470400</v>
      </c>
      <c r="U38">
        <f t="shared" si="2"/>
        <v>3.0444137471999991E-2</v>
      </c>
      <c r="V38">
        <f t="shared" si="28"/>
        <v>0</v>
      </c>
      <c r="W38">
        <f t="shared" si="29"/>
        <v>1</v>
      </c>
      <c r="X38">
        <f t="shared" si="30"/>
        <v>1</v>
      </c>
      <c r="Y38">
        <f t="shared" si="31"/>
        <v>0</v>
      </c>
      <c r="Z38">
        <f t="shared" si="3"/>
        <v>-0.20830000000000015</v>
      </c>
      <c r="AA38">
        <f t="shared" si="4"/>
        <v>-2.8399999999999981E-2</v>
      </c>
      <c r="AB38">
        <f t="shared" si="5"/>
        <v>7.4099999999999999E-2</v>
      </c>
      <c r="AC38">
        <f t="shared" si="6"/>
        <v>-0.16509999999999991</v>
      </c>
      <c r="AD38">
        <f t="shared" si="7"/>
        <v>-0.24168999999999996</v>
      </c>
      <c r="AE38">
        <f t="shared" si="8"/>
        <v>-1.2999999999999999E-3</v>
      </c>
      <c r="AF38">
        <f t="shared" si="9"/>
        <v>3.1E-2</v>
      </c>
      <c r="AG38">
        <f t="shared" si="10"/>
        <v>0.17664163265068319</v>
      </c>
      <c r="AH38">
        <f t="shared" si="11"/>
        <v>0.37697349901877336</v>
      </c>
      <c r="AI38">
        <f t="shared" si="12"/>
        <v>0</v>
      </c>
      <c r="AJ38">
        <f t="shared" si="13"/>
        <v>1</v>
      </c>
      <c r="AK38">
        <f t="shared" si="14"/>
        <v>0</v>
      </c>
      <c r="AL38">
        <f t="shared" si="15"/>
        <v>1</v>
      </c>
      <c r="AM38">
        <f t="shared" si="16"/>
        <v>1.6086999999999998</v>
      </c>
      <c r="AN38">
        <f t="shared" si="17"/>
        <v>2.7223999999999999</v>
      </c>
      <c r="AO38">
        <f t="shared" si="18"/>
        <v>-7.000000000000001E-4</v>
      </c>
      <c r="AP38">
        <f t="shared" si="19"/>
        <v>3.7999999999999999E-2</v>
      </c>
      <c r="AQ38">
        <f t="shared" si="20"/>
        <v>-0.55120000000000002</v>
      </c>
      <c r="AR38">
        <f t="shared" si="21"/>
        <v>-4.0000000000000001E-3</v>
      </c>
      <c r="AS38">
        <f t="shared" si="22"/>
        <v>0.5979000000000001</v>
      </c>
      <c r="AT38">
        <f t="shared" si="23"/>
        <v>-1.2E-2</v>
      </c>
      <c r="AU38">
        <f t="shared" si="24"/>
        <v>0.15149999999999997</v>
      </c>
      <c r="AV38">
        <f t="shared" si="25"/>
        <v>2.200000000000002E-2</v>
      </c>
      <c r="AW38">
        <f t="shared" si="26"/>
        <v>0.67257903967361243</v>
      </c>
      <c r="AX38">
        <f t="shared" si="27"/>
        <v>1.9212843132710566</v>
      </c>
    </row>
    <row r="39" spans="1:50" x14ac:dyDescent="0.25">
      <c r="A39" s="1">
        <v>45</v>
      </c>
      <c r="B39" s="1"/>
      <c r="C39" t="s">
        <v>16</v>
      </c>
      <c r="E39">
        <v>762</v>
      </c>
      <c r="F39">
        <v>9.5</v>
      </c>
      <c r="G39">
        <v>407000</v>
      </c>
      <c r="H39">
        <v>15</v>
      </c>
      <c r="I39">
        <v>10</v>
      </c>
      <c r="J39">
        <v>0.8</v>
      </c>
      <c r="K39">
        <v>62.2</v>
      </c>
      <c r="L39">
        <v>20</v>
      </c>
      <c r="M39">
        <v>2.4</v>
      </c>
      <c r="N39">
        <v>300</v>
      </c>
      <c r="O39">
        <v>44</v>
      </c>
      <c r="P39">
        <v>0.75</v>
      </c>
      <c r="Q39">
        <v>1</v>
      </c>
      <c r="R39">
        <f t="shared" si="0"/>
        <v>80.21052631578948</v>
      </c>
      <c r="S39">
        <v>119.1201456</v>
      </c>
      <c r="T39">
        <f t="shared" si="1"/>
        <v>488400</v>
      </c>
      <c r="U39">
        <f t="shared" si="2"/>
        <v>2.3060482286592E-2</v>
      </c>
      <c r="V39">
        <f t="shared" si="28"/>
        <v>0</v>
      </c>
      <c r="W39">
        <f t="shared" si="29"/>
        <v>1</v>
      </c>
      <c r="X39">
        <f t="shared" si="30"/>
        <v>1</v>
      </c>
      <c r="Y39">
        <f t="shared" si="31"/>
        <v>0</v>
      </c>
      <c r="Z39">
        <f t="shared" si="3"/>
        <v>-1.8283</v>
      </c>
      <c r="AA39">
        <f t="shared" si="4"/>
        <v>0.37659999999999999</v>
      </c>
      <c r="AB39">
        <f t="shared" si="5"/>
        <v>-1.5900000000000001E-2</v>
      </c>
      <c r="AC39">
        <f t="shared" si="6"/>
        <v>0.49490000000000001</v>
      </c>
      <c r="AD39">
        <f t="shared" si="7"/>
        <v>0.47831000000000001</v>
      </c>
      <c r="AE39">
        <f t="shared" si="8"/>
        <v>-1.6000000000000001E-3</v>
      </c>
      <c r="AF39">
        <f t="shared" si="9"/>
        <v>0.1</v>
      </c>
      <c r="AG39">
        <f t="shared" si="10"/>
        <v>0.41928301654770328</v>
      </c>
      <c r="AH39">
        <f t="shared" si="11"/>
        <v>0.28342736657151646</v>
      </c>
      <c r="AI39">
        <f t="shared" si="12"/>
        <v>0</v>
      </c>
      <c r="AJ39">
        <f t="shared" si="13"/>
        <v>1</v>
      </c>
      <c r="AK39">
        <f t="shared" si="14"/>
        <v>0</v>
      </c>
      <c r="AL39">
        <f t="shared" si="15"/>
        <v>1</v>
      </c>
      <c r="AM39">
        <f t="shared" si="16"/>
        <v>1.3596999999999999</v>
      </c>
      <c r="AN39">
        <f t="shared" si="17"/>
        <v>1.9843999999999999</v>
      </c>
      <c r="AO39">
        <f t="shared" si="18"/>
        <v>-3.7000000000000002E-3</v>
      </c>
      <c r="AP39">
        <f t="shared" si="19"/>
        <v>5.0000000000000001E-3</v>
      </c>
      <c r="AQ39">
        <f t="shared" si="20"/>
        <v>-0.1222</v>
      </c>
      <c r="AR39">
        <f t="shared" si="21"/>
        <v>-5.1999999999999998E-3</v>
      </c>
      <c r="AS39">
        <f t="shared" si="22"/>
        <v>1.0299</v>
      </c>
      <c r="AT39">
        <f t="shared" si="23"/>
        <v>6.8999999999999999E-3</v>
      </c>
      <c r="AU39">
        <f t="shared" si="24"/>
        <v>-7.3499999999999996E-2</v>
      </c>
      <c r="AV39">
        <f t="shared" si="25"/>
        <v>0.45490000000000003</v>
      </c>
      <c r="AW39">
        <f t="shared" si="26"/>
        <v>-0.75840689323635535</v>
      </c>
      <c r="AX39">
        <f t="shared" si="27"/>
        <v>0.40350105071857378</v>
      </c>
    </row>
    <row r="40" spans="1:50" x14ac:dyDescent="0.25">
      <c r="A40" s="1">
        <v>75</v>
      </c>
      <c r="B40" s="1"/>
      <c r="C40" t="s">
        <v>16</v>
      </c>
      <c r="E40">
        <v>610</v>
      </c>
      <c r="F40">
        <v>6.4</v>
      </c>
      <c r="G40">
        <v>434000</v>
      </c>
      <c r="H40">
        <v>23</v>
      </c>
      <c r="I40">
        <v>9</v>
      </c>
      <c r="J40">
        <v>0.6</v>
      </c>
      <c r="K40">
        <v>33.5</v>
      </c>
      <c r="L40">
        <v>18</v>
      </c>
      <c r="M40">
        <v>1.2</v>
      </c>
      <c r="N40">
        <v>100</v>
      </c>
      <c r="O40">
        <v>32</v>
      </c>
      <c r="P40">
        <v>0.55000000000000004</v>
      </c>
      <c r="Q40">
        <v>0.3</v>
      </c>
      <c r="R40">
        <f t="shared" si="0"/>
        <v>95.3125</v>
      </c>
      <c r="S40">
        <v>38.519067530000001</v>
      </c>
      <c r="T40">
        <f t="shared" si="1"/>
        <v>520800</v>
      </c>
      <c r="U40">
        <f t="shared" si="2"/>
        <v>3.3506956484198394E-2</v>
      </c>
      <c r="V40">
        <f t="shared" si="28"/>
        <v>1</v>
      </c>
      <c r="W40">
        <f t="shared" si="29"/>
        <v>0</v>
      </c>
      <c r="X40">
        <f t="shared" si="30"/>
        <v>1</v>
      </c>
      <c r="Y40">
        <f t="shared" si="31"/>
        <v>0</v>
      </c>
      <c r="Z40">
        <f t="shared" si="3"/>
        <v>-1.607</v>
      </c>
      <c r="AA40">
        <f t="shared" si="4"/>
        <v>0.52200000000000002</v>
      </c>
      <c r="AB40">
        <f t="shared" si="5"/>
        <v>-0.67200000000000004</v>
      </c>
      <c r="AC40">
        <f t="shared" si="6"/>
        <v>2.181</v>
      </c>
      <c r="AD40">
        <f t="shared" si="7"/>
        <v>2.407</v>
      </c>
      <c r="AE40">
        <f t="shared" si="8"/>
        <v>-1.5299999999999999E-3</v>
      </c>
      <c r="AF40">
        <f t="shared" si="9"/>
        <v>0.14360000000000001</v>
      </c>
      <c r="AG40">
        <f t="shared" si="10"/>
        <v>-0.90650248998399796</v>
      </c>
      <c r="AH40">
        <f t="shared" si="11"/>
        <v>48.201169889578026</v>
      </c>
      <c r="AI40">
        <f t="shared" si="12"/>
        <v>0</v>
      </c>
      <c r="AJ40">
        <f t="shared" si="13"/>
        <v>1</v>
      </c>
      <c r="AK40">
        <f t="shared" si="14"/>
        <v>1</v>
      </c>
      <c r="AL40">
        <f t="shared" si="15"/>
        <v>0</v>
      </c>
      <c r="AM40">
        <f t="shared" si="16"/>
        <v>1.0339</v>
      </c>
      <c r="AN40">
        <f t="shared" si="17"/>
        <v>2.0379</v>
      </c>
      <c r="AO40">
        <f t="shared" si="18"/>
        <v>-4.7000000000000002E-3</v>
      </c>
      <c r="AP40">
        <f t="shared" si="19"/>
        <v>1.6E-2</v>
      </c>
      <c r="AQ40">
        <f t="shared" si="20"/>
        <v>-0.18890000000000001</v>
      </c>
      <c r="AR40">
        <f t="shared" si="21"/>
        <v>-4.3E-3</v>
      </c>
      <c r="AS40">
        <f t="shared" si="22"/>
        <v>0.81559999999999999</v>
      </c>
      <c r="AT40">
        <f t="shared" si="23"/>
        <v>-1.66E-2</v>
      </c>
      <c r="AU40">
        <f t="shared" si="24"/>
        <v>7.2999999999999995E-2</v>
      </c>
      <c r="AV40">
        <f t="shared" si="25"/>
        <v>0.1603</v>
      </c>
      <c r="AW40">
        <f t="shared" si="26"/>
        <v>1.2581166326089999</v>
      </c>
      <c r="AX40">
        <f t="shared" si="27"/>
        <v>-5.3565223881467769</v>
      </c>
    </row>
    <row r="41" spans="1:50" x14ac:dyDescent="0.25">
      <c r="A41" s="1">
        <v>45</v>
      </c>
      <c r="B41" s="1"/>
      <c r="C41" t="s">
        <v>16</v>
      </c>
      <c r="E41">
        <v>610</v>
      </c>
      <c r="F41">
        <v>6.4</v>
      </c>
      <c r="G41">
        <v>462000</v>
      </c>
      <c r="H41">
        <v>17</v>
      </c>
      <c r="I41">
        <v>11</v>
      </c>
      <c r="J41">
        <v>0.7</v>
      </c>
      <c r="K41">
        <v>48</v>
      </c>
      <c r="L41">
        <v>19</v>
      </c>
      <c r="M41">
        <v>1.8</v>
      </c>
      <c r="N41">
        <v>200</v>
      </c>
      <c r="O41">
        <v>38</v>
      </c>
      <c r="P41">
        <v>0.65</v>
      </c>
      <c r="Q41">
        <v>0.6</v>
      </c>
      <c r="R41">
        <f t="shared" si="0"/>
        <v>95.3125</v>
      </c>
      <c r="S41">
        <v>64.39008303</v>
      </c>
      <c r="T41">
        <f t="shared" si="1"/>
        <v>554400</v>
      </c>
      <c r="U41">
        <f t="shared" si="2"/>
        <v>3.1949938716917758E-2</v>
      </c>
      <c r="V41">
        <f t="shared" si="28"/>
        <v>1</v>
      </c>
      <c r="W41">
        <f t="shared" si="29"/>
        <v>0</v>
      </c>
      <c r="X41">
        <f t="shared" si="30"/>
        <v>1</v>
      </c>
      <c r="Y41">
        <f t="shared" si="31"/>
        <v>0</v>
      </c>
      <c r="Z41">
        <f t="shared" si="3"/>
        <v>-1.8283</v>
      </c>
      <c r="AA41">
        <f t="shared" si="4"/>
        <v>0.37659999999999999</v>
      </c>
      <c r="AB41">
        <f t="shared" si="5"/>
        <v>-1.5900000000000001E-2</v>
      </c>
      <c r="AC41">
        <f t="shared" si="6"/>
        <v>0.49490000000000001</v>
      </c>
      <c r="AD41">
        <f t="shared" si="7"/>
        <v>0.47831000000000001</v>
      </c>
      <c r="AE41">
        <f t="shared" si="8"/>
        <v>-1.6000000000000001E-3</v>
      </c>
      <c r="AF41">
        <f t="shared" si="9"/>
        <v>0.1</v>
      </c>
      <c r="AG41">
        <f t="shared" si="10"/>
        <v>0.41815675387188622</v>
      </c>
      <c r="AH41">
        <f t="shared" si="11"/>
        <v>0.28001502631655567</v>
      </c>
      <c r="AI41">
        <f t="shared" si="12"/>
        <v>0</v>
      </c>
      <c r="AJ41">
        <f t="shared" si="13"/>
        <v>1</v>
      </c>
      <c r="AK41">
        <f t="shared" si="14"/>
        <v>0</v>
      </c>
      <c r="AL41">
        <f t="shared" si="15"/>
        <v>1</v>
      </c>
      <c r="AM41">
        <f t="shared" si="16"/>
        <v>1.3596999999999999</v>
      </c>
      <c r="AN41">
        <f t="shared" si="17"/>
        <v>1.9843999999999999</v>
      </c>
      <c r="AO41">
        <f t="shared" si="18"/>
        <v>-3.7000000000000002E-3</v>
      </c>
      <c r="AP41">
        <f t="shared" si="19"/>
        <v>5.0000000000000001E-3</v>
      </c>
      <c r="AQ41">
        <f t="shared" si="20"/>
        <v>-0.1222</v>
      </c>
      <c r="AR41">
        <f t="shared" si="21"/>
        <v>-5.1999999999999998E-3</v>
      </c>
      <c r="AS41">
        <f t="shared" si="22"/>
        <v>1.0299</v>
      </c>
      <c r="AT41">
        <f t="shared" si="23"/>
        <v>6.8999999999999999E-3</v>
      </c>
      <c r="AU41">
        <f t="shared" si="24"/>
        <v>-7.3499999999999996E-2</v>
      </c>
      <c r="AV41">
        <f t="shared" si="25"/>
        <v>0.45490000000000003</v>
      </c>
      <c r="AW41">
        <f t="shared" si="26"/>
        <v>-0.61008682389384161</v>
      </c>
      <c r="AX41">
        <f t="shared" si="27"/>
        <v>0.89476113596930018</v>
      </c>
    </row>
    <row r="42" spans="1:50" x14ac:dyDescent="0.25">
      <c r="A42" s="1">
        <v>15</v>
      </c>
      <c r="B42" s="1"/>
      <c r="C42" t="s">
        <v>16</v>
      </c>
      <c r="E42">
        <v>610</v>
      </c>
      <c r="F42">
        <v>6.4</v>
      </c>
      <c r="G42">
        <v>490000</v>
      </c>
      <c r="H42">
        <v>11</v>
      </c>
      <c r="I42">
        <v>12</v>
      </c>
      <c r="J42">
        <v>0.8</v>
      </c>
      <c r="K42">
        <v>62.2</v>
      </c>
      <c r="L42">
        <v>20</v>
      </c>
      <c r="M42">
        <v>2.4</v>
      </c>
      <c r="N42">
        <v>300</v>
      </c>
      <c r="O42">
        <v>44</v>
      </c>
      <c r="P42">
        <v>0.75</v>
      </c>
      <c r="Q42">
        <v>1</v>
      </c>
      <c r="R42">
        <f t="shared" si="0"/>
        <v>95.3125</v>
      </c>
      <c r="S42">
        <v>95.358646769999993</v>
      </c>
      <c r="T42">
        <f t="shared" si="1"/>
        <v>588000</v>
      </c>
      <c r="U42">
        <f t="shared" si="2"/>
        <v>2.5120514499738383E-2</v>
      </c>
      <c r="V42">
        <f t="shared" si="28"/>
        <v>0</v>
      </c>
      <c r="W42">
        <f t="shared" si="29"/>
        <v>1</v>
      </c>
      <c r="X42">
        <f t="shared" si="30"/>
        <v>1</v>
      </c>
      <c r="Y42">
        <f t="shared" si="31"/>
        <v>0</v>
      </c>
      <c r="Z42">
        <f t="shared" si="3"/>
        <v>-0.20830000000000015</v>
      </c>
      <c r="AA42">
        <f t="shared" si="4"/>
        <v>-2.8399999999999981E-2</v>
      </c>
      <c r="AB42">
        <f t="shared" si="5"/>
        <v>7.4099999999999999E-2</v>
      </c>
      <c r="AC42">
        <f t="shared" si="6"/>
        <v>-0.16509999999999991</v>
      </c>
      <c r="AD42">
        <f t="shared" si="7"/>
        <v>-0.24168999999999996</v>
      </c>
      <c r="AE42">
        <f t="shared" si="8"/>
        <v>-1.2999999999999999E-3</v>
      </c>
      <c r="AF42">
        <f t="shared" si="9"/>
        <v>3.1E-2</v>
      </c>
      <c r="AG42">
        <f t="shared" si="10"/>
        <v>0.18705403137202453</v>
      </c>
      <c r="AH42">
        <f t="shared" si="11"/>
        <v>0.34666109321184352</v>
      </c>
      <c r="AI42">
        <f t="shared" si="12"/>
        <v>0</v>
      </c>
      <c r="AJ42">
        <f t="shared" si="13"/>
        <v>1</v>
      </c>
      <c r="AK42">
        <f t="shared" si="14"/>
        <v>0</v>
      </c>
      <c r="AL42">
        <f t="shared" si="15"/>
        <v>1</v>
      </c>
      <c r="AM42">
        <f t="shared" si="16"/>
        <v>1.6086999999999998</v>
      </c>
      <c r="AN42">
        <f t="shared" si="17"/>
        <v>2.7223999999999999</v>
      </c>
      <c r="AO42">
        <f t="shared" si="18"/>
        <v>-7.000000000000001E-4</v>
      </c>
      <c r="AP42">
        <f t="shared" si="19"/>
        <v>3.7999999999999999E-2</v>
      </c>
      <c r="AQ42">
        <f t="shared" si="20"/>
        <v>-0.55120000000000002</v>
      </c>
      <c r="AR42">
        <f t="shared" si="21"/>
        <v>-4.0000000000000001E-3</v>
      </c>
      <c r="AS42">
        <f t="shared" si="22"/>
        <v>0.5979000000000001</v>
      </c>
      <c r="AT42">
        <f t="shared" si="23"/>
        <v>-1.2E-2</v>
      </c>
      <c r="AU42">
        <f t="shared" si="24"/>
        <v>0.15149999999999997</v>
      </c>
      <c r="AV42">
        <f t="shared" si="25"/>
        <v>2.200000000000002E-2</v>
      </c>
      <c r="AW42">
        <f t="shared" si="26"/>
        <v>0.66835044996988313</v>
      </c>
      <c r="AX42">
        <f t="shared" si="27"/>
        <v>2.316755581529014</v>
      </c>
    </row>
    <row r="43" spans="1:50" x14ac:dyDescent="0.25">
      <c r="A43" s="1">
        <v>45</v>
      </c>
      <c r="B43" s="1"/>
      <c r="C43" t="s">
        <v>16</v>
      </c>
      <c r="E43">
        <v>406</v>
      </c>
      <c r="F43">
        <v>9.5</v>
      </c>
      <c r="G43">
        <v>376000</v>
      </c>
      <c r="H43">
        <v>35</v>
      </c>
      <c r="I43">
        <v>6</v>
      </c>
      <c r="J43">
        <v>0.6</v>
      </c>
      <c r="K43">
        <v>33.5</v>
      </c>
      <c r="L43">
        <v>18</v>
      </c>
      <c r="M43">
        <v>1.2</v>
      </c>
      <c r="N43">
        <v>100</v>
      </c>
      <c r="O43">
        <v>32</v>
      </c>
      <c r="P43">
        <v>0.55000000000000004</v>
      </c>
      <c r="Q43">
        <v>0.3</v>
      </c>
      <c r="R43">
        <f t="shared" si="0"/>
        <v>42.736842105263158</v>
      </c>
      <c r="S43">
        <v>25.637281009999999</v>
      </c>
      <c r="T43">
        <f t="shared" si="1"/>
        <v>451200</v>
      </c>
      <c r="U43">
        <f t="shared" si="2"/>
        <v>3.5937899520000004E-2</v>
      </c>
      <c r="V43">
        <f t="shared" si="28"/>
        <v>1</v>
      </c>
      <c r="W43">
        <f t="shared" si="29"/>
        <v>0</v>
      </c>
      <c r="X43">
        <f t="shared" si="30"/>
        <v>1</v>
      </c>
      <c r="Y43">
        <f t="shared" si="31"/>
        <v>0</v>
      </c>
      <c r="Z43">
        <f t="shared" si="3"/>
        <v>-1.8283</v>
      </c>
      <c r="AA43">
        <f t="shared" si="4"/>
        <v>0.37659999999999999</v>
      </c>
      <c r="AB43">
        <f t="shared" si="5"/>
        <v>-1.5900000000000001E-2</v>
      </c>
      <c r="AC43">
        <f t="shared" si="6"/>
        <v>0.49490000000000001</v>
      </c>
      <c r="AD43">
        <f t="shared" si="7"/>
        <v>0.47831000000000001</v>
      </c>
      <c r="AE43">
        <f t="shared" si="8"/>
        <v>-1.6000000000000001E-3</v>
      </c>
      <c r="AF43">
        <f t="shared" si="9"/>
        <v>0.1</v>
      </c>
      <c r="AG43">
        <f t="shared" si="10"/>
        <v>0.51329884667436831</v>
      </c>
      <c r="AH43">
        <f t="shared" si="11"/>
        <v>0.1650996910149769</v>
      </c>
      <c r="AI43">
        <f t="shared" si="12"/>
        <v>0</v>
      </c>
      <c r="AJ43">
        <f t="shared" si="13"/>
        <v>1</v>
      </c>
      <c r="AK43">
        <f t="shared" si="14"/>
        <v>0</v>
      </c>
      <c r="AL43">
        <f t="shared" si="15"/>
        <v>1</v>
      </c>
      <c r="AM43">
        <f t="shared" si="16"/>
        <v>1.3596999999999999</v>
      </c>
      <c r="AN43">
        <f t="shared" si="17"/>
        <v>1.9843999999999999</v>
      </c>
      <c r="AO43">
        <f t="shared" si="18"/>
        <v>-3.7000000000000002E-3</v>
      </c>
      <c r="AP43">
        <f t="shared" si="19"/>
        <v>5.0000000000000001E-3</v>
      </c>
      <c r="AQ43">
        <f t="shared" si="20"/>
        <v>-0.1222</v>
      </c>
      <c r="AR43">
        <f t="shared" si="21"/>
        <v>-5.1999999999999998E-3</v>
      </c>
      <c r="AS43">
        <f t="shared" si="22"/>
        <v>1.0299</v>
      </c>
      <c r="AT43">
        <f t="shared" si="23"/>
        <v>6.8999999999999999E-3</v>
      </c>
      <c r="AU43">
        <f t="shared" si="24"/>
        <v>-7.3499999999999996E-2</v>
      </c>
      <c r="AV43">
        <f t="shared" si="25"/>
        <v>0.45490000000000003</v>
      </c>
      <c r="AW43">
        <f t="shared" si="26"/>
        <v>-0.55658049746634541</v>
      </c>
      <c r="AX43">
        <f t="shared" si="27"/>
        <v>1.0272917624092726</v>
      </c>
    </row>
    <row r="44" spans="1:50" x14ac:dyDescent="0.25">
      <c r="A44" s="1">
        <v>75</v>
      </c>
      <c r="B44" s="1"/>
      <c r="C44" t="s">
        <v>16</v>
      </c>
      <c r="E44">
        <v>406</v>
      </c>
      <c r="F44">
        <v>9.5</v>
      </c>
      <c r="G44">
        <v>392000</v>
      </c>
      <c r="H44">
        <v>25</v>
      </c>
      <c r="I44">
        <v>8</v>
      </c>
      <c r="J44">
        <v>0.7</v>
      </c>
      <c r="K44">
        <v>48</v>
      </c>
      <c r="L44">
        <v>19</v>
      </c>
      <c r="M44">
        <v>1.8</v>
      </c>
      <c r="N44">
        <v>200</v>
      </c>
      <c r="O44">
        <v>38</v>
      </c>
      <c r="P44">
        <v>0.65</v>
      </c>
      <c r="Q44">
        <v>0.6</v>
      </c>
      <c r="R44">
        <f t="shared" si="0"/>
        <v>42.736842105263158</v>
      </c>
      <c r="S44">
        <v>42.856350339999999</v>
      </c>
      <c r="T44">
        <f t="shared" si="1"/>
        <v>470400</v>
      </c>
      <c r="U44">
        <f t="shared" si="2"/>
        <v>3.0444137471999991E-2</v>
      </c>
      <c r="V44">
        <f t="shared" si="28"/>
        <v>1</v>
      </c>
      <c r="W44">
        <f t="shared" si="29"/>
        <v>0</v>
      </c>
      <c r="X44">
        <f t="shared" si="30"/>
        <v>1</v>
      </c>
      <c r="Y44">
        <f t="shared" si="31"/>
        <v>0</v>
      </c>
      <c r="Z44">
        <f t="shared" si="3"/>
        <v>-1.607</v>
      </c>
      <c r="AA44">
        <f t="shared" si="4"/>
        <v>0.52200000000000002</v>
      </c>
      <c r="AB44">
        <f t="shared" si="5"/>
        <v>-0.67200000000000004</v>
      </c>
      <c r="AC44">
        <f t="shared" si="6"/>
        <v>2.181</v>
      </c>
      <c r="AD44">
        <f t="shared" si="7"/>
        <v>2.407</v>
      </c>
      <c r="AE44">
        <f t="shared" si="8"/>
        <v>-1.5299999999999999E-3</v>
      </c>
      <c r="AF44">
        <f t="shared" si="9"/>
        <v>0.14360000000000001</v>
      </c>
      <c r="AG44">
        <f t="shared" si="10"/>
        <v>-1.2918566387413333</v>
      </c>
      <c r="AH44">
        <f t="shared" si="11"/>
        <v>289.94943795187169</v>
      </c>
      <c r="AI44">
        <f t="shared" si="12"/>
        <v>0</v>
      </c>
      <c r="AJ44">
        <f t="shared" si="13"/>
        <v>1</v>
      </c>
      <c r="AK44">
        <f t="shared" si="14"/>
        <v>1</v>
      </c>
      <c r="AL44">
        <f t="shared" si="15"/>
        <v>0</v>
      </c>
      <c r="AM44">
        <f t="shared" si="16"/>
        <v>1.0339</v>
      </c>
      <c r="AN44">
        <f t="shared" si="17"/>
        <v>2.0379</v>
      </c>
      <c r="AO44">
        <f t="shared" si="18"/>
        <v>-4.7000000000000002E-3</v>
      </c>
      <c r="AP44">
        <f t="shared" si="19"/>
        <v>1.6E-2</v>
      </c>
      <c r="AQ44">
        <f t="shared" si="20"/>
        <v>-0.18890000000000001</v>
      </c>
      <c r="AR44">
        <f t="shared" si="21"/>
        <v>-4.3E-3</v>
      </c>
      <c r="AS44">
        <f t="shared" si="22"/>
        <v>0.81559999999999999</v>
      </c>
      <c r="AT44">
        <f t="shared" si="23"/>
        <v>-1.66E-2</v>
      </c>
      <c r="AU44">
        <f t="shared" si="24"/>
        <v>7.2999999999999995E-2</v>
      </c>
      <c r="AV44">
        <f t="shared" si="25"/>
        <v>0.1603</v>
      </c>
      <c r="AW44">
        <f t="shared" si="26"/>
        <v>1.4638067323493684</v>
      </c>
      <c r="AX44">
        <f t="shared" si="27"/>
        <v>-8.0132046140814239</v>
      </c>
    </row>
    <row r="45" spans="1:50" x14ac:dyDescent="0.25">
      <c r="A45" s="1">
        <v>45</v>
      </c>
      <c r="B45" s="1"/>
      <c r="C45" t="s">
        <v>16</v>
      </c>
      <c r="E45">
        <v>406</v>
      </c>
      <c r="F45">
        <v>9.5</v>
      </c>
      <c r="G45">
        <v>407000</v>
      </c>
      <c r="H45">
        <v>15</v>
      </c>
      <c r="I45">
        <v>10</v>
      </c>
      <c r="J45">
        <v>0.8</v>
      </c>
      <c r="K45">
        <v>62.2</v>
      </c>
      <c r="L45">
        <v>20</v>
      </c>
      <c r="M45">
        <v>2.4</v>
      </c>
      <c r="N45">
        <v>300</v>
      </c>
      <c r="O45">
        <v>44</v>
      </c>
      <c r="P45">
        <v>0.75</v>
      </c>
      <c r="Q45">
        <v>1</v>
      </c>
      <c r="R45">
        <f t="shared" si="0"/>
        <v>42.736842105263158</v>
      </c>
      <c r="S45">
        <v>63.468214080000003</v>
      </c>
      <c r="T45">
        <f t="shared" si="1"/>
        <v>488400</v>
      </c>
      <c r="U45">
        <f t="shared" si="2"/>
        <v>2.3060482286592E-2</v>
      </c>
      <c r="V45">
        <f t="shared" si="28"/>
        <v>1</v>
      </c>
      <c r="W45">
        <f t="shared" si="29"/>
        <v>0</v>
      </c>
      <c r="X45">
        <f t="shared" si="30"/>
        <v>1</v>
      </c>
      <c r="Y45">
        <f t="shared" si="31"/>
        <v>0</v>
      </c>
      <c r="Z45">
        <f t="shared" si="3"/>
        <v>-1.8283</v>
      </c>
      <c r="AA45">
        <f t="shared" si="4"/>
        <v>0.37659999999999999</v>
      </c>
      <c r="AB45">
        <f t="shared" si="5"/>
        <v>-1.5900000000000001E-2</v>
      </c>
      <c r="AC45">
        <f t="shared" si="6"/>
        <v>0.49490000000000001</v>
      </c>
      <c r="AD45">
        <f t="shared" si="7"/>
        <v>0.47831000000000001</v>
      </c>
      <c r="AE45">
        <f t="shared" si="8"/>
        <v>-1.6000000000000001E-3</v>
      </c>
      <c r="AF45">
        <f t="shared" si="9"/>
        <v>0.1</v>
      </c>
      <c r="AG45">
        <f t="shared" si="10"/>
        <v>0.49583091128454537</v>
      </c>
      <c r="AH45">
        <f t="shared" si="11"/>
        <v>0.21238449254452968</v>
      </c>
      <c r="AI45">
        <f t="shared" si="12"/>
        <v>0</v>
      </c>
      <c r="AJ45">
        <f t="shared" si="13"/>
        <v>1</v>
      </c>
      <c r="AK45">
        <f t="shared" si="14"/>
        <v>0</v>
      </c>
      <c r="AL45">
        <f t="shared" si="15"/>
        <v>1</v>
      </c>
      <c r="AM45">
        <f t="shared" si="16"/>
        <v>1.3596999999999999</v>
      </c>
      <c r="AN45">
        <f t="shared" si="17"/>
        <v>1.9843999999999999</v>
      </c>
      <c r="AO45">
        <f t="shared" si="18"/>
        <v>-3.7000000000000002E-3</v>
      </c>
      <c r="AP45">
        <f t="shared" si="19"/>
        <v>5.0000000000000001E-3</v>
      </c>
      <c r="AQ45">
        <f t="shared" si="20"/>
        <v>-0.1222</v>
      </c>
      <c r="AR45">
        <f t="shared" si="21"/>
        <v>-5.1999999999999998E-3</v>
      </c>
      <c r="AS45">
        <f t="shared" si="22"/>
        <v>1.0299</v>
      </c>
      <c r="AT45">
        <f t="shared" si="23"/>
        <v>6.8999999999999999E-3</v>
      </c>
      <c r="AU45">
        <f t="shared" si="24"/>
        <v>-7.3499999999999996E-2</v>
      </c>
      <c r="AV45">
        <f t="shared" si="25"/>
        <v>0.45490000000000003</v>
      </c>
      <c r="AW45">
        <f t="shared" si="26"/>
        <v>-0.75840689323635535</v>
      </c>
      <c r="AX45">
        <f t="shared" si="27"/>
        <v>0.18465696891758054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C599-BA16-48E5-8857-D822CA103486}">
  <dimension ref="A1:BL46"/>
  <sheetViews>
    <sheetView topLeftCell="X1" zoomScale="130" zoomScaleNormal="130" workbookViewId="0">
      <selection activeCell="BA1" sqref="BA1"/>
    </sheetView>
  </sheetViews>
  <sheetFormatPr defaultRowHeight="15" x14ac:dyDescent="0.25"/>
  <cols>
    <col min="1" max="1" width="10.7109375" customWidth="1"/>
    <col min="2" max="5" width="12.85546875" customWidth="1"/>
    <col min="6" max="6" width="12" customWidth="1"/>
    <col min="7" max="7" width="8.5703125" bestFit="1" customWidth="1"/>
    <col min="8" max="8" width="11.42578125" bestFit="1" customWidth="1"/>
    <col min="9" max="10" width="12" customWidth="1"/>
    <col min="11" max="11" width="7.42578125" bestFit="1" customWidth="1"/>
    <col min="12" max="12" width="12" customWidth="1"/>
    <col min="13" max="13" width="20.85546875" bestFit="1" customWidth="1"/>
    <col min="14" max="14" width="15" bestFit="1" customWidth="1"/>
    <col min="15" max="15" width="11.28515625" bestFit="1" customWidth="1"/>
    <col min="16" max="16" width="11.42578125" bestFit="1" customWidth="1"/>
    <col min="17" max="17" width="13.42578125" bestFit="1" customWidth="1"/>
    <col min="18" max="18" width="8.85546875" bestFit="1" customWidth="1"/>
    <col min="19" max="23" width="12" bestFit="1" customWidth="1"/>
    <col min="55" max="55" width="23.28515625" bestFit="1" customWidth="1"/>
    <col min="56" max="57" width="26.5703125" bestFit="1" customWidth="1"/>
    <col min="58" max="58" width="20.7109375" customWidth="1"/>
    <col min="59" max="59" width="17.28515625" customWidth="1"/>
    <col min="60" max="62" width="20.7109375" customWidth="1"/>
  </cols>
  <sheetData>
    <row r="1" spans="1:64" ht="18" x14ac:dyDescent="0.25">
      <c r="A1" s="1" t="s">
        <v>109</v>
      </c>
      <c r="B1" s="1" t="s">
        <v>110</v>
      </c>
      <c r="C1" s="1"/>
      <c r="D1" s="1" t="s">
        <v>111</v>
      </c>
      <c r="E1" s="1"/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3" t="s">
        <v>73</v>
      </c>
      <c r="L1" s="10" t="s">
        <v>117</v>
      </c>
      <c r="M1" s="10" t="s">
        <v>118</v>
      </c>
      <c r="N1" s="13" t="s">
        <v>151</v>
      </c>
      <c r="O1" s="13" t="s">
        <v>152</v>
      </c>
      <c r="P1" s="10" t="s">
        <v>153</v>
      </c>
      <c r="Q1" s="13" t="s">
        <v>154</v>
      </c>
      <c r="R1" s="10" t="s">
        <v>119</v>
      </c>
      <c r="S1" s="10" t="s">
        <v>120</v>
      </c>
      <c r="T1" s="10" t="s">
        <v>155</v>
      </c>
      <c r="U1" s="10" t="s">
        <v>156</v>
      </c>
      <c r="V1" s="10" t="s">
        <v>157</v>
      </c>
      <c r="W1" s="10" t="s">
        <v>158</v>
      </c>
      <c r="X1" s="10" t="s">
        <v>159</v>
      </c>
      <c r="Y1" s="10" t="s">
        <v>121</v>
      </c>
      <c r="Z1" s="10" t="s">
        <v>160</v>
      </c>
      <c r="AA1" s="10" t="s">
        <v>161</v>
      </c>
      <c r="AB1" s="10" t="s">
        <v>162</v>
      </c>
      <c r="AC1" s="10" t="s">
        <v>163</v>
      </c>
      <c r="AD1" s="10" t="s">
        <v>164</v>
      </c>
      <c r="AE1" s="10" t="s">
        <v>165</v>
      </c>
      <c r="AF1" s="10" t="s">
        <v>166</v>
      </c>
      <c r="AG1" s="10" t="s">
        <v>167</v>
      </c>
      <c r="AH1" s="10" t="s">
        <v>168</v>
      </c>
      <c r="AI1" s="10" t="s">
        <v>169</v>
      </c>
      <c r="AJ1" s="10" t="s">
        <v>170</v>
      </c>
      <c r="AK1" s="10" t="s">
        <v>171</v>
      </c>
      <c r="AL1" s="10" t="s">
        <v>172</v>
      </c>
      <c r="AM1" s="10" t="s">
        <v>173</v>
      </c>
      <c r="AN1" s="10" t="s">
        <v>174</v>
      </c>
      <c r="AO1" s="10" t="s">
        <v>175</v>
      </c>
      <c r="AP1" s="10" t="s">
        <v>176</v>
      </c>
      <c r="AQ1" s="10" t="s">
        <v>177</v>
      </c>
      <c r="AR1" s="10" t="s">
        <v>178</v>
      </c>
      <c r="AS1" s="10" t="s">
        <v>179</v>
      </c>
      <c r="AT1" s="10" t="s">
        <v>180</v>
      </c>
      <c r="AU1" s="10" t="s">
        <v>181</v>
      </c>
      <c r="AV1" s="10" t="s">
        <v>182</v>
      </c>
      <c r="AW1" s="10" t="s">
        <v>183</v>
      </c>
      <c r="AX1" s="10" t="s">
        <v>184</v>
      </c>
      <c r="AY1" s="10" t="s">
        <v>185</v>
      </c>
      <c r="AZ1" s="10" t="s">
        <v>186</v>
      </c>
      <c r="BA1" s="10" t="s">
        <v>130</v>
      </c>
      <c r="BB1" s="10" t="s">
        <v>131</v>
      </c>
      <c r="BC1" s="10" t="s">
        <v>132</v>
      </c>
      <c r="BD1" s="10" t="s">
        <v>187</v>
      </c>
      <c r="BE1" s="10" t="s">
        <v>188</v>
      </c>
      <c r="BF1" s="10" t="s">
        <v>189</v>
      </c>
      <c r="BG1" s="10" t="s">
        <v>190</v>
      </c>
      <c r="BH1" s="10" t="s">
        <v>191</v>
      </c>
      <c r="BI1" s="10" t="s">
        <v>192</v>
      </c>
      <c r="BJ1" s="10" t="s">
        <v>193</v>
      </c>
    </row>
    <row r="2" spans="1:64" x14ac:dyDescent="0.25">
      <c r="A2" t="s">
        <v>61</v>
      </c>
      <c r="B2" t="s">
        <v>311</v>
      </c>
      <c r="C2" t="s">
        <v>1</v>
      </c>
      <c r="D2" t="s">
        <v>312</v>
      </c>
      <c r="E2" t="s">
        <v>2</v>
      </c>
      <c r="F2" t="s">
        <v>146</v>
      </c>
      <c r="G2" t="s">
        <v>147</v>
      </c>
      <c r="H2" t="s">
        <v>35</v>
      </c>
      <c r="I2" t="s">
        <v>37</v>
      </c>
      <c r="J2" t="s">
        <v>148</v>
      </c>
      <c r="K2" t="s">
        <v>52</v>
      </c>
      <c r="L2" t="s">
        <v>0</v>
      </c>
      <c r="M2" t="s">
        <v>108</v>
      </c>
      <c r="N2" t="s">
        <v>106</v>
      </c>
      <c r="O2" t="s">
        <v>107</v>
      </c>
      <c r="P2" t="s">
        <v>105</v>
      </c>
      <c r="Q2" t="s">
        <v>104</v>
      </c>
      <c r="R2" t="s">
        <v>310</v>
      </c>
      <c r="S2" t="s">
        <v>149</v>
      </c>
      <c r="T2" t="s">
        <v>13</v>
      </c>
      <c r="U2" t="s">
        <v>304</v>
      </c>
      <c r="V2" t="s">
        <v>150</v>
      </c>
      <c r="W2" t="s">
        <v>303</v>
      </c>
      <c r="X2" t="s">
        <v>302</v>
      </c>
      <c r="Y2" t="s">
        <v>194</v>
      </c>
      <c r="Z2" t="s">
        <v>307</v>
      </c>
      <c r="AA2" t="s">
        <v>32</v>
      </c>
      <c r="AB2" t="s">
        <v>25</v>
      </c>
      <c r="AC2" t="s">
        <v>26</v>
      </c>
      <c r="AD2" t="s">
        <v>122</v>
      </c>
      <c r="AE2" t="s">
        <v>123</v>
      </c>
      <c r="AF2" t="s">
        <v>124</v>
      </c>
      <c r="AG2" t="s">
        <v>125</v>
      </c>
      <c r="AH2" t="s">
        <v>293</v>
      </c>
      <c r="AI2" t="s">
        <v>38</v>
      </c>
      <c r="AJ2" t="s">
        <v>126</v>
      </c>
      <c r="AK2" t="s">
        <v>127</v>
      </c>
      <c r="AL2" t="s">
        <v>128</v>
      </c>
      <c r="AM2" t="s">
        <v>129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294</v>
      </c>
      <c r="AX2" t="s">
        <v>295</v>
      </c>
      <c r="AY2" t="s">
        <v>308</v>
      </c>
      <c r="AZ2" t="s">
        <v>39</v>
      </c>
      <c r="BA2" t="s">
        <v>309</v>
      </c>
      <c r="BB2" t="s">
        <v>296</v>
      </c>
      <c r="BC2" t="s">
        <v>297</v>
      </c>
      <c r="BD2" t="s">
        <v>298</v>
      </c>
      <c r="BE2" t="s">
        <v>299</v>
      </c>
      <c r="BF2" t="s">
        <v>300</v>
      </c>
      <c r="BG2" t="s">
        <v>301</v>
      </c>
      <c r="BH2" t="s">
        <v>305</v>
      </c>
      <c r="BI2" t="s">
        <v>306</v>
      </c>
      <c r="BJ2" t="s">
        <v>14</v>
      </c>
      <c r="BK2" t="s">
        <v>313</v>
      </c>
      <c r="BL2" t="s">
        <v>314</v>
      </c>
    </row>
    <row r="3" spans="1:64" x14ac:dyDescent="0.25">
      <c r="A3" s="1">
        <v>1</v>
      </c>
      <c r="B3">
        <v>1.0668</v>
      </c>
      <c r="C3">
        <f>B3*1000</f>
        <v>1066.8</v>
      </c>
      <c r="D3">
        <v>9.5250000000000005E-3</v>
      </c>
      <c r="E3">
        <f>D3*1000</f>
        <v>9.5250000000000004</v>
      </c>
      <c r="F3" s="4">
        <f>C3/E3</f>
        <v>111.99999999999999</v>
      </c>
      <c r="G3" s="1">
        <v>30</v>
      </c>
      <c r="H3" s="10" t="s">
        <v>139</v>
      </c>
      <c r="I3" s="4">
        <f>100*IF(H3='Estimation Model Normal-Slip'!$J$8,'Estimation Model Normal-Slip'!$O$8,IF(H3='Estimation Model Normal-Slip'!$J$9,'Estimation Model Normal-Slip'!$O$9,IF(H3='Estimation Model Normal-Slip'!$J$10,'Estimation Model Normal-Slip'!$O$10,IF(H3='Estimation Model Normal-Slip'!$J$11,'Estimation Model Normal-Slip'!$O$11,IF(H3='Estimation Model Normal-Slip'!$J$12,'Estimation Model Normal-Slip'!$O$12,IF(H3='Estimation Model Normal-Slip'!$J$13,'Estimation Model Normal-Slip'!$O$13,2))))))</f>
        <v>1.9041242414694344</v>
      </c>
      <c r="J3" s="1">
        <f t="shared" ref="J3:J22" si="0">LN(I3)</f>
        <v>0.6440221871128996</v>
      </c>
      <c r="K3" s="1">
        <v>45</v>
      </c>
      <c r="L3" s="1" t="s">
        <v>16</v>
      </c>
      <c r="M3" t="s">
        <v>287</v>
      </c>
      <c r="N3">
        <f>IF(M3="medium dense",18,IF(M3="dense",18.5,IF(M3="very dense",19,IF(M3="soft",17.5,IF(M3="medium stiff",18,IF(M3="stiff",18.5,0))))))</f>
        <v>17.5</v>
      </c>
      <c r="O3" s="1">
        <f>IF(M3="medium dense",37,IF(M3="dense",40,IF(M3="very dense",43,0)))</f>
        <v>0</v>
      </c>
      <c r="P3">
        <f>IF(M3="soft",37.5,IF(M3="medium stiff",75,IF(M3="stiff",125,0)))</f>
        <v>37.5</v>
      </c>
      <c r="Q3">
        <f>IF(M3="soft",1.1,IF(M3="medium stiff",0.72,IF(M3="stiff",0.4,0)))</f>
        <v>1.1000000000000001</v>
      </c>
      <c r="R3" s="1">
        <v>0.78739999999999999</v>
      </c>
      <c r="S3" s="1">
        <f>MIN(11.5,MAX(1.8,R3/B3))</f>
        <v>1.8</v>
      </c>
      <c r="T3">
        <f>IF(L3="sand", PI() * B3 * R3*N3* 0.5 * (1 + (1 - SIN(RADIANS(O3)))) * TAN(RADIANS(0.9*O3)), PI() * B3 * Q3 * P3)</f>
        <v>138.24735551754566</v>
      </c>
      <c r="U3">
        <f>IF(M3="medium dense",'Coefficient Normal'!$E$18 + ('Coefficient Normal'!$E$19*S3) + ('Coefficient Normal'!$E$20*(S3^2)) + ('Coefficient Normal'!$E$21*(S3^3)) + ('Coefficient Normal'!$E$22*(S3^4)),IF(M3="dense",'Coefficient Normal'!$F$18 + ('Coefficient Normal'!$F$19*S3) + ('Coefficient Normal'!$F$20*(S3^2)) + ('Coefficient Normal'!$F$21*(S3^3)) + ('Coefficient Normal'!$F$22*(S3^4)),IF(M3="very dense",'Coefficient Normal'!$G$18 + ('Coefficient Normal'!$G$19*S3) + ('Coefficient Normal'!$G$20*(S3^2)) + ('Coefficient Normal'!$G$21*(S3^3)) + ('Coefficient Normal'!$G$22*(S3^4)),0)))</f>
        <v>0</v>
      </c>
      <c r="V3">
        <f>IF(L3="sand",MIN(80,EXP(0.18*O3-2.5)),0)</f>
        <v>0</v>
      </c>
      <c r="W3">
        <f>IF(L3="sand",U3*N3*R3*B3 + 0.5*N3*(B3^2)*V3,5.14*P3*B3)</f>
        <v>205.62569999999999</v>
      </c>
      <c r="X3">
        <f>LN(W3)</f>
        <v>5.3260575257691611</v>
      </c>
      <c r="Y3">
        <f t="shared" ref="Y3:Y22" si="1">LN(F3)</f>
        <v>4.7184988712950942</v>
      </c>
      <c r="Z3">
        <f t="shared" ref="Z3:Z23" si="2">LN(T3)</f>
        <v>4.9290445119558122</v>
      </c>
      <c r="AA3" s="38">
        <f>VLOOKUP(K3,'Coefficient Normal'!$A$3:$H$7,2,TRUE)</f>
        <v>3.7532999999999999</v>
      </c>
      <c r="AB3" s="38">
        <f>VLOOKUP(K3,'Coefficient Normal'!$A$3:$H$7,3,TRUE)</f>
        <v>0.14510000000000001</v>
      </c>
      <c r="AC3" s="38">
        <f>VLOOKUP(K3,'Coefficient Normal'!$A$3:$H$7,4,TRUE)</f>
        <v>1.2497</v>
      </c>
      <c r="AD3" s="38">
        <f>VLOOKUP(K3,'Coefficient Normal'!$A$3:$H$7,5,TRUE)</f>
        <v>-0.46100000000000002</v>
      </c>
      <c r="AE3" s="38">
        <f>VLOOKUP(K3,'Coefficient Normal'!$A$3:$H$7,6,TRUE)</f>
        <v>0.39140000000000003</v>
      </c>
      <c r="AF3" s="38">
        <f>VLOOKUP(K3,'Coefficient Normal'!$A$3:$H$7,7,TRUE)</f>
        <v>-0.21310000000000001</v>
      </c>
      <c r="AG3" s="38">
        <f>VLOOKUP(K3,'Coefficient Normal'!$A$3:$H$7,8,TRUE)</f>
        <v>-0.34139999999999998</v>
      </c>
      <c r="AH3" s="38">
        <f>AA3+AB3*LN(G3) + AC3*LN(B3) + AD3*Y3 + AE3*J3 + AF3*X3 + AG3*Z3</f>
        <v>-0.41329261807183904</v>
      </c>
      <c r="AI3" s="38">
        <f>VLOOKUP(K3,'Coefficient Normal'!$A$10:$P$14,2,TRUE)</f>
        <v>-1.1082000000000001</v>
      </c>
      <c r="AJ3" s="38">
        <f>VLOOKUP(K3,'Coefficient Normal'!$A$10:$P$14,3,TRUE)</f>
        <v>0.10630000000000001</v>
      </c>
      <c r="AK3" s="38">
        <f>VLOOKUP(K3,'Coefficient Normal'!$A$10:$P$14,4,TRUE)</f>
        <v>-0.1439</v>
      </c>
      <c r="AL3" s="38">
        <f>VLOOKUP(K3,'Coefficient Normal'!$A$10:$P$14,5,TRUE)</f>
        <v>0.27879999999999999</v>
      </c>
      <c r="AM3" s="38">
        <f>VLOOKUP(K3,'Coefficient Normal'!$A$10:$P$14,6,TRUE)</f>
        <v>-0.31030000000000002</v>
      </c>
      <c r="AN3" s="38">
        <f>VLOOKUP(K3,'Coefficient Normal'!$A$10:$P$14,7,TRUE)</f>
        <v>1.2553000000000001</v>
      </c>
      <c r="AO3" s="38">
        <f>VLOOKUP(K3,'Coefficient Normal'!$A$10:$P$14,8,TRUE)</f>
        <v>2.9999999999999997E-4</v>
      </c>
      <c r="AP3" s="38">
        <f>VLOOKUP(K3,'Coefficient Normal'!$A$10:$P$14,9,TRUE)</f>
        <v>5.1999999999999998E-3</v>
      </c>
      <c r="AQ3" s="38">
        <f>VLOOKUP(K3,'Coefficient Normal'!$A$10:$P$14,10,TRUE)</f>
        <v>-8.5900000000000004E-2</v>
      </c>
      <c r="AR3" s="38">
        <f>VLOOKUP(K3,'Coefficient Normal'!$A$10:$P$14,11,TRUE)</f>
        <v>5.9999999999999995E-4</v>
      </c>
      <c r="AS3" s="38">
        <f>VLOOKUP(K3,'Coefficient Normal'!$A$10:$P$14,12,TRUE)</f>
        <v>-0.21759999999999999</v>
      </c>
      <c r="AT3" s="38">
        <f>VLOOKUP(K3,'Coefficient Normal'!$A$10:$P$14,13,TRUE)</f>
        <v>-2.69E-2</v>
      </c>
      <c r="AU3" s="38">
        <f>VLOOKUP(K3,'Coefficient Normal'!$A$10:$P$14,14,TRUE)</f>
        <v>0.57389999999999997</v>
      </c>
      <c r="AV3" s="38">
        <f>VLOOKUP(K3,'Coefficient Normal'!$A$10:$P$14,15,TRUE)</f>
        <v>0.34460000000000002</v>
      </c>
      <c r="AW3" s="5">
        <f>IF(BB3&lt;AH3,1,0)</f>
        <v>0</v>
      </c>
      <c r="AX3" s="5">
        <f t="shared" ref="AX3:AX22" si="3">IF(G3&lt;100,1,0)</f>
        <v>1</v>
      </c>
      <c r="AY3" s="5">
        <f>IF(L3="sand",1,0)</f>
        <v>0</v>
      </c>
      <c r="AZ3" s="38">
        <f>AW3 * (AN3+AO3*T3 + AP3*AX3*(G3-100) + AQ3*(1-AX3) + AR3*F3) + (1-AW3) * (AS3 + AT3*AX3*(G3-100) + AU3*(1-AX3) + AV3*J3)</f>
        <v>1.8873300456791051</v>
      </c>
      <c r="BA3" s="1">
        <v>2.2496671510000001</v>
      </c>
      <c r="BB3">
        <f>LN(BA3)</f>
        <v>0.8107822723842909</v>
      </c>
      <c r="BC3" s="38">
        <f>BB3-AH3</f>
        <v>1.22407489045613</v>
      </c>
      <c r="BD3" s="38">
        <f>AZ3*BC3</f>
        <v>2.3102333189192135</v>
      </c>
      <c r="BE3" s="38">
        <f>AJ3*Y3</f>
        <v>0.50157643001866858</v>
      </c>
      <c r="BF3" s="38">
        <f>AK3*AY3*Z3</f>
        <v>0</v>
      </c>
      <c r="BG3" s="38">
        <f>AL3*X3</f>
        <v>1.4849048381844421</v>
      </c>
      <c r="BH3" s="38">
        <f>AM3* LN(B3)</f>
        <v>-2.0065088184971575E-2</v>
      </c>
      <c r="BI3" s="38">
        <f>AI3+BD3+BE3+BF3+BG3+BH3</f>
        <v>3.1684494989373526</v>
      </c>
      <c r="BJ3" s="3">
        <f>EXP(BI3)</f>
        <v>23.770599429084033</v>
      </c>
      <c r="BK3">
        <f>VLOOKUP(K3,'Coefficient Normal'!$A$10:$P$14,16,TRUE)</f>
        <v>0.3997</v>
      </c>
      <c r="BL3">
        <v>0.25</v>
      </c>
    </row>
    <row r="4" spans="1:64" x14ac:dyDescent="0.25">
      <c r="A4" s="1">
        <v>2</v>
      </c>
      <c r="B4">
        <v>0.60960000000000003</v>
      </c>
      <c r="C4">
        <f t="shared" ref="C4:E22" si="4">B4*1000</f>
        <v>609.6</v>
      </c>
      <c r="D4">
        <v>9.5250000000000005E-3</v>
      </c>
      <c r="E4">
        <f t="shared" si="4"/>
        <v>9.5250000000000004</v>
      </c>
      <c r="F4" s="4">
        <f t="shared" ref="F4:F22" si="5">C4/E4</f>
        <v>64</v>
      </c>
      <c r="G4" s="1">
        <v>50</v>
      </c>
      <c r="H4" s="10" t="s">
        <v>140</v>
      </c>
      <c r="I4" s="4">
        <f>100*IF(H4='Estimation Model Normal-Slip'!$J$8,'Estimation Model Normal-Slip'!$O$8,IF(H4='Estimation Model Normal-Slip'!$J$9,'Estimation Model Normal-Slip'!$O$9,IF(H4='Estimation Model Normal-Slip'!$J$10,'Estimation Model Normal-Slip'!$O$10,IF(H4='Estimation Model Normal-Slip'!$J$11,'Estimation Model Normal-Slip'!$O$11,IF(H4='Estimation Model Normal-Slip'!$J$12,'Estimation Model Normal-Slip'!$O$12,IF(H4='Estimation Model Normal-Slip'!$J$13,'Estimation Model Normal-Slip'!$O$13,2))))))</f>
        <v>2.4313344008036557</v>
      </c>
      <c r="J4" s="1">
        <f t="shared" si="0"/>
        <v>0.88844024276557709</v>
      </c>
      <c r="K4" s="1">
        <v>60</v>
      </c>
      <c r="L4" s="1" t="s">
        <v>16</v>
      </c>
      <c r="M4" t="s">
        <v>291</v>
      </c>
      <c r="N4">
        <f t="shared" ref="N4:N22" si="6">IF(M4="medium dense",18,IF(M4="dense",18.5,IF(M4="very dense",19,IF(M4="soft",17.5,IF(M4="medium stiff",18,IF(M4="stiff",18.5,0))))))</f>
        <v>18</v>
      </c>
      <c r="O4" s="1">
        <f t="shared" ref="O4:O22" si="7">IF(M4="medium dense",37,IF(M4="dense",40,IF(M4="very dense",43,0)))</f>
        <v>0</v>
      </c>
      <c r="P4">
        <f t="shared" ref="P4:P22" si="8">IF(M4="soft",37.5,IF(M4="medium stiff",75,IF(M4="stiff",125,0)))</f>
        <v>75</v>
      </c>
      <c r="Q4">
        <f t="shared" ref="Q4:Q22" si="9">IF(M4="soft",1.1,IF(M4="medium stiff",0.72,IF(M4="stiff",0.4,0)))</f>
        <v>0.72</v>
      </c>
      <c r="R4" s="1">
        <v>1</v>
      </c>
      <c r="S4" s="1">
        <f t="shared" ref="S4:S22" si="10">MIN(11.5,MAX(1.8,R4/B4))</f>
        <v>1.8</v>
      </c>
      <c r="T4">
        <f t="shared" ref="T4:T22" si="11">IF(L4="sand", PI() * B4 * R4*N4* 0.5 * (1 + (1 - SIN(RADIANS(O4)))) * TAN(RADIANS(0.9*O4)), PI() * B4 * Q4 * P4)</f>
        <v>103.41620360793024</v>
      </c>
      <c r="U4">
        <f>IF(M4="medium dense",'Coefficient Normal'!$E$18 + ('Coefficient Normal'!$E$19*S4) + ('Coefficient Normal'!$E$20*(S4^2)) + ('Coefficient Normal'!$E$21*(S4^3)) + ('Coefficient Normal'!$E$22*(S4^4)),IF(M4="dense",'Coefficient Normal'!$F$18 + ('Coefficient Normal'!$F$19*S4) + ('Coefficient Normal'!$F$20*(S4^2)) + ('Coefficient Normal'!$F$21*(S4^3)) + ('Coefficient Normal'!$F$22*(S4^4)),IF(M4="very dense",'Coefficient Normal'!$G$18 + ('Coefficient Normal'!$G$19*S4) + ('Coefficient Normal'!$G$20*(S4^2)) + ('Coefficient Normal'!$G$21*(S4^3)) + ('Coefficient Normal'!$G$22*(S4^4)),0)))</f>
        <v>0</v>
      </c>
      <c r="V4">
        <f t="shared" ref="V4:V22" si="12">IF(L4="sand",MIN(80,EXP(0.18*O4-2.5)),0)</f>
        <v>0</v>
      </c>
      <c r="W4">
        <f t="shared" ref="W4:W22" si="13">IF(L4="sand",U4*N4*R4*B4 + 0.5*N4*(B4^2)*V4,5.14*P4*B4)</f>
        <v>235.0008</v>
      </c>
      <c r="X4">
        <f t="shared" ref="X4:X22" si="14">LN(W4)</f>
        <v>5.4595889183936839</v>
      </c>
      <c r="Y4">
        <f t="shared" si="1"/>
        <v>4.1588830833596715</v>
      </c>
      <c r="Z4">
        <f t="shared" si="2"/>
        <v>4.6387616578039736</v>
      </c>
      <c r="AA4" s="38">
        <f>VLOOKUP(K4,'Coefficient Normal'!$A$3:$H$7,2,TRUE)</f>
        <v>4.3182999999999998</v>
      </c>
      <c r="AB4" s="38">
        <f>VLOOKUP(K4,'Coefficient Normal'!$A$3:$H$7,3,TRUE)</f>
        <v>-2.7900000000000001E-2</v>
      </c>
      <c r="AC4" s="38">
        <f>VLOOKUP(K4,'Coefficient Normal'!$A$3:$H$7,4,TRUE)</f>
        <v>1.0497000000000001</v>
      </c>
      <c r="AD4" s="38">
        <f>VLOOKUP(K4,'Coefficient Normal'!$A$3:$H$7,5,TRUE)</f>
        <v>-0.46910000000000002</v>
      </c>
      <c r="AE4" s="38">
        <f>VLOOKUP(K4,'Coefficient Normal'!$A$3:$H$7,6,TRUE)</f>
        <v>0.29149999999999998</v>
      </c>
      <c r="AF4" s="38">
        <f>VLOOKUP(K4,'Coefficient Normal'!$A$3:$H$7,7,TRUE)</f>
        <v>-0.28610000000000002</v>
      </c>
      <c r="AG4" s="38">
        <f>VLOOKUP(K4,'Coefficient Normal'!$A$3:$H$7,8,TRUE)</f>
        <v>-0.1348</v>
      </c>
      <c r="AH4" s="38">
        <f t="shared" ref="AH4:AH22" si="15">AA4+AB4*LN(G4) + AC4*LN(B4) + AD4*Y4 + AE4*J4 + AF4*X4 + AG4*Z4</f>
        <v>-0.18964202917151285</v>
      </c>
      <c r="AI4" s="38">
        <f>VLOOKUP(K4,'Coefficient Normal'!$A$10:$P$14,2,TRUE)</f>
        <v>-2.1276999999999999</v>
      </c>
      <c r="AJ4" s="38">
        <f>VLOOKUP(K4,'Coefficient Normal'!$A$10:$P$14,3,TRUE)</f>
        <v>0.14760000000000001</v>
      </c>
      <c r="AK4" s="38">
        <f>VLOOKUP(K4,'Coefficient Normal'!$A$10:$P$14,4,TRUE)</f>
        <v>-0.21829999999999999</v>
      </c>
      <c r="AL4" s="38">
        <f>VLOOKUP(K4,'Coefficient Normal'!$A$10:$P$14,5,TRUE)</f>
        <v>0.42270000000000002</v>
      </c>
      <c r="AM4" s="38">
        <f>VLOOKUP(K4,'Coefficient Normal'!$A$10:$P$14,6,TRUE)</f>
        <v>-0.53720000000000001</v>
      </c>
      <c r="AN4" s="38">
        <f>VLOOKUP(K4,'Coefficient Normal'!$A$10:$P$14,7,TRUE)</f>
        <v>1.252</v>
      </c>
      <c r="AO4" s="38">
        <f>VLOOKUP(K4,'Coefficient Normal'!$A$10:$P$14,8,TRUE)</f>
        <v>-5.9999999999999995E-4</v>
      </c>
      <c r="AP4" s="38">
        <f>VLOOKUP(K4,'Coefficient Normal'!$A$10:$P$14,9,TRUE)</f>
        <v>5.3E-3</v>
      </c>
      <c r="AQ4" s="38">
        <f>VLOOKUP(K4,'Coefficient Normal'!$A$10:$P$14,10,TRUE)</f>
        <v>-4.8500000000000001E-2</v>
      </c>
      <c r="AR4" s="38">
        <f>VLOOKUP(K4,'Coefficient Normal'!$A$10:$P$14,11,TRUE)</f>
        <v>1.2999999999999999E-3</v>
      </c>
      <c r="AS4" s="38">
        <f>VLOOKUP(K4,'Coefficient Normal'!$A$10:$P$14,12,TRUE)</f>
        <v>-0.56599999999999995</v>
      </c>
      <c r="AT4" s="38">
        <f>VLOOKUP(K4,'Coefficient Normal'!$A$10:$P$14,13,TRUE)</f>
        <v>-3.2099999999999997E-2</v>
      </c>
      <c r="AU4" s="38">
        <f>VLOOKUP(K4,'Coefficient Normal'!$A$10:$P$14,14,TRUE)</f>
        <v>0.84970000000000001</v>
      </c>
      <c r="AV4" s="38">
        <f>VLOOKUP(K4,'Coefficient Normal'!$A$10:$P$14,15,TRUE)</f>
        <v>9.01E-2</v>
      </c>
      <c r="AW4" s="5">
        <f t="shared" ref="AW4:AW22" si="16">IF(BB4&lt;AH4,1,0)</f>
        <v>0</v>
      </c>
      <c r="AX4" s="5">
        <f t="shared" si="3"/>
        <v>1</v>
      </c>
      <c r="AY4" s="5">
        <f t="shared" ref="AY4:AY22" si="17">IF(L4="sand",1,0)</f>
        <v>0</v>
      </c>
      <c r="AZ4" s="38">
        <f t="shared" ref="AZ4:AZ22" si="18">AW4 * (AN4+AO4*T4 + AP4*AX4*(G4-100) + AQ4*(1-AX4) + AR4*F4) + (1-AW4) * (AS4 + AT4*AX4*(G4-100) + AU4*(1-AX4) + AV4*J4)</f>
        <v>1.1190484658731783</v>
      </c>
      <c r="BA4" s="1">
        <v>2.3997944580000001</v>
      </c>
      <c r="BB4">
        <f t="shared" ref="BB4:BB22" si="19">LN(BA4)</f>
        <v>0.8753830911863717</v>
      </c>
      <c r="BC4" s="38">
        <f t="shared" ref="BC4:BC22" si="20">BB4-AH4</f>
        <v>1.0650251203578844</v>
      </c>
      <c r="BD4" s="38">
        <f t="shared" ref="BD4:BD22" si="21">AZ4*BC4</f>
        <v>1.1918147270528876</v>
      </c>
      <c r="BE4" s="38">
        <f t="shared" ref="BE4:BE22" si="22">AJ4*Y4</f>
        <v>0.61385114310388755</v>
      </c>
      <c r="BF4" s="38">
        <f t="shared" ref="BF4:BF22" si="23">AK4*AY4*Z4</f>
        <v>0</v>
      </c>
      <c r="BG4" s="38">
        <f t="shared" ref="BG4:BG22" si="24">AL4*X4</f>
        <v>2.3077682358050104</v>
      </c>
      <c r="BH4" s="38">
        <f t="shared" ref="BH4:BH22" si="25">AM4* LN(B4)</f>
        <v>0.26588836192033111</v>
      </c>
      <c r="BI4" s="38">
        <f t="shared" ref="BI4:BI22" si="26">AI4+BD4+BE4+BF4+BG4+BH4</f>
        <v>2.2516224678821168</v>
      </c>
      <c r="BJ4" s="3">
        <f t="shared" ref="BJ4:BJ22" si="27">EXP(BI4)</f>
        <v>9.5031418775509646</v>
      </c>
      <c r="BK4">
        <f>VLOOKUP(K4,'Coefficient Normal'!$A$10:$P$14,16,TRUE)</f>
        <v>0.50170000000000003</v>
      </c>
      <c r="BL4">
        <v>0.25</v>
      </c>
    </row>
    <row r="5" spans="1:64" x14ac:dyDescent="0.25">
      <c r="A5" s="1">
        <v>3</v>
      </c>
      <c r="B5">
        <v>0.40960000000000002</v>
      </c>
      <c r="C5">
        <f t="shared" si="4"/>
        <v>409.6</v>
      </c>
      <c r="D5">
        <v>9.5250000000000005E-3</v>
      </c>
      <c r="E5">
        <f t="shared" si="4"/>
        <v>9.5250000000000004</v>
      </c>
      <c r="F5" s="4">
        <f t="shared" si="5"/>
        <v>43.00262467191601</v>
      </c>
      <c r="G5" s="1">
        <v>100</v>
      </c>
      <c r="H5" s="10" t="s">
        <v>141</v>
      </c>
      <c r="I5" s="4">
        <f>100*IF(H5='Estimation Model Normal-Slip'!$J$8,'Estimation Model Normal-Slip'!$O$8,IF(H5='Estimation Model Normal-Slip'!$J$9,'Estimation Model Normal-Slip'!$O$9,IF(H5='Estimation Model Normal-Slip'!$J$10,'Estimation Model Normal-Slip'!$O$10,IF(H5='Estimation Model Normal-Slip'!$J$11,'Estimation Model Normal-Slip'!$O$11,IF(H5='Estimation Model Normal-Slip'!$J$12,'Estimation Model Normal-Slip'!$O$12,IF(H5='Estimation Model Normal-Slip'!$J$13,'Estimation Model Normal-Slip'!$O$13,2))))))</f>
        <v>2.7690517990613435</v>
      </c>
      <c r="J5" s="1">
        <f t="shared" si="0"/>
        <v>1.0185049507893496</v>
      </c>
      <c r="K5" s="1">
        <v>75</v>
      </c>
      <c r="L5" s="1" t="s">
        <v>16</v>
      </c>
      <c r="M5" t="s">
        <v>288</v>
      </c>
      <c r="N5">
        <f t="shared" si="6"/>
        <v>18.5</v>
      </c>
      <c r="O5" s="1">
        <f t="shared" si="7"/>
        <v>0</v>
      </c>
      <c r="P5">
        <f t="shared" si="8"/>
        <v>125</v>
      </c>
      <c r="Q5">
        <f t="shared" si="9"/>
        <v>0.4</v>
      </c>
      <c r="R5" s="1">
        <v>1.2</v>
      </c>
      <c r="S5" s="1">
        <f t="shared" si="10"/>
        <v>2.9296874999999996</v>
      </c>
      <c r="T5">
        <f t="shared" si="11"/>
        <v>64.339817545518969</v>
      </c>
      <c r="U5">
        <f>IF(M5="medium dense",'Coefficient Normal'!$E$18 + ('Coefficient Normal'!$E$19*S5) + ('Coefficient Normal'!$E$20*(S5^2)) + ('Coefficient Normal'!$E$21*(S5^3)) + ('Coefficient Normal'!$E$22*(S5^4)),IF(M5="dense",'Coefficient Normal'!$F$18 + ('Coefficient Normal'!$F$19*S5) + ('Coefficient Normal'!$F$20*(S5^2)) + ('Coefficient Normal'!$F$21*(S5^3)) + ('Coefficient Normal'!$F$22*(S5^4)),IF(M5="very dense",'Coefficient Normal'!$G$18 + ('Coefficient Normal'!$G$19*S5) + ('Coefficient Normal'!$G$20*(S5^2)) + ('Coefficient Normal'!$G$21*(S5^3)) + ('Coefficient Normal'!$G$22*(S5^4)),0)))</f>
        <v>0</v>
      </c>
      <c r="V5">
        <f t="shared" si="12"/>
        <v>0</v>
      </c>
      <c r="W5">
        <f t="shared" si="13"/>
        <v>263.16800000000001</v>
      </c>
      <c r="X5">
        <f t="shared" si="14"/>
        <v>5.5727926115125355</v>
      </c>
      <c r="Y5">
        <f t="shared" si="1"/>
        <v>3.7612611527125335</v>
      </c>
      <c r="Z5">
        <f t="shared" si="2"/>
        <v>4.1641786860207075</v>
      </c>
      <c r="AA5" s="38">
        <f>VLOOKUP(K5,'Coefficient Normal'!$A$3:$H$7,2,TRUE)</f>
        <v>5.5951000000000004</v>
      </c>
      <c r="AB5" s="38">
        <f>VLOOKUP(K5,'Coefficient Normal'!$A$3:$H$7,3,TRUE)</f>
        <v>1.6E-2</v>
      </c>
      <c r="AC5" s="38">
        <f>VLOOKUP(K5,'Coefficient Normal'!$A$3:$H$7,4,TRUE)</f>
        <v>1.2641</v>
      </c>
      <c r="AD5" s="38">
        <f>VLOOKUP(K5,'Coefficient Normal'!$A$3:$H$7,5,TRUE)</f>
        <v>-0.52429999999999999</v>
      </c>
      <c r="AE5" s="38">
        <f>VLOOKUP(K5,'Coefficient Normal'!$A$3:$H$7,6,TRUE)</f>
        <v>0.35830000000000001</v>
      </c>
      <c r="AF5" s="38">
        <f>VLOOKUP(K5,'Coefficient Normal'!$A$3:$H$7,7,TRUE)</f>
        <v>-0.35920000000000002</v>
      </c>
      <c r="AG5" s="38">
        <f>VLOOKUP(K5,'Coefficient Normal'!$A$3:$H$7,8,TRUE)</f>
        <v>-0.2482</v>
      </c>
      <c r="AH5" s="38">
        <f t="shared" si="15"/>
        <v>-0.10191548431435926</v>
      </c>
      <c r="AI5" s="38">
        <f>VLOOKUP(K5,'Coefficient Normal'!$A$10:$P$14,2,TRUE)</f>
        <v>-2.3450000000000002</v>
      </c>
      <c r="AJ5" s="38">
        <f>VLOOKUP(K5,'Coefficient Normal'!$A$10:$P$14,3,TRUE)</f>
        <v>0.19470000000000001</v>
      </c>
      <c r="AK5" s="38">
        <f>VLOOKUP(K5,'Coefficient Normal'!$A$10:$P$14,4,TRUE)</f>
        <v>-0.2044</v>
      </c>
      <c r="AL5" s="38">
        <f>VLOOKUP(K5,'Coefficient Normal'!$A$10:$P$14,5,TRUE)</f>
        <v>0.4143</v>
      </c>
      <c r="AM5" s="38">
        <f>VLOOKUP(K5,'Coefficient Normal'!$A$10:$P$14,6,TRUE)</f>
        <v>-0.55710000000000004</v>
      </c>
      <c r="AN5" s="38">
        <f>VLOOKUP(K5,'Coefficient Normal'!$A$10:$P$14,7,TRUE)</f>
        <v>1.0931</v>
      </c>
      <c r="AO5" s="38">
        <f>VLOOKUP(K5,'Coefficient Normal'!$A$10:$P$14,8,TRUE)</f>
        <v>1E-4</v>
      </c>
      <c r="AP5" s="38">
        <f>VLOOKUP(K5,'Coefficient Normal'!$A$10:$P$14,9,TRUE)</f>
        <v>3.5000000000000001E-3</v>
      </c>
      <c r="AQ5" s="38">
        <f>VLOOKUP(K5,'Coefficient Normal'!$A$10:$P$14,10,TRUE)</f>
        <v>-4.07E-2</v>
      </c>
      <c r="AR5" s="38">
        <f>VLOOKUP(K5,'Coefficient Normal'!$A$10:$P$14,11,TRUE)</f>
        <v>1.6000000000000001E-3</v>
      </c>
      <c r="AS5" s="38">
        <f>VLOOKUP(K5,'Coefficient Normal'!$A$10:$P$14,12,TRUE)</f>
        <v>-0.65949999999999998</v>
      </c>
      <c r="AT5" s="38">
        <f>VLOOKUP(K5,'Coefficient Normal'!$A$10:$P$14,13,TRUE)</f>
        <v>-3.0099999999999998E-2</v>
      </c>
      <c r="AU5" s="38">
        <f>VLOOKUP(K5,'Coefficient Normal'!$A$10:$P$14,14,TRUE)</f>
        <v>0.84219999999999995</v>
      </c>
      <c r="AV5" s="38">
        <f>VLOOKUP(K5,'Coefficient Normal'!$A$10:$P$14,15,TRUE)</f>
        <v>0.50680000000000003</v>
      </c>
      <c r="AW5" s="5">
        <f t="shared" si="16"/>
        <v>0</v>
      </c>
      <c r="AX5" s="5">
        <f t="shared" si="3"/>
        <v>0</v>
      </c>
      <c r="AY5" s="5">
        <f t="shared" si="17"/>
        <v>0</v>
      </c>
      <c r="AZ5" s="38">
        <f t="shared" si="18"/>
        <v>0.69887830906004234</v>
      </c>
      <c r="BA5" s="1">
        <v>2.5498958799999998</v>
      </c>
      <c r="BB5">
        <f t="shared" si="19"/>
        <v>0.93605252696416252</v>
      </c>
      <c r="BC5" s="38">
        <f t="shared" si="20"/>
        <v>1.0379680112785219</v>
      </c>
      <c r="BD5" s="38">
        <f t="shared" si="21"/>
        <v>0.72541332858074836</v>
      </c>
      <c r="BE5" s="38">
        <f t="shared" si="22"/>
        <v>0.7323175464331303</v>
      </c>
      <c r="BF5" s="38">
        <f t="shared" si="23"/>
        <v>0</v>
      </c>
      <c r="BG5" s="38">
        <f t="shared" si="24"/>
        <v>2.3088079789496434</v>
      </c>
      <c r="BH5" s="38">
        <f t="shared" si="25"/>
        <v>0.49725308974858501</v>
      </c>
      <c r="BI5" s="38">
        <f t="shared" si="26"/>
        <v>1.918791943712107</v>
      </c>
      <c r="BJ5" s="3">
        <f t="shared" si="27"/>
        <v>6.8127233427721814</v>
      </c>
      <c r="BK5">
        <f>VLOOKUP(K5,'Coefficient Normal'!$A$10:$P$14,16,TRUE)</f>
        <v>0.43780000000000002</v>
      </c>
      <c r="BL5">
        <v>0.25</v>
      </c>
    </row>
    <row r="6" spans="1:64" x14ac:dyDescent="0.25">
      <c r="A6" s="1">
        <v>4</v>
      </c>
      <c r="B6">
        <v>0.89600000000000002</v>
      </c>
      <c r="C6">
        <f t="shared" si="4"/>
        <v>896</v>
      </c>
      <c r="D6">
        <v>9.5250000000000005E-3</v>
      </c>
      <c r="E6">
        <f t="shared" si="4"/>
        <v>9.5250000000000004</v>
      </c>
      <c r="F6" s="4">
        <f t="shared" si="5"/>
        <v>94.068241469816272</v>
      </c>
      <c r="G6" s="1">
        <v>300</v>
      </c>
      <c r="H6" s="10" t="s">
        <v>139</v>
      </c>
      <c r="I6" s="4">
        <f>100*IF(H6='Estimation Model Normal-Slip'!$J$8,'Estimation Model Normal-Slip'!$O$8,IF(H6='Estimation Model Normal-Slip'!$J$9,'Estimation Model Normal-Slip'!$O$9,IF(H6='Estimation Model Normal-Slip'!$J$10,'Estimation Model Normal-Slip'!$O$10,IF(H6='Estimation Model Normal-Slip'!$J$11,'Estimation Model Normal-Slip'!$O$11,IF(H6='Estimation Model Normal-Slip'!$J$12,'Estimation Model Normal-Slip'!$O$12,IF(H6='Estimation Model Normal-Slip'!$J$13,'Estimation Model Normal-Slip'!$O$13,2))))))</f>
        <v>1.9041242414694344</v>
      </c>
      <c r="J6" s="1">
        <f t="shared" si="0"/>
        <v>0.6440221871128996</v>
      </c>
      <c r="K6" s="1">
        <v>90</v>
      </c>
      <c r="L6" s="1" t="s">
        <v>16</v>
      </c>
      <c r="M6" t="s">
        <v>287</v>
      </c>
      <c r="N6">
        <f t="shared" si="6"/>
        <v>17.5</v>
      </c>
      <c r="O6" s="1">
        <f t="shared" si="7"/>
        <v>0</v>
      </c>
      <c r="P6">
        <f t="shared" si="8"/>
        <v>37.5</v>
      </c>
      <c r="Q6">
        <f t="shared" si="9"/>
        <v>1.1000000000000001</v>
      </c>
      <c r="R6" s="1">
        <v>2.5</v>
      </c>
      <c r="S6" s="1">
        <f t="shared" si="10"/>
        <v>2.7901785714285712</v>
      </c>
      <c r="T6">
        <f t="shared" si="11"/>
        <v>116.11326447667876</v>
      </c>
      <c r="U6">
        <f>IF(M6="medium dense",'Coefficient Normal'!$E$18 + ('Coefficient Normal'!$E$19*S6) + ('Coefficient Normal'!$E$20*(S6^2)) + ('Coefficient Normal'!$E$21*(S6^3)) + ('Coefficient Normal'!$E$22*(S6^4)),IF(M6="dense",'Coefficient Normal'!$F$18 + ('Coefficient Normal'!$F$19*S6) + ('Coefficient Normal'!$F$20*(S6^2)) + ('Coefficient Normal'!$F$21*(S6^3)) + ('Coefficient Normal'!$F$22*(S6^4)),IF(M6="very dense",'Coefficient Normal'!$G$18 + ('Coefficient Normal'!$G$19*S6) + ('Coefficient Normal'!$G$20*(S6^2)) + ('Coefficient Normal'!$G$21*(S6^3)) + ('Coefficient Normal'!$G$22*(S6^4)),0)))</f>
        <v>0</v>
      </c>
      <c r="V6">
        <f t="shared" si="12"/>
        <v>0</v>
      </c>
      <c r="W6">
        <f t="shared" si="13"/>
        <v>172.70400000000001</v>
      </c>
      <c r="X6">
        <f t="shared" si="14"/>
        <v>5.1515791464362319</v>
      </c>
      <c r="Y6">
        <f t="shared" si="1"/>
        <v>4.5440204919621658</v>
      </c>
      <c r="Z6">
        <f t="shared" si="2"/>
        <v>4.7545661326228839</v>
      </c>
      <c r="AA6" s="38">
        <f>VLOOKUP(K6,'Coefficient Normal'!$A$3:$H$7,2,TRUE)</f>
        <v>14.575100000000001</v>
      </c>
      <c r="AB6" s="38">
        <f>VLOOKUP(K6,'Coefficient Normal'!$A$3:$H$7,3,TRUE)</f>
        <v>0.1356</v>
      </c>
      <c r="AC6" s="38">
        <f>VLOOKUP(K6,'Coefficient Normal'!$A$3:$H$7,4,TRUE)</f>
        <v>2.9990000000000001</v>
      </c>
      <c r="AD6" s="38">
        <f>VLOOKUP(K6,'Coefficient Normal'!$A$3:$H$7,5,TRUE)</f>
        <v>-0.94710000000000005</v>
      </c>
      <c r="AE6" s="38">
        <f>VLOOKUP(K6,'Coefficient Normal'!$A$3:$H$7,6,TRUE)</f>
        <v>0.6603</v>
      </c>
      <c r="AF6" s="38">
        <f>VLOOKUP(K6,'Coefficient Normal'!$A$3:$H$7,7,TRUE)</f>
        <v>-1.2488999999999999</v>
      </c>
      <c r="AG6" s="38">
        <f>VLOOKUP(K6,'Coefficient Normal'!$A$3:$H$7,8,TRUE)</f>
        <v>-0.44140000000000001</v>
      </c>
      <c r="AH6" s="38">
        <f t="shared" si="15"/>
        <v>2.6083314756970983</v>
      </c>
      <c r="AI6" s="38">
        <f>VLOOKUP(K6,'Coefficient Normal'!$A$10:$P$14,2,TRUE)</f>
        <v>5.1353999999999997</v>
      </c>
      <c r="AJ6" s="38">
        <f>VLOOKUP(K6,'Coefficient Normal'!$A$10:$P$14,3,TRUE)</f>
        <v>-4.9599999999999998E-2</v>
      </c>
      <c r="AK6" s="38">
        <f>VLOOKUP(K6,'Coefficient Normal'!$A$10:$P$14,4,TRUE)</f>
        <v>0.44590000000000002</v>
      </c>
      <c r="AL6" s="38">
        <f>VLOOKUP(K6,'Coefficient Normal'!$A$10:$P$14,5,TRUE)</f>
        <v>-0.83709999999999996</v>
      </c>
      <c r="AM6" s="38">
        <f>VLOOKUP(K6,'Coefficient Normal'!$A$10:$P$14,6,TRUE)</f>
        <v>0.63090000000000002</v>
      </c>
      <c r="AN6" s="38">
        <f>VLOOKUP(K6,'Coefficient Normal'!$A$10:$P$14,7,TRUE)</f>
        <v>0.91390000000000005</v>
      </c>
      <c r="AO6" s="38">
        <f>VLOOKUP(K6,'Coefficient Normal'!$A$10:$P$14,8,TRUE)</f>
        <v>2.5000000000000001E-3</v>
      </c>
      <c r="AP6" s="38">
        <f>VLOOKUP(K6,'Coefficient Normal'!$A$10:$P$14,9,TRUE)</f>
        <v>1.6000000000000001E-3</v>
      </c>
      <c r="AQ6" s="38">
        <f>VLOOKUP(K6,'Coefficient Normal'!$A$10:$P$14,10,TRUE)</f>
        <v>-9.7500000000000003E-2</v>
      </c>
      <c r="AR6" s="38">
        <f>VLOOKUP(K6,'Coefficient Normal'!$A$10:$P$14,11,TRUE)</f>
        <v>1.1999999999999999E-3</v>
      </c>
      <c r="AS6" s="38">
        <f>VLOOKUP(K6,'Coefficient Normal'!$A$10:$P$14,12,TRUE)</f>
        <v>0.46479999999999999</v>
      </c>
      <c r="AT6" s="38">
        <f>VLOOKUP(K6,'Coefficient Normal'!$A$10:$P$14,13,TRUE)</f>
        <v>8.0000000000000004E-4</v>
      </c>
      <c r="AU6" s="38">
        <f>VLOOKUP(K6,'Coefficient Normal'!$A$10:$P$14,14,TRUE)</f>
        <v>6.7900000000000002E-2</v>
      </c>
      <c r="AV6" s="38">
        <f>VLOOKUP(K6,'Coefficient Normal'!$A$10:$P$14,15,TRUE)</f>
        <v>0.58979999999999999</v>
      </c>
      <c r="AW6" s="5">
        <f t="shared" si="16"/>
        <v>1</v>
      </c>
      <c r="AX6" s="5">
        <f t="shared" si="3"/>
        <v>0</v>
      </c>
      <c r="AY6" s="5">
        <f t="shared" si="17"/>
        <v>0</v>
      </c>
      <c r="AZ6" s="38">
        <f t="shared" si="18"/>
        <v>1.2195650509554765</v>
      </c>
      <c r="BA6" s="1">
        <v>2.699997304</v>
      </c>
      <c r="BB6">
        <f t="shared" si="19"/>
        <v>0.99325077449126642</v>
      </c>
      <c r="BC6" s="38">
        <f t="shared" si="20"/>
        <v>-1.6150807012058319</v>
      </c>
      <c r="BD6" s="38">
        <f t="shared" si="21"/>
        <v>-1.9696959776632972</v>
      </c>
      <c r="BE6" s="38">
        <f t="shared" si="22"/>
        <v>-0.22538341640132342</v>
      </c>
      <c r="BF6" s="38">
        <f t="shared" si="23"/>
        <v>0</v>
      </c>
      <c r="BG6" s="38">
        <f t="shared" si="24"/>
        <v>-4.3123869034817695</v>
      </c>
      <c r="BH6" s="38">
        <f t="shared" si="25"/>
        <v>-6.928219896394662E-2</v>
      </c>
      <c r="BI6" s="38">
        <f t="shared" si="26"/>
        <v>-1.4413484965103371</v>
      </c>
      <c r="BJ6" s="3">
        <f t="shared" si="27"/>
        <v>0.23660847774933161</v>
      </c>
      <c r="BK6">
        <f>VLOOKUP(K6,'Coefficient Normal'!$A$10:$P$14,16,TRUE)</f>
        <v>0.34749999999999998</v>
      </c>
      <c r="BL6">
        <v>0.25</v>
      </c>
    </row>
    <row r="7" spans="1:64" x14ac:dyDescent="0.25">
      <c r="A7" s="1">
        <v>5</v>
      </c>
      <c r="B7">
        <v>0.5</v>
      </c>
      <c r="C7">
        <f t="shared" si="4"/>
        <v>500</v>
      </c>
      <c r="D7">
        <v>9.5250000000000005E-3</v>
      </c>
      <c r="E7">
        <f t="shared" si="4"/>
        <v>9.5250000000000004</v>
      </c>
      <c r="F7" s="4">
        <f t="shared" si="5"/>
        <v>52.493438320209975</v>
      </c>
      <c r="G7" s="1">
        <v>30</v>
      </c>
      <c r="H7" s="10" t="s">
        <v>141</v>
      </c>
      <c r="I7" s="4">
        <f>100*IF(H7='Estimation Model Normal-Slip'!$J$8,'Estimation Model Normal-Slip'!$O$8,IF(H7='Estimation Model Normal-Slip'!$J$9,'Estimation Model Normal-Slip'!$O$9,IF(H7='Estimation Model Normal-Slip'!$J$10,'Estimation Model Normal-Slip'!$O$10,IF(H7='Estimation Model Normal-Slip'!$J$11,'Estimation Model Normal-Slip'!$O$11,IF(H7='Estimation Model Normal-Slip'!$J$12,'Estimation Model Normal-Slip'!$O$12,IF(H7='Estimation Model Normal-Slip'!$J$13,'Estimation Model Normal-Slip'!$O$13,2))))))</f>
        <v>2.7690517990613435</v>
      </c>
      <c r="J7" s="1">
        <f t="shared" si="0"/>
        <v>1.0185049507893496</v>
      </c>
      <c r="K7" s="1">
        <v>45</v>
      </c>
      <c r="L7" s="1" t="s">
        <v>16</v>
      </c>
      <c r="M7" t="s">
        <v>291</v>
      </c>
      <c r="N7">
        <f t="shared" si="6"/>
        <v>18</v>
      </c>
      <c r="O7" s="1">
        <f t="shared" si="7"/>
        <v>0</v>
      </c>
      <c r="P7">
        <f t="shared" si="8"/>
        <v>75</v>
      </c>
      <c r="Q7">
        <f t="shared" si="9"/>
        <v>0.72</v>
      </c>
      <c r="R7" s="1">
        <v>1</v>
      </c>
      <c r="S7" s="1">
        <f t="shared" si="10"/>
        <v>2</v>
      </c>
      <c r="T7">
        <f t="shared" si="11"/>
        <v>84.823001646924411</v>
      </c>
      <c r="U7">
        <f>IF(M7="medium dense",'Coefficient Normal'!$E$18 + ('Coefficient Normal'!$E$19*S7) + ('Coefficient Normal'!$E$20*(S7^2)) + ('Coefficient Normal'!$E$21*(S7^3)) + ('Coefficient Normal'!$E$22*(S7^4)),IF(M7="dense",'Coefficient Normal'!$F$18 + ('Coefficient Normal'!$F$19*S7) + ('Coefficient Normal'!$F$20*(S7^2)) + ('Coefficient Normal'!$F$21*(S7^3)) + ('Coefficient Normal'!$F$22*(S7^4)),IF(M7="very dense",'Coefficient Normal'!$G$18 + ('Coefficient Normal'!$G$19*S7) + ('Coefficient Normal'!$G$20*(S7^2)) + ('Coefficient Normal'!$G$21*(S7^3)) + ('Coefficient Normal'!$G$22*(S7^4)),0)))</f>
        <v>0</v>
      </c>
      <c r="V7">
        <f t="shared" si="12"/>
        <v>0</v>
      </c>
      <c r="W7">
        <f t="shared" si="13"/>
        <v>192.75</v>
      </c>
      <c r="X7">
        <f t="shared" si="14"/>
        <v>5.2613940124434393</v>
      </c>
      <c r="Y7">
        <f t="shared" si="1"/>
        <v>3.9606881774094269</v>
      </c>
      <c r="Z7">
        <f t="shared" si="2"/>
        <v>4.4405667518537291</v>
      </c>
      <c r="AA7" s="38">
        <f>VLOOKUP(K7,'Coefficient Normal'!$A$3:$H$7,2,TRUE)</f>
        <v>3.7532999999999999</v>
      </c>
      <c r="AB7" s="38">
        <f>VLOOKUP(K7,'Coefficient Normal'!$A$3:$H$7,3,TRUE)</f>
        <v>0.14510000000000001</v>
      </c>
      <c r="AC7" s="38">
        <f>VLOOKUP(K7,'Coefficient Normal'!$A$3:$H$7,4,TRUE)</f>
        <v>1.2497</v>
      </c>
      <c r="AD7" s="38">
        <f>VLOOKUP(K7,'Coefficient Normal'!$A$3:$H$7,5,TRUE)</f>
        <v>-0.46100000000000002</v>
      </c>
      <c r="AE7" s="38">
        <f>VLOOKUP(K7,'Coefficient Normal'!$A$3:$H$7,6,TRUE)</f>
        <v>0.39140000000000003</v>
      </c>
      <c r="AF7" s="38">
        <f>VLOOKUP(K7,'Coefficient Normal'!$A$3:$H$7,7,TRUE)</f>
        <v>-0.21310000000000001</v>
      </c>
      <c r="AG7" s="38">
        <f>VLOOKUP(K7,'Coefficient Normal'!$A$3:$H$7,8,TRUE)</f>
        <v>-0.34139999999999998</v>
      </c>
      <c r="AH7" s="38">
        <f t="shared" si="15"/>
        <v>-0.68385925664793912</v>
      </c>
      <c r="AI7" s="38">
        <f>VLOOKUP(K7,'Coefficient Normal'!$A$10:$P$14,2,TRUE)</f>
        <v>-1.1082000000000001</v>
      </c>
      <c r="AJ7" s="38">
        <f>VLOOKUP(K7,'Coefficient Normal'!$A$10:$P$14,3,TRUE)</f>
        <v>0.10630000000000001</v>
      </c>
      <c r="AK7" s="38">
        <f>VLOOKUP(K7,'Coefficient Normal'!$A$10:$P$14,4,TRUE)</f>
        <v>-0.1439</v>
      </c>
      <c r="AL7" s="38">
        <f>VLOOKUP(K7,'Coefficient Normal'!$A$10:$P$14,5,TRUE)</f>
        <v>0.27879999999999999</v>
      </c>
      <c r="AM7" s="38">
        <f>VLOOKUP(K7,'Coefficient Normal'!$A$10:$P$14,6,TRUE)</f>
        <v>-0.31030000000000002</v>
      </c>
      <c r="AN7" s="38">
        <f>VLOOKUP(K7,'Coefficient Normal'!$A$10:$P$14,7,TRUE)</f>
        <v>1.2553000000000001</v>
      </c>
      <c r="AO7" s="38">
        <f>VLOOKUP(K7,'Coefficient Normal'!$A$10:$P$14,8,TRUE)</f>
        <v>2.9999999999999997E-4</v>
      </c>
      <c r="AP7" s="38">
        <f>VLOOKUP(K7,'Coefficient Normal'!$A$10:$P$14,9,TRUE)</f>
        <v>5.1999999999999998E-3</v>
      </c>
      <c r="AQ7" s="38">
        <f>VLOOKUP(K7,'Coefficient Normal'!$A$10:$P$14,10,TRUE)</f>
        <v>-8.5900000000000004E-2</v>
      </c>
      <c r="AR7" s="38">
        <f>VLOOKUP(K7,'Coefficient Normal'!$A$10:$P$14,11,TRUE)</f>
        <v>5.9999999999999995E-4</v>
      </c>
      <c r="AS7" s="38">
        <f>VLOOKUP(K7,'Coefficient Normal'!$A$10:$P$14,12,TRUE)</f>
        <v>-0.21759999999999999</v>
      </c>
      <c r="AT7" s="38">
        <f>VLOOKUP(K7,'Coefficient Normal'!$A$10:$P$14,13,TRUE)</f>
        <v>-2.69E-2</v>
      </c>
      <c r="AU7" s="38">
        <f>VLOOKUP(K7,'Coefficient Normal'!$A$10:$P$14,14,TRUE)</f>
        <v>0.57389999999999997</v>
      </c>
      <c r="AV7" s="38">
        <f>VLOOKUP(K7,'Coefficient Normal'!$A$10:$P$14,15,TRUE)</f>
        <v>0.34460000000000002</v>
      </c>
      <c r="AW7" s="5">
        <f t="shared" si="16"/>
        <v>0</v>
      </c>
      <c r="AX7" s="5">
        <f t="shared" si="3"/>
        <v>1</v>
      </c>
      <c r="AY7" s="5">
        <f t="shared" si="17"/>
        <v>0</v>
      </c>
      <c r="AZ7" s="38">
        <f t="shared" si="18"/>
        <v>2.0163768060420098</v>
      </c>
      <c r="BA7" s="1">
        <v>2.8500987279999999</v>
      </c>
      <c r="BB7">
        <f t="shared" si="19"/>
        <v>1.0473536350840684</v>
      </c>
      <c r="BC7" s="38">
        <f t="shared" si="20"/>
        <v>1.7312128917320075</v>
      </c>
      <c r="BD7" s="38">
        <f t="shared" si="21"/>
        <v>3.490777521209337</v>
      </c>
      <c r="BE7" s="38">
        <f t="shared" si="22"/>
        <v>0.42102115325862211</v>
      </c>
      <c r="BF7" s="38">
        <f t="shared" si="23"/>
        <v>0</v>
      </c>
      <c r="BG7" s="38">
        <f t="shared" si="24"/>
        <v>1.4668766506692308</v>
      </c>
      <c r="BH7" s="38">
        <f t="shared" si="25"/>
        <v>0.21508357012775103</v>
      </c>
      <c r="BI7" s="38">
        <f t="shared" si="26"/>
        <v>4.4855588952649406</v>
      </c>
      <c r="BJ7" s="3">
        <f t="shared" si="27"/>
        <v>88.726525793199741</v>
      </c>
      <c r="BK7">
        <f>VLOOKUP(K7,'Coefficient Normal'!$A$10:$P$14,16,TRUE)</f>
        <v>0.3997</v>
      </c>
      <c r="BL7">
        <v>0.25</v>
      </c>
    </row>
    <row r="8" spans="1:64" x14ac:dyDescent="0.25">
      <c r="A8" s="1">
        <v>6</v>
      </c>
      <c r="B8">
        <v>1.0668</v>
      </c>
      <c r="C8">
        <f t="shared" si="4"/>
        <v>1066.8</v>
      </c>
      <c r="D8">
        <v>9.5250000000000005E-3</v>
      </c>
      <c r="E8">
        <f t="shared" si="4"/>
        <v>9.5250000000000004</v>
      </c>
      <c r="F8" s="4">
        <f t="shared" si="5"/>
        <v>111.99999999999999</v>
      </c>
      <c r="G8" s="1">
        <v>50</v>
      </c>
      <c r="H8" s="10" t="s">
        <v>142</v>
      </c>
      <c r="I8" s="4">
        <f>100*IF(H8='Estimation Model Normal-Slip'!$J$8,'Estimation Model Normal-Slip'!$O$8,IF(H8='Estimation Model Normal-Slip'!$J$9,'Estimation Model Normal-Slip'!$O$9,IF(H8='Estimation Model Normal-Slip'!$J$10,'Estimation Model Normal-Slip'!$O$10,IF(H8='Estimation Model Normal-Slip'!$J$11,'Estimation Model Normal-Slip'!$O$11,IF(H8='Estimation Model Normal-Slip'!$J$12,'Estimation Model Normal-Slip'!$O$12,IF(H8='Estimation Model Normal-Slip'!$J$13,'Estimation Model Normal-Slip'!$O$13,2))))))</f>
        <v>2.8464933991254466</v>
      </c>
      <c r="J8" s="1">
        <f t="shared" si="0"/>
        <v>1.04608785046215</v>
      </c>
      <c r="K8" s="1">
        <v>60</v>
      </c>
      <c r="L8" s="1" t="s">
        <v>16</v>
      </c>
      <c r="M8" t="s">
        <v>288</v>
      </c>
      <c r="N8">
        <f t="shared" si="6"/>
        <v>18.5</v>
      </c>
      <c r="O8" s="1">
        <f t="shared" si="7"/>
        <v>0</v>
      </c>
      <c r="P8">
        <f t="shared" si="8"/>
        <v>125</v>
      </c>
      <c r="Q8">
        <f t="shared" si="9"/>
        <v>0.4</v>
      </c>
      <c r="R8" s="1">
        <v>1.2</v>
      </c>
      <c r="S8" s="1">
        <f t="shared" si="10"/>
        <v>1.8</v>
      </c>
      <c r="T8">
        <f t="shared" si="11"/>
        <v>167.57255214247957</v>
      </c>
      <c r="U8">
        <f>IF(M8="medium dense",'Coefficient Normal'!$E$18 + ('Coefficient Normal'!$E$19*S8) + ('Coefficient Normal'!$E$20*(S8^2)) + ('Coefficient Normal'!$E$21*(S8^3)) + ('Coefficient Normal'!$E$22*(S8^4)),IF(M8="dense",'Coefficient Normal'!$F$18 + ('Coefficient Normal'!$F$19*S8) + ('Coefficient Normal'!$F$20*(S8^2)) + ('Coefficient Normal'!$F$21*(S8^3)) + ('Coefficient Normal'!$F$22*(S8^4)),IF(M8="very dense",'Coefficient Normal'!$G$18 + ('Coefficient Normal'!$G$19*S8) + ('Coefficient Normal'!$G$20*(S8^2)) + ('Coefficient Normal'!$G$21*(S8^3)) + ('Coefficient Normal'!$G$22*(S8^4)),0)))</f>
        <v>0</v>
      </c>
      <c r="V8">
        <f t="shared" si="12"/>
        <v>0</v>
      </c>
      <c r="W8">
        <f t="shared" si="13"/>
        <v>685.41899999999998</v>
      </c>
      <c r="X8">
        <f t="shared" si="14"/>
        <v>6.530030330095097</v>
      </c>
      <c r="Y8">
        <f t="shared" si="1"/>
        <v>4.7184988712950942</v>
      </c>
      <c r="Z8">
        <f t="shared" si="2"/>
        <v>5.1214164046032682</v>
      </c>
      <c r="AA8" s="38">
        <f>VLOOKUP(K8,'Coefficient Normal'!$A$3:$H$7,2,TRUE)</f>
        <v>4.3182999999999998</v>
      </c>
      <c r="AB8" s="38">
        <f>VLOOKUP(K8,'Coefficient Normal'!$A$3:$H$7,3,TRUE)</f>
        <v>-2.7900000000000001E-2</v>
      </c>
      <c r="AC8" s="38">
        <f>VLOOKUP(K8,'Coefficient Normal'!$A$3:$H$7,4,TRUE)</f>
        <v>1.0497000000000001</v>
      </c>
      <c r="AD8" s="38">
        <f>VLOOKUP(K8,'Coefficient Normal'!$A$3:$H$7,5,TRUE)</f>
        <v>-0.46910000000000002</v>
      </c>
      <c r="AE8" s="38">
        <f>VLOOKUP(K8,'Coefficient Normal'!$A$3:$H$7,6,TRUE)</f>
        <v>0.29149999999999998</v>
      </c>
      <c r="AF8" s="38">
        <f>VLOOKUP(K8,'Coefficient Normal'!$A$3:$H$7,7,TRUE)</f>
        <v>-0.28610000000000002</v>
      </c>
      <c r="AG8" s="38">
        <f>VLOOKUP(K8,'Coefficient Normal'!$A$3:$H$7,8,TRUE)</f>
        <v>-0.1348</v>
      </c>
      <c r="AH8" s="38">
        <f t="shared" si="15"/>
        <v>-0.19008997280897444</v>
      </c>
      <c r="AI8" s="38">
        <f>VLOOKUP(K8,'Coefficient Normal'!$A$10:$P$14,2,TRUE)</f>
        <v>-2.1276999999999999</v>
      </c>
      <c r="AJ8" s="38">
        <f>VLOOKUP(K8,'Coefficient Normal'!$A$10:$P$14,3,TRUE)</f>
        <v>0.14760000000000001</v>
      </c>
      <c r="AK8" s="38">
        <f>VLOOKUP(K8,'Coefficient Normal'!$A$10:$P$14,4,TRUE)</f>
        <v>-0.21829999999999999</v>
      </c>
      <c r="AL8" s="38">
        <f>VLOOKUP(K8,'Coefficient Normal'!$A$10:$P$14,5,TRUE)</f>
        <v>0.42270000000000002</v>
      </c>
      <c r="AM8" s="38">
        <f>VLOOKUP(K8,'Coefficient Normal'!$A$10:$P$14,6,TRUE)</f>
        <v>-0.53720000000000001</v>
      </c>
      <c r="AN8" s="38">
        <f>VLOOKUP(K8,'Coefficient Normal'!$A$10:$P$14,7,TRUE)</f>
        <v>1.252</v>
      </c>
      <c r="AO8" s="38">
        <f>VLOOKUP(K8,'Coefficient Normal'!$A$10:$P$14,8,TRUE)</f>
        <v>-5.9999999999999995E-4</v>
      </c>
      <c r="AP8" s="38">
        <f>VLOOKUP(K8,'Coefficient Normal'!$A$10:$P$14,9,TRUE)</f>
        <v>5.3E-3</v>
      </c>
      <c r="AQ8" s="38">
        <f>VLOOKUP(K8,'Coefficient Normal'!$A$10:$P$14,10,TRUE)</f>
        <v>-4.8500000000000001E-2</v>
      </c>
      <c r="AR8" s="38">
        <f>VLOOKUP(K8,'Coefficient Normal'!$A$10:$P$14,11,TRUE)</f>
        <v>1.2999999999999999E-3</v>
      </c>
      <c r="AS8" s="38">
        <f>VLOOKUP(K8,'Coefficient Normal'!$A$10:$P$14,12,TRUE)</f>
        <v>-0.56599999999999995</v>
      </c>
      <c r="AT8" s="38">
        <f>VLOOKUP(K8,'Coefficient Normal'!$A$10:$P$14,13,TRUE)</f>
        <v>-3.2099999999999997E-2</v>
      </c>
      <c r="AU8" s="38">
        <f>VLOOKUP(K8,'Coefficient Normal'!$A$10:$P$14,14,TRUE)</f>
        <v>0.84970000000000001</v>
      </c>
      <c r="AV8" s="38">
        <f>VLOOKUP(K8,'Coefficient Normal'!$A$10:$P$14,15,TRUE)</f>
        <v>9.01E-2</v>
      </c>
      <c r="AW8" s="5">
        <f t="shared" si="16"/>
        <v>0</v>
      </c>
      <c r="AX8" s="5">
        <f t="shared" si="3"/>
        <v>1</v>
      </c>
      <c r="AY8" s="5">
        <f t="shared" si="17"/>
        <v>0</v>
      </c>
      <c r="AZ8" s="38">
        <f t="shared" si="18"/>
        <v>1.1332525153266395</v>
      </c>
      <c r="BA8" s="1">
        <v>3.0002260330000001</v>
      </c>
      <c r="BB8">
        <f t="shared" si="19"/>
        <v>1.0986876301632014</v>
      </c>
      <c r="BC8" s="38">
        <f t="shared" si="20"/>
        <v>1.2887776029721758</v>
      </c>
      <c r="BD8" s="38">
        <f t="shared" si="21"/>
        <v>1.4605104602648553</v>
      </c>
      <c r="BE8" s="38">
        <f t="shared" si="22"/>
        <v>0.69645043340315593</v>
      </c>
      <c r="BF8" s="38">
        <f t="shared" si="23"/>
        <v>0</v>
      </c>
      <c r="BG8" s="38">
        <f t="shared" si="24"/>
        <v>2.7602438205311977</v>
      </c>
      <c r="BH8" s="38">
        <f t="shared" si="25"/>
        <v>-3.4737239358577927E-2</v>
      </c>
      <c r="BI8" s="38">
        <f t="shared" si="26"/>
        <v>2.754767474840631</v>
      </c>
      <c r="BJ8" s="3">
        <f t="shared" si="27"/>
        <v>15.717385790231511</v>
      </c>
      <c r="BK8">
        <f>VLOOKUP(K8,'Coefficient Normal'!$A$10:$P$14,16,TRUE)</f>
        <v>0.50170000000000003</v>
      </c>
      <c r="BL8">
        <v>0.25</v>
      </c>
    </row>
    <row r="9" spans="1:64" x14ac:dyDescent="0.25">
      <c r="A9" s="1">
        <v>7</v>
      </c>
      <c r="B9">
        <v>0.60960000000000003</v>
      </c>
      <c r="C9">
        <f t="shared" si="4"/>
        <v>609.6</v>
      </c>
      <c r="D9">
        <v>9.5250000000000005E-3</v>
      </c>
      <c r="E9">
        <f t="shared" si="4"/>
        <v>9.5250000000000004</v>
      </c>
      <c r="F9" s="4">
        <f t="shared" si="5"/>
        <v>64</v>
      </c>
      <c r="G9" s="1">
        <v>100</v>
      </c>
      <c r="H9" s="10" t="s">
        <v>139</v>
      </c>
      <c r="I9" s="4">
        <f>100*IF(H9='Estimation Model Normal-Slip'!$J$8,'Estimation Model Normal-Slip'!$O$8,IF(H9='Estimation Model Normal-Slip'!$J$9,'Estimation Model Normal-Slip'!$O$9,IF(H9='Estimation Model Normal-Slip'!$J$10,'Estimation Model Normal-Slip'!$O$10,IF(H9='Estimation Model Normal-Slip'!$J$11,'Estimation Model Normal-Slip'!$O$11,IF(H9='Estimation Model Normal-Slip'!$J$12,'Estimation Model Normal-Slip'!$O$12,IF(H9='Estimation Model Normal-Slip'!$J$13,'Estimation Model Normal-Slip'!$O$13,2))))))</f>
        <v>1.9041242414694344</v>
      </c>
      <c r="J9" s="1">
        <f t="shared" si="0"/>
        <v>0.6440221871128996</v>
      </c>
      <c r="K9" s="1">
        <v>75</v>
      </c>
      <c r="L9" s="1" t="s">
        <v>16</v>
      </c>
      <c r="M9" t="s">
        <v>287</v>
      </c>
      <c r="N9">
        <f t="shared" si="6"/>
        <v>17.5</v>
      </c>
      <c r="O9" s="1">
        <f t="shared" si="7"/>
        <v>0</v>
      </c>
      <c r="P9">
        <f t="shared" si="8"/>
        <v>37.5</v>
      </c>
      <c r="Q9">
        <f t="shared" si="9"/>
        <v>1.1000000000000001</v>
      </c>
      <c r="R9" s="1">
        <v>0.78739999999999999</v>
      </c>
      <c r="S9" s="1">
        <f t="shared" si="10"/>
        <v>1.8</v>
      </c>
      <c r="T9">
        <f t="shared" si="11"/>
        <v>78.998488867168945</v>
      </c>
      <c r="U9">
        <f>IF(M9="medium dense",'Coefficient Normal'!$E$18 + ('Coefficient Normal'!$E$19*S9) + ('Coefficient Normal'!$E$20*(S9^2)) + ('Coefficient Normal'!$E$21*(S9^3)) + ('Coefficient Normal'!$E$22*(S9^4)),IF(M9="dense",'Coefficient Normal'!$F$18 + ('Coefficient Normal'!$F$19*S9) + ('Coefficient Normal'!$F$20*(S9^2)) + ('Coefficient Normal'!$F$21*(S9^3)) + ('Coefficient Normal'!$F$22*(S9^4)),IF(M9="very dense",'Coefficient Normal'!$G$18 + ('Coefficient Normal'!$G$19*S9) + ('Coefficient Normal'!$G$20*(S9^2)) + ('Coefficient Normal'!$G$21*(S9^3)) + ('Coefficient Normal'!$G$22*(S9^4)),0)))</f>
        <v>0</v>
      </c>
      <c r="V9">
        <f t="shared" si="12"/>
        <v>0</v>
      </c>
      <c r="W9">
        <f t="shared" si="13"/>
        <v>117.5004</v>
      </c>
      <c r="X9">
        <f t="shared" si="14"/>
        <v>4.7664417378337385</v>
      </c>
      <c r="Y9">
        <f t="shared" si="1"/>
        <v>4.1588830833596715</v>
      </c>
      <c r="Z9">
        <f t="shared" si="2"/>
        <v>4.3694287240203895</v>
      </c>
      <c r="AA9" s="38">
        <f>VLOOKUP(K9,'Coefficient Normal'!$A$3:$H$7,2,TRUE)</f>
        <v>5.5951000000000004</v>
      </c>
      <c r="AB9" s="38">
        <f>VLOOKUP(K9,'Coefficient Normal'!$A$3:$H$7,3,TRUE)</f>
        <v>1.6E-2</v>
      </c>
      <c r="AC9" s="38">
        <f>VLOOKUP(K9,'Coefficient Normal'!$A$3:$H$7,4,TRUE)</f>
        <v>1.2641</v>
      </c>
      <c r="AD9" s="38">
        <f>VLOOKUP(K9,'Coefficient Normal'!$A$3:$H$7,5,TRUE)</f>
        <v>-0.52429999999999999</v>
      </c>
      <c r="AE9" s="38">
        <f>VLOOKUP(K9,'Coefficient Normal'!$A$3:$H$7,6,TRUE)</f>
        <v>0.35830000000000001</v>
      </c>
      <c r="AF9" s="38">
        <f>VLOOKUP(K9,'Coefficient Normal'!$A$3:$H$7,7,TRUE)</f>
        <v>-0.35920000000000002</v>
      </c>
      <c r="AG9" s="38">
        <f>VLOOKUP(K9,'Coefficient Normal'!$A$3:$H$7,8,TRUE)</f>
        <v>-0.2482</v>
      </c>
      <c r="AH9" s="38">
        <f t="shared" si="15"/>
        <v>0.2967662201470247</v>
      </c>
      <c r="AI9" s="38">
        <f>VLOOKUP(K9,'Coefficient Normal'!$A$10:$P$14,2,TRUE)</f>
        <v>-2.3450000000000002</v>
      </c>
      <c r="AJ9" s="38">
        <f>VLOOKUP(K9,'Coefficient Normal'!$A$10:$P$14,3,TRUE)</f>
        <v>0.19470000000000001</v>
      </c>
      <c r="AK9" s="38">
        <f>VLOOKUP(K9,'Coefficient Normal'!$A$10:$P$14,4,TRUE)</f>
        <v>-0.2044</v>
      </c>
      <c r="AL9" s="38">
        <f>VLOOKUP(K9,'Coefficient Normal'!$A$10:$P$14,5,TRUE)</f>
        <v>0.4143</v>
      </c>
      <c r="AM9" s="38">
        <f>VLOOKUP(K9,'Coefficient Normal'!$A$10:$P$14,6,TRUE)</f>
        <v>-0.55710000000000004</v>
      </c>
      <c r="AN9" s="38">
        <f>VLOOKUP(K9,'Coefficient Normal'!$A$10:$P$14,7,TRUE)</f>
        <v>1.0931</v>
      </c>
      <c r="AO9" s="38">
        <f>VLOOKUP(K9,'Coefficient Normal'!$A$10:$P$14,8,TRUE)</f>
        <v>1E-4</v>
      </c>
      <c r="AP9" s="38">
        <f>VLOOKUP(K9,'Coefficient Normal'!$A$10:$P$14,9,TRUE)</f>
        <v>3.5000000000000001E-3</v>
      </c>
      <c r="AQ9" s="38">
        <f>VLOOKUP(K9,'Coefficient Normal'!$A$10:$P$14,10,TRUE)</f>
        <v>-4.07E-2</v>
      </c>
      <c r="AR9" s="38">
        <f>VLOOKUP(K9,'Coefficient Normal'!$A$10:$P$14,11,TRUE)</f>
        <v>1.6000000000000001E-3</v>
      </c>
      <c r="AS9" s="38">
        <f>VLOOKUP(K9,'Coefficient Normal'!$A$10:$P$14,12,TRUE)</f>
        <v>-0.65949999999999998</v>
      </c>
      <c r="AT9" s="38">
        <f>VLOOKUP(K9,'Coefficient Normal'!$A$10:$P$14,13,TRUE)</f>
        <v>-3.0099999999999998E-2</v>
      </c>
      <c r="AU9" s="38">
        <f>VLOOKUP(K9,'Coefficient Normal'!$A$10:$P$14,14,TRUE)</f>
        <v>0.84219999999999995</v>
      </c>
      <c r="AV9" s="38">
        <f>VLOOKUP(K9,'Coefficient Normal'!$A$10:$P$14,15,TRUE)</f>
        <v>0.50680000000000003</v>
      </c>
      <c r="AW9" s="5">
        <f t="shared" si="16"/>
        <v>1</v>
      </c>
      <c r="AX9" s="5">
        <f t="shared" si="3"/>
        <v>0</v>
      </c>
      <c r="AY9" s="5">
        <f t="shared" si="17"/>
        <v>0</v>
      </c>
      <c r="AZ9" s="38">
        <f t="shared" si="18"/>
        <v>1.1626998488867168</v>
      </c>
      <c r="BA9" s="1">
        <v>0.14999670000000001</v>
      </c>
      <c r="BB9">
        <f t="shared" si="19"/>
        <v>-1.8971419851278848</v>
      </c>
      <c r="BC9" s="38">
        <f t="shared" si="20"/>
        <v>-2.1939082052749095</v>
      </c>
      <c r="BD9" s="38">
        <f t="shared" si="21"/>
        <v>-2.5508567387444656</v>
      </c>
      <c r="BE9" s="38">
        <f t="shared" si="22"/>
        <v>0.80973453633012804</v>
      </c>
      <c r="BF9" s="38">
        <f t="shared" si="23"/>
        <v>0</v>
      </c>
      <c r="BG9" s="38">
        <f t="shared" si="24"/>
        <v>1.9747368119845179</v>
      </c>
      <c r="BH9" s="38">
        <f t="shared" si="25"/>
        <v>0.27573791218506416</v>
      </c>
      <c r="BI9" s="38">
        <f t="shared" si="26"/>
        <v>-1.8356474782447552</v>
      </c>
      <c r="BJ9" s="3">
        <f t="shared" si="27"/>
        <v>0.15951018894816493</v>
      </c>
      <c r="BK9">
        <f>VLOOKUP(K9,'Coefficient Normal'!$A$10:$P$14,16,TRUE)</f>
        <v>0.43780000000000002</v>
      </c>
      <c r="BL9">
        <v>0.25</v>
      </c>
    </row>
    <row r="10" spans="1:64" x14ac:dyDescent="0.25">
      <c r="A10" s="1">
        <v>8</v>
      </c>
      <c r="B10">
        <v>0.40960000000000002</v>
      </c>
      <c r="C10">
        <f t="shared" si="4"/>
        <v>409.6</v>
      </c>
      <c r="D10">
        <v>9.5250000000000005E-3</v>
      </c>
      <c r="E10">
        <f t="shared" si="4"/>
        <v>9.5250000000000004</v>
      </c>
      <c r="F10" s="4">
        <f t="shared" si="5"/>
        <v>43.00262467191601</v>
      </c>
      <c r="G10" s="1">
        <v>300</v>
      </c>
      <c r="H10" s="10" t="s">
        <v>140</v>
      </c>
      <c r="I10" s="4">
        <f>100*IF(H10='Estimation Model Normal-Slip'!$J$8,'Estimation Model Normal-Slip'!$O$8,IF(H10='Estimation Model Normal-Slip'!$J$9,'Estimation Model Normal-Slip'!$O$9,IF(H10='Estimation Model Normal-Slip'!$J$10,'Estimation Model Normal-Slip'!$O$10,IF(H10='Estimation Model Normal-Slip'!$J$11,'Estimation Model Normal-Slip'!$O$11,IF(H10='Estimation Model Normal-Slip'!$J$12,'Estimation Model Normal-Slip'!$O$12,IF(H10='Estimation Model Normal-Slip'!$J$13,'Estimation Model Normal-Slip'!$O$13,2))))))</f>
        <v>2.4313344008036557</v>
      </c>
      <c r="J10" s="1">
        <f t="shared" si="0"/>
        <v>0.88844024276557709</v>
      </c>
      <c r="K10" s="1">
        <v>90</v>
      </c>
      <c r="L10" s="1" t="s">
        <v>16</v>
      </c>
      <c r="M10" t="s">
        <v>291</v>
      </c>
      <c r="N10">
        <f t="shared" si="6"/>
        <v>18</v>
      </c>
      <c r="O10" s="1">
        <f t="shared" si="7"/>
        <v>0</v>
      </c>
      <c r="P10">
        <f t="shared" si="8"/>
        <v>75</v>
      </c>
      <c r="Q10">
        <f t="shared" si="9"/>
        <v>0.72</v>
      </c>
      <c r="R10" s="1">
        <v>1</v>
      </c>
      <c r="S10" s="1">
        <f t="shared" si="10"/>
        <v>2.44140625</v>
      </c>
      <c r="T10">
        <f t="shared" si="11"/>
        <v>69.487002949160484</v>
      </c>
      <c r="U10">
        <f>IF(M10="medium dense",'Coefficient Normal'!$E$18 + ('Coefficient Normal'!$E$19*S10) + ('Coefficient Normal'!$E$20*(S10^2)) + ('Coefficient Normal'!$E$21*(S10^3)) + ('Coefficient Normal'!$E$22*(S10^4)),IF(M10="dense",'Coefficient Normal'!$F$18 + ('Coefficient Normal'!$F$19*S10) + ('Coefficient Normal'!$F$20*(S10^2)) + ('Coefficient Normal'!$F$21*(S10^3)) + ('Coefficient Normal'!$F$22*(S10^4)),IF(M10="very dense",'Coefficient Normal'!$G$18 + ('Coefficient Normal'!$G$19*S10) + ('Coefficient Normal'!$G$20*(S10^2)) + ('Coefficient Normal'!$G$21*(S10^3)) + ('Coefficient Normal'!$G$22*(S10^4)),0)))</f>
        <v>0</v>
      </c>
      <c r="V10">
        <f t="shared" si="12"/>
        <v>0</v>
      </c>
      <c r="W10">
        <f t="shared" si="13"/>
        <v>157.9008</v>
      </c>
      <c r="X10">
        <f t="shared" si="14"/>
        <v>5.061966987746545</v>
      </c>
      <c r="Y10">
        <f t="shared" si="1"/>
        <v>3.7612611527125335</v>
      </c>
      <c r="Z10">
        <f t="shared" si="2"/>
        <v>4.2411397271568356</v>
      </c>
      <c r="AA10" s="38">
        <f>VLOOKUP(K10,'Coefficient Normal'!$A$3:$H$7,2,TRUE)</f>
        <v>14.575100000000001</v>
      </c>
      <c r="AB10" s="38">
        <f>VLOOKUP(K10,'Coefficient Normal'!$A$3:$H$7,3,TRUE)</f>
        <v>0.1356</v>
      </c>
      <c r="AC10" s="38">
        <f>VLOOKUP(K10,'Coefficient Normal'!$A$3:$H$7,4,TRUE)</f>
        <v>2.9990000000000001</v>
      </c>
      <c r="AD10" s="38">
        <f>VLOOKUP(K10,'Coefficient Normal'!$A$3:$H$7,5,TRUE)</f>
        <v>-0.94710000000000005</v>
      </c>
      <c r="AE10" s="38">
        <f>VLOOKUP(K10,'Coefficient Normal'!$A$3:$H$7,6,TRUE)</f>
        <v>0.6603</v>
      </c>
      <c r="AF10" s="38">
        <f>VLOOKUP(K10,'Coefficient Normal'!$A$3:$H$7,7,TRUE)</f>
        <v>-1.2488999999999999</v>
      </c>
      <c r="AG10" s="38">
        <f>VLOOKUP(K10,'Coefficient Normal'!$A$3:$H$7,8,TRUE)</f>
        <v>-0.44140000000000001</v>
      </c>
      <c r="AH10" s="38">
        <f t="shared" si="15"/>
        <v>1.5021198699985039</v>
      </c>
      <c r="AI10" s="38">
        <f>VLOOKUP(K10,'Coefficient Normal'!$A$10:$P$14,2,TRUE)</f>
        <v>5.1353999999999997</v>
      </c>
      <c r="AJ10" s="38">
        <f>VLOOKUP(K10,'Coefficient Normal'!$A$10:$P$14,3,TRUE)</f>
        <v>-4.9599999999999998E-2</v>
      </c>
      <c r="AK10" s="38">
        <f>VLOOKUP(K10,'Coefficient Normal'!$A$10:$P$14,4,TRUE)</f>
        <v>0.44590000000000002</v>
      </c>
      <c r="AL10" s="38">
        <f>VLOOKUP(K10,'Coefficient Normal'!$A$10:$P$14,5,TRUE)</f>
        <v>-0.83709999999999996</v>
      </c>
      <c r="AM10" s="38">
        <f>VLOOKUP(K10,'Coefficient Normal'!$A$10:$P$14,6,TRUE)</f>
        <v>0.63090000000000002</v>
      </c>
      <c r="AN10" s="38">
        <f>VLOOKUP(K10,'Coefficient Normal'!$A$10:$P$14,7,TRUE)</f>
        <v>0.91390000000000005</v>
      </c>
      <c r="AO10" s="38">
        <f>VLOOKUP(K10,'Coefficient Normal'!$A$10:$P$14,8,TRUE)</f>
        <v>2.5000000000000001E-3</v>
      </c>
      <c r="AP10" s="38">
        <f>VLOOKUP(K10,'Coefficient Normal'!$A$10:$P$14,9,TRUE)</f>
        <v>1.6000000000000001E-3</v>
      </c>
      <c r="AQ10" s="38">
        <f>VLOOKUP(K10,'Coefficient Normal'!$A$10:$P$14,10,TRUE)</f>
        <v>-9.7500000000000003E-2</v>
      </c>
      <c r="AR10" s="38">
        <f>VLOOKUP(K10,'Coefficient Normal'!$A$10:$P$14,11,TRUE)</f>
        <v>1.1999999999999999E-3</v>
      </c>
      <c r="AS10" s="38">
        <f>VLOOKUP(K10,'Coefficient Normal'!$A$10:$P$14,12,TRUE)</f>
        <v>0.46479999999999999</v>
      </c>
      <c r="AT10" s="38">
        <f>VLOOKUP(K10,'Coefficient Normal'!$A$10:$P$14,13,TRUE)</f>
        <v>8.0000000000000004E-4</v>
      </c>
      <c r="AU10" s="38">
        <f>VLOOKUP(K10,'Coefficient Normal'!$A$10:$P$14,14,TRUE)</f>
        <v>6.7900000000000002E-2</v>
      </c>
      <c r="AV10" s="38">
        <f>VLOOKUP(K10,'Coefficient Normal'!$A$10:$P$14,15,TRUE)</f>
        <v>0.58979999999999999</v>
      </c>
      <c r="AW10" s="5">
        <f t="shared" si="16"/>
        <v>1</v>
      </c>
      <c r="AX10" s="5">
        <f t="shared" si="3"/>
        <v>0</v>
      </c>
      <c r="AY10" s="5">
        <f t="shared" si="17"/>
        <v>0</v>
      </c>
      <c r="AZ10" s="38">
        <f t="shared" si="18"/>
        <v>1.0417206569792006</v>
      </c>
      <c r="BA10" s="1">
        <v>0.29999340000000002</v>
      </c>
      <c r="BB10">
        <f t="shared" si="19"/>
        <v>-1.2039948045679394</v>
      </c>
      <c r="BC10" s="38">
        <f t="shared" si="20"/>
        <v>-2.7061146745664431</v>
      </c>
      <c r="BD10" s="38">
        <f t="shared" si="21"/>
        <v>-2.8190155566504105</v>
      </c>
      <c r="BE10" s="38">
        <f t="shared" si="22"/>
        <v>-0.18655855317454165</v>
      </c>
      <c r="BF10" s="38">
        <f t="shared" si="23"/>
        <v>0</v>
      </c>
      <c r="BG10" s="38">
        <f t="shared" si="24"/>
        <v>-4.2373725654426329</v>
      </c>
      <c r="BH10" s="38">
        <f t="shared" si="25"/>
        <v>-0.56312506609653967</v>
      </c>
      <c r="BI10" s="38">
        <f t="shared" si="26"/>
        <v>-2.6706717413641248</v>
      </c>
      <c r="BJ10" s="3">
        <f t="shared" si="27"/>
        <v>6.9205721346114552E-2</v>
      </c>
      <c r="BK10">
        <f>VLOOKUP(K10,'Coefficient Normal'!$A$10:$P$14,16,TRUE)</f>
        <v>0.34749999999999998</v>
      </c>
      <c r="BL10">
        <v>0.25</v>
      </c>
    </row>
    <row r="11" spans="1:64" x14ac:dyDescent="0.25">
      <c r="A11" s="1">
        <v>9</v>
      </c>
      <c r="B11">
        <v>0.89600000000000002</v>
      </c>
      <c r="C11">
        <f t="shared" si="4"/>
        <v>896</v>
      </c>
      <c r="D11">
        <v>9.5250000000000005E-3</v>
      </c>
      <c r="E11">
        <f t="shared" si="4"/>
        <v>9.5250000000000004</v>
      </c>
      <c r="F11" s="4">
        <f t="shared" si="5"/>
        <v>94.068241469816272</v>
      </c>
      <c r="G11" s="1">
        <v>30</v>
      </c>
      <c r="H11" s="10" t="s">
        <v>141</v>
      </c>
      <c r="I11" s="4">
        <f>100*IF(H11='Estimation Model Normal-Slip'!$J$8,'Estimation Model Normal-Slip'!$O$8,IF(H11='Estimation Model Normal-Slip'!$J$9,'Estimation Model Normal-Slip'!$O$9,IF(H11='Estimation Model Normal-Slip'!$J$10,'Estimation Model Normal-Slip'!$O$10,IF(H11='Estimation Model Normal-Slip'!$J$11,'Estimation Model Normal-Slip'!$O$11,IF(H11='Estimation Model Normal-Slip'!$J$12,'Estimation Model Normal-Slip'!$O$12,IF(H11='Estimation Model Normal-Slip'!$J$13,'Estimation Model Normal-Slip'!$O$13,2))))))</f>
        <v>2.7690517990613435</v>
      </c>
      <c r="J11" s="1">
        <f t="shared" si="0"/>
        <v>1.0185049507893496</v>
      </c>
      <c r="K11" s="1">
        <v>45</v>
      </c>
      <c r="L11" s="1" t="s">
        <v>16</v>
      </c>
      <c r="M11" t="s">
        <v>288</v>
      </c>
      <c r="N11">
        <f t="shared" si="6"/>
        <v>18.5</v>
      </c>
      <c r="O11" s="1">
        <f t="shared" si="7"/>
        <v>0</v>
      </c>
      <c r="P11">
        <f t="shared" si="8"/>
        <v>125</v>
      </c>
      <c r="Q11">
        <f t="shared" si="9"/>
        <v>0.4</v>
      </c>
      <c r="R11" s="1">
        <v>1.2</v>
      </c>
      <c r="S11" s="1">
        <f t="shared" si="10"/>
        <v>1.8</v>
      </c>
      <c r="T11">
        <f t="shared" si="11"/>
        <v>140.74335088082273</v>
      </c>
      <c r="U11">
        <f>IF(M11="medium dense",'Coefficient Normal'!$E$18 + ('Coefficient Normal'!$E$19*S11) + ('Coefficient Normal'!$E$20*(S11^2)) + ('Coefficient Normal'!$E$21*(S11^3)) + ('Coefficient Normal'!$E$22*(S11^4)),IF(M11="dense",'Coefficient Normal'!$F$18 + ('Coefficient Normal'!$F$19*S11) + ('Coefficient Normal'!$F$20*(S11^2)) + ('Coefficient Normal'!$F$21*(S11^3)) + ('Coefficient Normal'!$F$22*(S11^4)),IF(M11="very dense",'Coefficient Normal'!$G$18 + ('Coefficient Normal'!$G$19*S11) + ('Coefficient Normal'!$G$20*(S11^2)) + ('Coefficient Normal'!$G$21*(S11^3)) + ('Coefficient Normal'!$G$22*(S11^4)),0)))</f>
        <v>0</v>
      </c>
      <c r="V11">
        <f t="shared" si="12"/>
        <v>0</v>
      </c>
      <c r="W11">
        <f t="shared" si="13"/>
        <v>575.68000000000006</v>
      </c>
      <c r="X11">
        <f t="shared" si="14"/>
        <v>6.3555519507621687</v>
      </c>
      <c r="Y11">
        <f t="shared" si="1"/>
        <v>4.5440204919621658</v>
      </c>
      <c r="Z11">
        <f t="shared" si="2"/>
        <v>4.9469380252703399</v>
      </c>
      <c r="AA11" s="38">
        <f>VLOOKUP(K11,'Coefficient Normal'!$A$3:$H$7,2,TRUE)</f>
        <v>3.7532999999999999</v>
      </c>
      <c r="AB11" s="38">
        <f>VLOOKUP(K11,'Coefficient Normal'!$A$3:$H$7,3,TRUE)</f>
        <v>0.14510000000000001</v>
      </c>
      <c r="AC11" s="38">
        <f>VLOOKUP(K11,'Coefficient Normal'!$A$3:$H$7,4,TRUE)</f>
        <v>1.2497</v>
      </c>
      <c r="AD11" s="38">
        <f>VLOOKUP(K11,'Coefficient Normal'!$A$3:$H$7,5,TRUE)</f>
        <v>-0.46100000000000002</v>
      </c>
      <c r="AE11" s="38">
        <f>VLOOKUP(K11,'Coefficient Normal'!$A$3:$H$7,6,TRUE)</f>
        <v>0.39140000000000003</v>
      </c>
      <c r="AF11" s="38">
        <f>VLOOKUP(K11,'Coefficient Normal'!$A$3:$H$7,7,TRUE)</f>
        <v>-0.21310000000000001</v>
      </c>
      <c r="AG11" s="38">
        <f>VLOOKUP(K11,'Coefficient Normal'!$A$3:$H$7,8,TRUE)</f>
        <v>-0.34139999999999998</v>
      </c>
      <c r="AH11" s="38">
        <f t="shared" si="15"/>
        <v>-0.62982526956034657</v>
      </c>
      <c r="AI11" s="38">
        <f>VLOOKUP(K11,'Coefficient Normal'!$A$10:$P$14,2,TRUE)</f>
        <v>-1.1082000000000001</v>
      </c>
      <c r="AJ11" s="38">
        <f>VLOOKUP(K11,'Coefficient Normal'!$A$10:$P$14,3,TRUE)</f>
        <v>0.10630000000000001</v>
      </c>
      <c r="AK11" s="38">
        <f>VLOOKUP(K11,'Coefficient Normal'!$A$10:$P$14,4,TRUE)</f>
        <v>-0.1439</v>
      </c>
      <c r="AL11" s="38">
        <f>VLOOKUP(K11,'Coefficient Normal'!$A$10:$P$14,5,TRUE)</f>
        <v>0.27879999999999999</v>
      </c>
      <c r="AM11" s="38">
        <f>VLOOKUP(K11,'Coefficient Normal'!$A$10:$P$14,6,TRUE)</f>
        <v>-0.31030000000000002</v>
      </c>
      <c r="AN11" s="38">
        <f>VLOOKUP(K11,'Coefficient Normal'!$A$10:$P$14,7,TRUE)</f>
        <v>1.2553000000000001</v>
      </c>
      <c r="AO11" s="38">
        <f>VLOOKUP(K11,'Coefficient Normal'!$A$10:$P$14,8,TRUE)</f>
        <v>2.9999999999999997E-4</v>
      </c>
      <c r="AP11" s="38">
        <f>VLOOKUP(K11,'Coefficient Normal'!$A$10:$P$14,9,TRUE)</f>
        <v>5.1999999999999998E-3</v>
      </c>
      <c r="AQ11" s="38">
        <f>VLOOKUP(K11,'Coefficient Normal'!$A$10:$P$14,10,TRUE)</f>
        <v>-8.5900000000000004E-2</v>
      </c>
      <c r="AR11" s="38">
        <f>VLOOKUP(K11,'Coefficient Normal'!$A$10:$P$14,11,TRUE)</f>
        <v>5.9999999999999995E-4</v>
      </c>
      <c r="AS11" s="38">
        <f>VLOOKUP(K11,'Coefficient Normal'!$A$10:$P$14,12,TRUE)</f>
        <v>-0.21759999999999999</v>
      </c>
      <c r="AT11" s="38">
        <f>VLOOKUP(K11,'Coefficient Normal'!$A$10:$P$14,13,TRUE)</f>
        <v>-2.69E-2</v>
      </c>
      <c r="AU11" s="38">
        <f>VLOOKUP(K11,'Coefficient Normal'!$A$10:$P$14,14,TRUE)</f>
        <v>0.57389999999999997</v>
      </c>
      <c r="AV11" s="38">
        <f>VLOOKUP(K11,'Coefficient Normal'!$A$10:$P$14,15,TRUE)</f>
        <v>0.34460000000000002</v>
      </c>
      <c r="AW11" s="5">
        <f t="shared" si="16"/>
        <v>1</v>
      </c>
      <c r="AX11" s="5">
        <f t="shared" si="3"/>
        <v>1</v>
      </c>
      <c r="AY11" s="5">
        <f t="shared" si="17"/>
        <v>0</v>
      </c>
      <c r="AZ11" s="38">
        <f t="shared" si="18"/>
        <v>0.98996395014613658</v>
      </c>
      <c r="BA11" s="1">
        <v>0.4499901</v>
      </c>
      <c r="BB11">
        <f t="shared" si="19"/>
        <v>-0.79852969645977512</v>
      </c>
      <c r="BC11" s="38">
        <f t="shared" si="20"/>
        <v>-0.16870442689942855</v>
      </c>
      <c r="BD11" s="38">
        <f t="shared" si="21"/>
        <v>-0.16701130086049842</v>
      </c>
      <c r="BE11" s="38">
        <f t="shared" si="22"/>
        <v>0.48302937829557824</v>
      </c>
      <c r="BF11" s="38">
        <f t="shared" si="23"/>
        <v>0</v>
      </c>
      <c r="BG11" s="38">
        <f t="shared" si="24"/>
        <v>1.7719278838724926</v>
      </c>
      <c r="BH11" s="38">
        <f t="shared" si="25"/>
        <v>3.4075552922036199E-2</v>
      </c>
      <c r="BI11" s="38">
        <f t="shared" si="26"/>
        <v>1.0138215142296085</v>
      </c>
      <c r="BJ11" s="3">
        <f t="shared" si="27"/>
        <v>2.7561134422661961</v>
      </c>
      <c r="BK11">
        <f>VLOOKUP(K11,'Coefficient Normal'!$A$10:$P$14,16,TRUE)</f>
        <v>0.3997</v>
      </c>
      <c r="BL11">
        <v>0.25</v>
      </c>
    </row>
    <row r="12" spans="1:64" s="40" customFormat="1" x14ac:dyDescent="0.25">
      <c r="A12" s="39">
        <v>10</v>
      </c>
      <c r="B12">
        <v>0.5</v>
      </c>
      <c r="C12">
        <f t="shared" si="4"/>
        <v>500</v>
      </c>
      <c r="D12">
        <v>9.5250000000000005E-3</v>
      </c>
      <c r="E12">
        <f t="shared" si="4"/>
        <v>9.5250000000000004</v>
      </c>
      <c r="F12" s="4">
        <f t="shared" si="5"/>
        <v>52.493438320209975</v>
      </c>
      <c r="G12" s="1">
        <v>50</v>
      </c>
      <c r="H12" s="10" t="s">
        <v>139</v>
      </c>
      <c r="I12" s="4">
        <f>100*IF(H12='Estimation Model Normal-Slip'!$J$8,'Estimation Model Normal-Slip'!$O$8,IF(H12='Estimation Model Normal-Slip'!$J$9,'Estimation Model Normal-Slip'!$O$9,IF(H12='Estimation Model Normal-Slip'!$J$10,'Estimation Model Normal-Slip'!$O$10,IF(H12='Estimation Model Normal-Slip'!$J$11,'Estimation Model Normal-Slip'!$O$11,IF(H12='Estimation Model Normal-Slip'!$J$12,'Estimation Model Normal-Slip'!$O$12,IF(H12='Estimation Model Normal-Slip'!$J$13,'Estimation Model Normal-Slip'!$O$13,2))))))</f>
        <v>1.9041242414694344</v>
      </c>
      <c r="J12" s="1">
        <f t="shared" si="0"/>
        <v>0.6440221871128996</v>
      </c>
      <c r="K12" s="1">
        <v>60</v>
      </c>
      <c r="L12" s="1" t="s">
        <v>16</v>
      </c>
      <c r="M12" t="s">
        <v>287</v>
      </c>
      <c r="N12">
        <f t="shared" si="6"/>
        <v>17.5</v>
      </c>
      <c r="O12" s="1">
        <f t="shared" si="7"/>
        <v>0</v>
      </c>
      <c r="P12">
        <f t="shared" si="8"/>
        <v>37.5</v>
      </c>
      <c r="Q12">
        <f t="shared" si="9"/>
        <v>1.1000000000000001</v>
      </c>
      <c r="R12" s="1">
        <v>2.5</v>
      </c>
      <c r="S12" s="1">
        <f t="shared" si="10"/>
        <v>5</v>
      </c>
      <c r="T12">
        <f t="shared" si="11"/>
        <v>64.795348480289491</v>
      </c>
      <c r="U12">
        <f>IF(M12="medium dense",'Coefficient Normal'!$E$18 + ('Coefficient Normal'!$E$19*S12) + ('Coefficient Normal'!$E$20*(S12^2)) + ('Coefficient Normal'!$E$21*(S12^3)) + ('Coefficient Normal'!$E$22*(S12^4)),IF(M12="dense",'Coefficient Normal'!$F$18 + ('Coefficient Normal'!$F$19*S12) + ('Coefficient Normal'!$F$20*(S12^2)) + ('Coefficient Normal'!$F$21*(S12^3)) + ('Coefficient Normal'!$F$22*(S12^4)),IF(M12="very dense",'Coefficient Normal'!$G$18 + ('Coefficient Normal'!$G$19*S12) + ('Coefficient Normal'!$G$20*(S12^2)) + ('Coefficient Normal'!$G$21*(S12^3)) + ('Coefficient Normal'!$G$22*(S12^4)),0)))</f>
        <v>0</v>
      </c>
      <c r="V12">
        <f t="shared" si="12"/>
        <v>0</v>
      </c>
      <c r="W12">
        <f t="shared" si="13"/>
        <v>96.375</v>
      </c>
      <c r="X12" s="40">
        <f t="shared" si="14"/>
        <v>4.5682468318834939</v>
      </c>
      <c r="Y12" s="40">
        <f t="shared" si="1"/>
        <v>3.9606881774094269</v>
      </c>
      <c r="Z12" s="40">
        <f t="shared" si="2"/>
        <v>4.1712338180701449</v>
      </c>
      <c r="AA12" s="38">
        <f>VLOOKUP(K12,'Coefficient Normal'!$A$3:$H$7,2,TRUE)</f>
        <v>4.3182999999999998</v>
      </c>
      <c r="AB12" s="38">
        <f>VLOOKUP(K12,'Coefficient Normal'!$A$3:$H$7,3,TRUE)</f>
        <v>-2.7900000000000001E-2</v>
      </c>
      <c r="AC12" s="38">
        <f>VLOOKUP(K12,'Coefficient Normal'!$A$3:$H$7,4,TRUE)</f>
        <v>1.0497000000000001</v>
      </c>
      <c r="AD12" s="38">
        <f>VLOOKUP(K12,'Coefficient Normal'!$A$3:$H$7,5,TRUE)</f>
        <v>-0.46910000000000002</v>
      </c>
      <c r="AE12" s="38">
        <f>VLOOKUP(K12,'Coefficient Normal'!$A$3:$H$7,6,TRUE)</f>
        <v>0.29149999999999998</v>
      </c>
      <c r="AF12" s="38">
        <f>VLOOKUP(K12,'Coefficient Normal'!$A$3:$H$7,7,TRUE)</f>
        <v>-0.28610000000000002</v>
      </c>
      <c r="AG12" s="38">
        <f>VLOOKUP(K12,'Coefficient Normal'!$A$3:$H$7,8,TRUE)</f>
        <v>-0.1348</v>
      </c>
      <c r="AH12" s="41">
        <f t="shared" si="15"/>
        <v>-5.7926131042294826E-2</v>
      </c>
      <c r="AI12" s="38">
        <f>VLOOKUP(K12,'Coefficient Normal'!$A$10:$P$14,2,TRUE)</f>
        <v>-2.1276999999999999</v>
      </c>
      <c r="AJ12" s="38">
        <f>VLOOKUP(K12,'Coefficient Normal'!$A$10:$P$14,3,TRUE)</f>
        <v>0.14760000000000001</v>
      </c>
      <c r="AK12" s="38">
        <f>VLOOKUP(K12,'Coefficient Normal'!$A$10:$P$14,4,TRUE)</f>
        <v>-0.21829999999999999</v>
      </c>
      <c r="AL12" s="38">
        <f>VLOOKUP(K12,'Coefficient Normal'!$A$10:$P$14,5,TRUE)</f>
        <v>0.42270000000000002</v>
      </c>
      <c r="AM12" s="38">
        <f>VLOOKUP(K12,'Coefficient Normal'!$A$10:$P$14,6,TRUE)</f>
        <v>-0.53720000000000001</v>
      </c>
      <c r="AN12" s="38">
        <f>VLOOKUP(K12,'Coefficient Normal'!$A$10:$P$14,7,TRUE)</f>
        <v>1.252</v>
      </c>
      <c r="AO12" s="38">
        <f>VLOOKUP(K12,'Coefficient Normal'!$A$10:$P$14,8,TRUE)</f>
        <v>-5.9999999999999995E-4</v>
      </c>
      <c r="AP12" s="38">
        <f>VLOOKUP(K12,'Coefficient Normal'!$A$10:$P$14,9,TRUE)</f>
        <v>5.3E-3</v>
      </c>
      <c r="AQ12" s="38">
        <f>VLOOKUP(K12,'Coefficient Normal'!$A$10:$P$14,10,TRUE)</f>
        <v>-4.8500000000000001E-2</v>
      </c>
      <c r="AR12" s="38">
        <f>VLOOKUP(K12,'Coefficient Normal'!$A$10:$P$14,11,TRUE)</f>
        <v>1.2999999999999999E-3</v>
      </c>
      <c r="AS12" s="38">
        <f>VLOOKUP(K12,'Coefficient Normal'!$A$10:$P$14,12,TRUE)</f>
        <v>-0.56599999999999995</v>
      </c>
      <c r="AT12" s="38">
        <f>VLOOKUP(K12,'Coefficient Normal'!$A$10:$P$14,13,TRUE)</f>
        <v>-3.2099999999999997E-2</v>
      </c>
      <c r="AU12" s="38">
        <f>VLOOKUP(K12,'Coefficient Normal'!$A$10:$P$14,14,TRUE)</f>
        <v>0.84970000000000001</v>
      </c>
      <c r="AV12" s="38">
        <f>VLOOKUP(K12,'Coefficient Normal'!$A$10:$P$14,15,TRUE)</f>
        <v>9.01E-2</v>
      </c>
      <c r="AW12" s="42">
        <f t="shared" si="16"/>
        <v>1</v>
      </c>
      <c r="AX12" s="42">
        <f t="shared" si="3"/>
        <v>1</v>
      </c>
      <c r="AY12" s="5">
        <f t="shared" si="17"/>
        <v>0</v>
      </c>
      <c r="AZ12" s="41">
        <f t="shared" si="18"/>
        <v>1.0163642607280992</v>
      </c>
      <c r="BA12" s="39">
        <v>0.59998680000000004</v>
      </c>
      <c r="BB12" s="40">
        <f t="shared" si="19"/>
        <v>-0.51084762400799422</v>
      </c>
      <c r="BC12" s="41">
        <f t="shared" si="20"/>
        <v>-0.45292149296569939</v>
      </c>
      <c r="BD12" s="41">
        <f t="shared" si="21"/>
        <v>-0.46033321836595004</v>
      </c>
      <c r="BE12" s="41">
        <f t="shared" si="22"/>
        <v>0.58459757498563147</v>
      </c>
      <c r="BF12" s="41">
        <f t="shared" si="23"/>
        <v>0</v>
      </c>
      <c r="BG12" s="41">
        <f t="shared" si="24"/>
        <v>1.930997935837153</v>
      </c>
      <c r="BH12" s="41">
        <f t="shared" si="25"/>
        <v>0.37235866539680262</v>
      </c>
      <c r="BI12" s="41">
        <f t="shared" si="26"/>
        <v>0.29992095785363715</v>
      </c>
      <c r="BJ12" s="43">
        <f t="shared" si="27"/>
        <v>1.3497521160551844</v>
      </c>
      <c r="BK12">
        <f>VLOOKUP(K12,'Coefficient Normal'!$A$10:$P$14,16,TRUE)</f>
        <v>0.50170000000000003</v>
      </c>
      <c r="BL12">
        <v>0.25</v>
      </c>
    </row>
    <row r="13" spans="1:64" s="40" customFormat="1" x14ac:dyDescent="0.25">
      <c r="A13" s="39">
        <v>11</v>
      </c>
      <c r="B13">
        <v>1.0668</v>
      </c>
      <c r="C13">
        <f t="shared" si="4"/>
        <v>1066.8</v>
      </c>
      <c r="D13" s="40">
        <v>9.5250000000000005E-3</v>
      </c>
      <c r="E13">
        <f t="shared" si="4"/>
        <v>9.5250000000000004</v>
      </c>
      <c r="F13" s="4">
        <f t="shared" si="5"/>
        <v>111.99999999999999</v>
      </c>
      <c r="G13" s="1">
        <v>100</v>
      </c>
      <c r="H13" s="10" t="s">
        <v>141</v>
      </c>
      <c r="I13" s="4">
        <f>100*IF(H13='Estimation Model Normal-Slip'!$J$8,'Estimation Model Normal-Slip'!$O$8,IF(H13='Estimation Model Normal-Slip'!$J$9,'Estimation Model Normal-Slip'!$O$9,IF(H13='Estimation Model Normal-Slip'!$J$10,'Estimation Model Normal-Slip'!$O$10,IF(H13='Estimation Model Normal-Slip'!$J$11,'Estimation Model Normal-Slip'!$O$11,IF(H13='Estimation Model Normal-Slip'!$J$12,'Estimation Model Normal-Slip'!$O$12,IF(H13='Estimation Model Normal-Slip'!$J$13,'Estimation Model Normal-Slip'!$O$13,2))))))</f>
        <v>2.7690517990613435</v>
      </c>
      <c r="J13" s="39">
        <f t="shared" si="0"/>
        <v>1.0185049507893496</v>
      </c>
      <c r="K13" s="1">
        <v>75</v>
      </c>
      <c r="L13" s="1" t="s">
        <v>15</v>
      </c>
      <c r="M13" t="s">
        <v>289</v>
      </c>
      <c r="N13">
        <f t="shared" si="6"/>
        <v>18</v>
      </c>
      <c r="O13" s="1">
        <f t="shared" si="7"/>
        <v>37</v>
      </c>
      <c r="P13">
        <f t="shared" si="8"/>
        <v>0</v>
      </c>
      <c r="Q13">
        <f t="shared" si="9"/>
        <v>0</v>
      </c>
      <c r="R13" s="1">
        <v>1</v>
      </c>
      <c r="S13" s="1">
        <f t="shared" si="10"/>
        <v>1.8</v>
      </c>
      <c r="T13">
        <f t="shared" si="11"/>
        <v>27.702835507590976</v>
      </c>
      <c r="U13">
        <f>IF(M13="medium dense",'Coefficient Normal'!$E$18 + ('Coefficient Normal'!$E$19*S13) + ('Coefficient Normal'!$E$20*(S13^2)) + ('Coefficient Normal'!$E$21*(S13^3)) + ('Coefficient Normal'!$E$22*(S13^4)),IF(M13="dense",'Coefficient Normal'!$F$18 + ('Coefficient Normal'!$F$19*S13) + ('Coefficient Normal'!$F$20*(S13^2)) + ('Coefficient Normal'!$F$21*(S13^3)) + ('Coefficient Normal'!$F$22*(S13^4)),IF(M13="very dense",'Coefficient Normal'!$G$18 + ('Coefficient Normal'!$G$19*S13) + ('Coefficient Normal'!$G$20*(S13^2)) + ('Coefficient Normal'!$G$21*(S13^3)) + ('Coefficient Normal'!$G$22*(S13^4)),0)))</f>
        <v>12.698394373823998</v>
      </c>
      <c r="V13">
        <f t="shared" si="12"/>
        <v>64.071522599936642</v>
      </c>
      <c r="W13">
        <f t="shared" si="13"/>
        <v>900.09607289656856</v>
      </c>
      <c r="X13" s="40">
        <f t="shared" si="14"/>
        <v>6.8025015052900386</v>
      </c>
      <c r="Y13" s="40">
        <f t="shared" si="1"/>
        <v>4.7184988712950942</v>
      </c>
      <c r="Z13" s="40">
        <f t="shared" si="2"/>
        <v>3.3215347728493456</v>
      </c>
      <c r="AA13" s="38">
        <f>VLOOKUP(K13,'Coefficient Normal'!$A$3:$H$7,2,TRUE)</f>
        <v>5.5951000000000004</v>
      </c>
      <c r="AB13" s="38">
        <f>VLOOKUP(K13,'Coefficient Normal'!$A$3:$H$7,3,TRUE)</f>
        <v>1.6E-2</v>
      </c>
      <c r="AC13" s="38">
        <f>VLOOKUP(K13,'Coefficient Normal'!$A$3:$H$7,4,TRUE)</f>
        <v>1.2641</v>
      </c>
      <c r="AD13" s="38">
        <f>VLOOKUP(K13,'Coefficient Normal'!$A$3:$H$7,5,TRUE)</f>
        <v>-0.52429999999999999</v>
      </c>
      <c r="AE13" s="38">
        <f>VLOOKUP(K13,'Coefficient Normal'!$A$3:$H$7,6,TRUE)</f>
        <v>0.35830000000000001</v>
      </c>
      <c r="AF13" s="38">
        <f>VLOOKUP(K13,'Coefficient Normal'!$A$3:$H$7,7,TRUE)</f>
        <v>-0.35920000000000002</v>
      </c>
      <c r="AG13" s="38">
        <f>VLOOKUP(K13,'Coefficient Normal'!$A$3:$H$7,8,TRUE)</f>
        <v>-0.2482</v>
      </c>
      <c r="AH13" s="41">
        <f t="shared" si="15"/>
        <v>0.37368176449727208</v>
      </c>
      <c r="AI13" s="38">
        <f>VLOOKUP(K13,'Coefficient Normal'!$A$10:$P$14,2,TRUE)</f>
        <v>-2.3450000000000002</v>
      </c>
      <c r="AJ13" s="38">
        <f>VLOOKUP(K13,'Coefficient Normal'!$A$10:$P$14,3,TRUE)</f>
        <v>0.19470000000000001</v>
      </c>
      <c r="AK13" s="38">
        <f>VLOOKUP(K13,'Coefficient Normal'!$A$10:$P$14,4,TRUE)</f>
        <v>-0.2044</v>
      </c>
      <c r="AL13" s="38">
        <f>VLOOKUP(K13,'Coefficient Normal'!$A$10:$P$14,5,TRUE)</f>
        <v>0.4143</v>
      </c>
      <c r="AM13" s="38">
        <f>VLOOKUP(K13,'Coefficient Normal'!$A$10:$P$14,6,TRUE)</f>
        <v>-0.55710000000000004</v>
      </c>
      <c r="AN13" s="38">
        <f>VLOOKUP(K13,'Coefficient Normal'!$A$10:$P$14,7,TRUE)</f>
        <v>1.0931</v>
      </c>
      <c r="AO13" s="38">
        <f>VLOOKUP(K13,'Coefficient Normal'!$A$10:$P$14,8,TRUE)</f>
        <v>1E-4</v>
      </c>
      <c r="AP13" s="38">
        <f>VLOOKUP(K13,'Coefficient Normal'!$A$10:$P$14,9,TRUE)</f>
        <v>3.5000000000000001E-3</v>
      </c>
      <c r="AQ13" s="38">
        <f>VLOOKUP(K13,'Coefficient Normal'!$A$10:$P$14,10,TRUE)</f>
        <v>-4.07E-2</v>
      </c>
      <c r="AR13" s="38">
        <f>VLOOKUP(K13,'Coefficient Normal'!$A$10:$P$14,11,TRUE)</f>
        <v>1.6000000000000001E-3</v>
      </c>
      <c r="AS13" s="38">
        <f>VLOOKUP(K13,'Coefficient Normal'!$A$10:$P$14,12,TRUE)</f>
        <v>-0.65949999999999998</v>
      </c>
      <c r="AT13" s="38">
        <f>VLOOKUP(K13,'Coefficient Normal'!$A$10:$P$14,13,TRUE)</f>
        <v>-3.0099999999999998E-2</v>
      </c>
      <c r="AU13" s="38">
        <f>VLOOKUP(K13,'Coefficient Normal'!$A$10:$P$14,14,TRUE)</f>
        <v>0.84219999999999995</v>
      </c>
      <c r="AV13" s="38">
        <f>VLOOKUP(K13,'Coefficient Normal'!$A$10:$P$14,15,TRUE)</f>
        <v>0.50680000000000003</v>
      </c>
      <c r="AW13" s="42">
        <f t="shared" si="16"/>
        <v>1</v>
      </c>
      <c r="AX13" s="42">
        <f t="shared" si="3"/>
        <v>0</v>
      </c>
      <c r="AY13" s="5">
        <f t="shared" si="17"/>
        <v>1</v>
      </c>
      <c r="AZ13" s="41">
        <f>AW13 * (AN13+AO13*T13 + AP13*AX13*(G13-100) + AQ13*(1-AX13) + AR13*F13) + (1-AW13) * (AS13 + AT13*AX13*(G13-100) + AU13*(1-AX13) + AV13*J13)</f>
        <v>1.2343702835507591</v>
      </c>
      <c r="BA13" s="39">
        <v>0.74998350000000003</v>
      </c>
      <c r="BB13" s="40">
        <f t="shared" si="19"/>
        <v>-0.28770407269378445</v>
      </c>
      <c r="BC13" s="41">
        <f t="shared" si="20"/>
        <v>-0.66138583719105659</v>
      </c>
      <c r="BD13" s="41">
        <f t="shared" si="21"/>
        <v>-0.81639502338998071</v>
      </c>
      <c r="BE13" s="41">
        <f t="shared" si="22"/>
        <v>0.91869173024115491</v>
      </c>
      <c r="BF13" s="41">
        <f t="shared" si="23"/>
        <v>-0.67892170757040626</v>
      </c>
      <c r="BG13" s="41">
        <f t="shared" si="24"/>
        <v>2.8182763736416629</v>
      </c>
      <c r="BH13" s="41">
        <f t="shared" si="25"/>
        <v>-3.6024043273759798E-2</v>
      </c>
      <c r="BI13" s="41">
        <f>AI13+BD13+BE13+BF13+BG13+BH13</f>
        <v>-0.13937267035132878</v>
      </c>
      <c r="BJ13" s="43">
        <f t="shared" si="27"/>
        <v>0.86990378069566643</v>
      </c>
      <c r="BK13">
        <f>VLOOKUP(K13,'Coefficient Normal'!$A$10:$P$14,16,TRUE)</f>
        <v>0.43780000000000002</v>
      </c>
      <c r="BL13">
        <v>0.25</v>
      </c>
    </row>
    <row r="14" spans="1:64" x14ac:dyDescent="0.25">
      <c r="A14" s="1">
        <v>12</v>
      </c>
      <c r="B14">
        <v>0.60960000000000003</v>
      </c>
      <c r="C14">
        <f t="shared" si="4"/>
        <v>609.6</v>
      </c>
      <c r="D14">
        <v>9.5250000000000005E-3</v>
      </c>
      <c r="E14">
        <f t="shared" si="4"/>
        <v>9.5250000000000004</v>
      </c>
      <c r="F14" s="4">
        <f t="shared" si="5"/>
        <v>64</v>
      </c>
      <c r="G14" s="1">
        <v>300</v>
      </c>
      <c r="H14" s="10" t="s">
        <v>142</v>
      </c>
      <c r="I14" s="4">
        <f>100*IF(H14='Estimation Model Normal-Slip'!$J$8,'Estimation Model Normal-Slip'!$O$8,IF(H14='Estimation Model Normal-Slip'!$J$9,'Estimation Model Normal-Slip'!$O$9,IF(H14='Estimation Model Normal-Slip'!$J$10,'Estimation Model Normal-Slip'!$O$10,IF(H14='Estimation Model Normal-Slip'!$J$11,'Estimation Model Normal-Slip'!$O$11,IF(H14='Estimation Model Normal-Slip'!$J$12,'Estimation Model Normal-Slip'!$O$12,IF(H14='Estimation Model Normal-Slip'!$J$13,'Estimation Model Normal-Slip'!$O$13,2))))))</f>
        <v>2.8464933991254466</v>
      </c>
      <c r="J14" s="1">
        <f t="shared" si="0"/>
        <v>1.04608785046215</v>
      </c>
      <c r="K14" s="1">
        <v>90</v>
      </c>
      <c r="L14" s="1" t="s">
        <v>15</v>
      </c>
      <c r="M14" t="s">
        <v>290</v>
      </c>
      <c r="N14">
        <f t="shared" si="6"/>
        <v>18.5</v>
      </c>
      <c r="O14" s="1">
        <f t="shared" si="7"/>
        <v>40</v>
      </c>
      <c r="P14">
        <f t="shared" si="8"/>
        <v>0</v>
      </c>
      <c r="Q14">
        <f t="shared" si="9"/>
        <v>0</v>
      </c>
      <c r="R14" s="1">
        <v>1.2</v>
      </c>
      <c r="S14" s="1">
        <f t="shared" si="10"/>
        <v>1.9685039370078738</v>
      </c>
      <c r="T14">
        <f t="shared" si="11"/>
        <v>20.961707970678525</v>
      </c>
      <c r="U14">
        <f>IF(M14="medium dense",'Coefficient Normal'!$E$18 + ('Coefficient Normal'!$E$19*S14) + ('Coefficient Normal'!$E$20*(S14^2)) + ('Coefficient Normal'!$E$21*(S14^3)) + ('Coefficient Normal'!$E$22*(S14^4)),IF(M14="dense",'Coefficient Normal'!$F$18 + ('Coefficient Normal'!$F$19*S14) + ('Coefficient Normal'!$F$20*(S14^2)) + ('Coefficient Normal'!$F$21*(S14^3)) + ('Coefficient Normal'!$F$22*(S14^4)),IF(M14="very dense",'Coefficient Normal'!$G$18 + ('Coefficient Normal'!$G$19*S14) + ('Coefficient Normal'!$G$20*(S14^2)) + ('Coefficient Normal'!$G$21*(S14^3)) + ('Coefficient Normal'!$G$22*(S14^4)),0)))</f>
        <v>15.896480151009957</v>
      </c>
      <c r="V14">
        <f t="shared" si="12"/>
        <v>80</v>
      </c>
      <c r="W14">
        <f t="shared" si="13"/>
        <v>490.12197186123592</v>
      </c>
      <c r="X14">
        <f t="shared" si="14"/>
        <v>6.1946542822944775</v>
      </c>
      <c r="Y14">
        <f t="shared" si="1"/>
        <v>4.1588830833596715</v>
      </c>
      <c r="Z14">
        <f t="shared" si="2"/>
        <v>3.0426973432836371</v>
      </c>
      <c r="AA14" s="38">
        <f>VLOOKUP(K14,'Coefficient Normal'!$A$3:$H$7,2,TRUE)</f>
        <v>14.575100000000001</v>
      </c>
      <c r="AB14" s="38">
        <f>VLOOKUP(K14,'Coefficient Normal'!$A$3:$H$7,3,TRUE)</f>
        <v>0.1356</v>
      </c>
      <c r="AC14" s="38">
        <f>VLOOKUP(K14,'Coefficient Normal'!$A$3:$H$7,4,TRUE)</f>
        <v>2.9990000000000001</v>
      </c>
      <c r="AD14" s="38">
        <f>VLOOKUP(K14,'Coefficient Normal'!$A$3:$H$7,5,TRUE)</f>
        <v>-0.94710000000000005</v>
      </c>
      <c r="AE14" s="38">
        <f>VLOOKUP(K14,'Coefficient Normal'!$A$3:$H$7,6,TRUE)</f>
        <v>0.6603</v>
      </c>
      <c r="AF14" s="38">
        <f>VLOOKUP(K14,'Coefficient Normal'!$A$3:$H$7,7,TRUE)</f>
        <v>-1.2488999999999999</v>
      </c>
      <c r="AG14" s="38">
        <f>VLOOKUP(K14,'Coefficient Normal'!$A$3:$H$7,8,TRUE)</f>
        <v>-0.44140000000000001</v>
      </c>
      <c r="AH14" s="38">
        <f t="shared" si="15"/>
        <v>1.5364743309361317</v>
      </c>
      <c r="AI14" s="38">
        <f>VLOOKUP(K14,'Coefficient Normal'!$A$10:$P$14,2,TRUE)</f>
        <v>5.1353999999999997</v>
      </c>
      <c r="AJ14" s="38">
        <f>VLOOKUP(K14,'Coefficient Normal'!$A$10:$P$14,3,TRUE)</f>
        <v>-4.9599999999999998E-2</v>
      </c>
      <c r="AK14" s="38">
        <f>VLOOKUP(K14,'Coefficient Normal'!$A$10:$P$14,4,TRUE)</f>
        <v>0.44590000000000002</v>
      </c>
      <c r="AL14" s="38">
        <f>VLOOKUP(K14,'Coefficient Normal'!$A$10:$P$14,5,TRUE)</f>
        <v>-0.83709999999999996</v>
      </c>
      <c r="AM14" s="38">
        <f>VLOOKUP(K14,'Coefficient Normal'!$A$10:$P$14,6,TRUE)</f>
        <v>0.63090000000000002</v>
      </c>
      <c r="AN14" s="38">
        <f>VLOOKUP(K14,'Coefficient Normal'!$A$10:$P$14,7,TRUE)</f>
        <v>0.91390000000000005</v>
      </c>
      <c r="AO14" s="38">
        <f>VLOOKUP(K14,'Coefficient Normal'!$A$10:$P$14,8,TRUE)</f>
        <v>2.5000000000000001E-3</v>
      </c>
      <c r="AP14" s="38">
        <f>VLOOKUP(K14,'Coefficient Normal'!$A$10:$P$14,9,TRUE)</f>
        <v>1.6000000000000001E-3</v>
      </c>
      <c r="AQ14" s="38">
        <f>VLOOKUP(K14,'Coefficient Normal'!$A$10:$P$14,10,TRUE)</f>
        <v>-9.7500000000000003E-2</v>
      </c>
      <c r="AR14" s="38">
        <f>VLOOKUP(K14,'Coefficient Normal'!$A$10:$P$14,11,TRUE)</f>
        <v>1.1999999999999999E-3</v>
      </c>
      <c r="AS14" s="38">
        <f>VLOOKUP(K14,'Coefficient Normal'!$A$10:$P$14,12,TRUE)</f>
        <v>0.46479999999999999</v>
      </c>
      <c r="AT14" s="38">
        <f>VLOOKUP(K14,'Coefficient Normal'!$A$10:$P$14,13,TRUE)</f>
        <v>8.0000000000000004E-4</v>
      </c>
      <c r="AU14" s="38">
        <f>VLOOKUP(K14,'Coefficient Normal'!$A$10:$P$14,14,TRUE)</f>
        <v>6.7900000000000002E-2</v>
      </c>
      <c r="AV14" s="38">
        <f>VLOOKUP(K14,'Coefficient Normal'!$A$10:$P$14,15,TRUE)</f>
        <v>0.58979999999999999</v>
      </c>
      <c r="AW14" s="5">
        <f t="shared" si="16"/>
        <v>1</v>
      </c>
      <c r="AX14" s="5">
        <f t="shared" si="3"/>
        <v>0</v>
      </c>
      <c r="AY14" s="5">
        <f t="shared" si="17"/>
        <v>1</v>
      </c>
      <c r="AZ14" s="38">
        <f t="shared" si="18"/>
        <v>0.94560426992669633</v>
      </c>
      <c r="BA14" s="1">
        <v>2.75</v>
      </c>
      <c r="BB14">
        <f t="shared" si="19"/>
        <v>1.0116009116784799</v>
      </c>
      <c r="BC14" s="38">
        <f t="shared" si="20"/>
        <v>-0.52487341925765185</v>
      </c>
      <c r="BD14" s="38">
        <f t="shared" si="21"/>
        <v>-0.49632254642106066</v>
      </c>
      <c r="BE14" s="38">
        <f t="shared" si="22"/>
        <v>-0.20628060093463971</v>
      </c>
      <c r="BF14" s="38">
        <f t="shared" si="23"/>
        <v>1.3567387453701738</v>
      </c>
      <c r="BG14" s="38">
        <f t="shared" si="24"/>
        <v>-5.1855450997087065</v>
      </c>
      <c r="BH14" s="38">
        <f t="shared" si="25"/>
        <v>-0.31226539005126003</v>
      </c>
      <c r="BI14" s="38">
        <f t="shared" si="26"/>
        <v>0.29172510825450687</v>
      </c>
      <c r="BJ14" s="3">
        <f t="shared" si="27"/>
        <v>1.3387349598637197</v>
      </c>
      <c r="BK14">
        <f>VLOOKUP(K14,'Coefficient Normal'!$A$10:$P$14,16,TRUE)</f>
        <v>0.34749999999999998</v>
      </c>
      <c r="BL14">
        <v>0.25</v>
      </c>
    </row>
    <row r="15" spans="1:64" x14ac:dyDescent="0.25">
      <c r="A15" s="1">
        <v>13</v>
      </c>
      <c r="B15">
        <v>0.40960000000000002</v>
      </c>
      <c r="C15">
        <f t="shared" si="4"/>
        <v>409.6</v>
      </c>
      <c r="D15">
        <v>9.5250000000000005E-3</v>
      </c>
      <c r="E15">
        <f t="shared" si="4"/>
        <v>9.5250000000000004</v>
      </c>
      <c r="F15" s="4">
        <f t="shared" si="5"/>
        <v>43.00262467191601</v>
      </c>
      <c r="G15" s="1">
        <v>30</v>
      </c>
      <c r="H15" s="10" t="s">
        <v>139</v>
      </c>
      <c r="I15" s="4">
        <f>100*IF(H15='Estimation Model Normal-Slip'!$J$8,'Estimation Model Normal-Slip'!$O$8,IF(H15='Estimation Model Normal-Slip'!$J$9,'Estimation Model Normal-Slip'!$O$9,IF(H15='Estimation Model Normal-Slip'!$J$10,'Estimation Model Normal-Slip'!$O$10,IF(H15='Estimation Model Normal-Slip'!$J$11,'Estimation Model Normal-Slip'!$O$11,IF(H15='Estimation Model Normal-Slip'!$J$12,'Estimation Model Normal-Slip'!$O$12,IF(H15='Estimation Model Normal-Slip'!$J$13,'Estimation Model Normal-Slip'!$O$13,2))))))</f>
        <v>1.9041242414694344</v>
      </c>
      <c r="J15" s="1">
        <f t="shared" si="0"/>
        <v>0.6440221871128996</v>
      </c>
      <c r="K15" s="1">
        <v>45</v>
      </c>
      <c r="L15" s="1" t="s">
        <v>15</v>
      </c>
      <c r="M15" t="s">
        <v>292</v>
      </c>
      <c r="N15">
        <f t="shared" si="6"/>
        <v>19</v>
      </c>
      <c r="O15" s="1">
        <f t="shared" si="7"/>
        <v>43</v>
      </c>
      <c r="P15">
        <f t="shared" si="8"/>
        <v>0</v>
      </c>
      <c r="Q15">
        <f t="shared" si="9"/>
        <v>0</v>
      </c>
      <c r="R15" s="1">
        <v>0.78739999999999999</v>
      </c>
      <c r="S15" s="1">
        <f t="shared" si="10"/>
        <v>1.9223632812499998</v>
      </c>
      <c r="T15">
        <f t="shared" si="11"/>
        <v>10.16387240559092</v>
      </c>
      <c r="U15">
        <f>IF(M15="medium dense",'Coefficient Normal'!$E$18 + ('Coefficient Normal'!$E$19*S15) + ('Coefficient Normal'!$E$20*(S15^2)) + ('Coefficient Normal'!$E$21*(S15^3)) + ('Coefficient Normal'!$E$22*(S15^4)),IF(M15="dense",'Coefficient Normal'!$F$18 + ('Coefficient Normal'!$F$19*S15) + ('Coefficient Normal'!$F$20*(S15^2)) + ('Coefficient Normal'!$F$21*(S15^3)) + ('Coefficient Normal'!$F$22*(S15^4)),IF(M15="very dense",'Coefficient Normal'!$G$18 + ('Coefficient Normal'!$G$19*S15) + ('Coefficient Normal'!$G$20*(S15^2)) + ('Coefficient Normal'!$G$21*(S15^3)) + ('Coefficient Normal'!$G$22*(S15^4)),0)))</f>
        <v>18.720510313797256</v>
      </c>
      <c r="V15">
        <f t="shared" si="12"/>
        <v>80</v>
      </c>
      <c r="W15">
        <f t="shared" si="13"/>
        <v>242.22354087960383</v>
      </c>
      <c r="X15">
        <f t="shared" si="14"/>
        <v>5.4898610224304614</v>
      </c>
      <c r="Y15">
        <f t="shared" si="1"/>
        <v>3.7612611527125335</v>
      </c>
      <c r="Z15">
        <f t="shared" si="2"/>
        <v>2.3188395118166376</v>
      </c>
      <c r="AA15" s="38">
        <f>VLOOKUP(K15,'Coefficient Normal'!$A$3:$H$7,2,TRUE)</f>
        <v>3.7532999999999999</v>
      </c>
      <c r="AB15" s="38">
        <f>VLOOKUP(K15,'Coefficient Normal'!$A$3:$H$7,3,TRUE)</f>
        <v>0.14510000000000001</v>
      </c>
      <c r="AC15" s="38">
        <f>VLOOKUP(K15,'Coefficient Normal'!$A$3:$H$7,4,TRUE)</f>
        <v>1.2497</v>
      </c>
      <c r="AD15" s="38">
        <f>VLOOKUP(K15,'Coefficient Normal'!$A$3:$H$7,5,TRUE)</f>
        <v>-0.46100000000000002</v>
      </c>
      <c r="AE15" s="38">
        <f>VLOOKUP(K15,'Coefficient Normal'!$A$3:$H$7,6,TRUE)</f>
        <v>0.39140000000000003</v>
      </c>
      <c r="AF15" s="38">
        <f>VLOOKUP(K15,'Coefficient Normal'!$A$3:$H$7,7,TRUE)</f>
        <v>-0.21310000000000001</v>
      </c>
      <c r="AG15" s="38">
        <f>VLOOKUP(K15,'Coefficient Normal'!$A$3:$H$7,8,TRUE)</f>
        <v>-0.34139999999999998</v>
      </c>
      <c r="AH15" s="38">
        <f t="shared" si="15"/>
        <v>-0.3120485448089132</v>
      </c>
      <c r="AI15" s="38">
        <f>VLOOKUP(K15,'Coefficient Normal'!$A$10:$P$14,2,TRUE)</f>
        <v>-1.1082000000000001</v>
      </c>
      <c r="AJ15" s="38">
        <f>VLOOKUP(K15,'Coefficient Normal'!$A$10:$P$14,3,TRUE)</f>
        <v>0.10630000000000001</v>
      </c>
      <c r="AK15" s="38">
        <f>VLOOKUP(K15,'Coefficient Normal'!$A$10:$P$14,4,TRUE)</f>
        <v>-0.1439</v>
      </c>
      <c r="AL15" s="38">
        <f>VLOOKUP(K15,'Coefficient Normal'!$A$10:$P$14,5,TRUE)</f>
        <v>0.27879999999999999</v>
      </c>
      <c r="AM15" s="38">
        <f>VLOOKUP(K15,'Coefficient Normal'!$A$10:$P$14,6,TRUE)</f>
        <v>-0.31030000000000002</v>
      </c>
      <c r="AN15" s="38">
        <f>VLOOKUP(K15,'Coefficient Normal'!$A$10:$P$14,7,TRUE)</f>
        <v>1.2553000000000001</v>
      </c>
      <c r="AO15" s="38">
        <f>VLOOKUP(K15,'Coefficient Normal'!$A$10:$P$14,8,TRUE)</f>
        <v>2.9999999999999997E-4</v>
      </c>
      <c r="AP15" s="38">
        <f>VLOOKUP(K15,'Coefficient Normal'!$A$10:$P$14,9,TRUE)</f>
        <v>5.1999999999999998E-3</v>
      </c>
      <c r="AQ15" s="38">
        <f>VLOOKUP(K15,'Coefficient Normal'!$A$10:$P$14,10,TRUE)</f>
        <v>-8.5900000000000004E-2</v>
      </c>
      <c r="AR15" s="38">
        <f>VLOOKUP(K15,'Coefficient Normal'!$A$10:$P$14,11,TRUE)</f>
        <v>5.9999999999999995E-4</v>
      </c>
      <c r="AS15" s="38">
        <f>VLOOKUP(K15,'Coefficient Normal'!$A$10:$P$14,12,TRUE)</f>
        <v>-0.21759999999999999</v>
      </c>
      <c r="AT15" s="38">
        <f>VLOOKUP(K15,'Coefficient Normal'!$A$10:$P$14,13,TRUE)</f>
        <v>-2.69E-2</v>
      </c>
      <c r="AU15" s="38">
        <f>VLOOKUP(K15,'Coefficient Normal'!$A$10:$P$14,14,TRUE)</f>
        <v>0.57389999999999997</v>
      </c>
      <c r="AV15" s="38">
        <f>VLOOKUP(K15,'Coefficient Normal'!$A$10:$P$14,15,TRUE)</f>
        <v>0.34460000000000002</v>
      </c>
      <c r="AW15" s="5">
        <f t="shared" si="16"/>
        <v>0</v>
      </c>
      <c r="AX15" s="5">
        <f t="shared" si="3"/>
        <v>1</v>
      </c>
      <c r="AY15" s="5">
        <f t="shared" si="17"/>
        <v>1</v>
      </c>
      <c r="AZ15" s="38">
        <f t="shared" si="18"/>
        <v>1.8873300456791051</v>
      </c>
      <c r="BA15" s="1">
        <v>3</v>
      </c>
      <c r="BB15">
        <f t="shared" si="19"/>
        <v>1.0986122886681098</v>
      </c>
      <c r="BC15" s="38">
        <f t="shared" si="20"/>
        <v>1.410660833477023</v>
      </c>
      <c r="BD15" s="38">
        <f t="shared" si="21"/>
        <v>2.6623825752839143</v>
      </c>
      <c r="BE15" s="38">
        <f t="shared" si="22"/>
        <v>0.39982206053334235</v>
      </c>
      <c r="BF15" s="38">
        <f t="shared" si="23"/>
        <v>-0.33368100575041415</v>
      </c>
      <c r="BG15" s="38">
        <f t="shared" si="24"/>
        <v>1.5305732530536127</v>
      </c>
      <c r="BH15" s="38">
        <f t="shared" si="25"/>
        <v>0.27696577589119714</v>
      </c>
      <c r="BI15" s="38">
        <f t="shared" si="26"/>
        <v>3.4278626590116521</v>
      </c>
      <c r="BJ15" s="3">
        <f t="shared" si="27"/>
        <v>30.810719311075388</v>
      </c>
      <c r="BK15">
        <f>VLOOKUP(K15,'Coefficient Normal'!$A$10:$P$14,16,TRUE)</f>
        <v>0.3997</v>
      </c>
      <c r="BL15">
        <v>0.25</v>
      </c>
    </row>
    <row r="16" spans="1:64" x14ac:dyDescent="0.25">
      <c r="A16" s="1">
        <v>14</v>
      </c>
      <c r="B16">
        <v>0.89600000000000002</v>
      </c>
      <c r="C16">
        <f t="shared" si="4"/>
        <v>896</v>
      </c>
      <c r="D16">
        <v>9.5250000000000005E-3</v>
      </c>
      <c r="E16">
        <f t="shared" si="4"/>
        <v>9.5250000000000004</v>
      </c>
      <c r="F16" s="4">
        <f t="shared" si="5"/>
        <v>94.068241469816272</v>
      </c>
      <c r="G16" s="1">
        <v>50</v>
      </c>
      <c r="H16" s="10" t="s">
        <v>140</v>
      </c>
      <c r="I16" s="4">
        <f>100*IF(H16='Estimation Model Normal-Slip'!$J$8,'Estimation Model Normal-Slip'!$O$8,IF(H16='Estimation Model Normal-Slip'!$J$9,'Estimation Model Normal-Slip'!$O$9,IF(H16='Estimation Model Normal-Slip'!$J$10,'Estimation Model Normal-Slip'!$O$10,IF(H16='Estimation Model Normal-Slip'!$J$11,'Estimation Model Normal-Slip'!$O$11,IF(H16='Estimation Model Normal-Slip'!$J$12,'Estimation Model Normal-Slip'!$O$12,IF(H16='Estimation Model Normal-Slip'!$J$13,'Estimation Model Normal-Slip'!$O$13,2))))))</f>
        <v>2.4313344008036557</v>
      </c>
      <c r="J16" s="1">
        <f t="shared" si="0"/>
        <v>0.88844024276557709</v>
      </c>
      <c r="K16" s="1">
        <v>60</v>
      </c>
      <c r="L16" s="1" t="s">
        <v>15</v>
      </c>
      <c r="M16" t="s">
        <v>289</v>
      </c>
      <c r="N16">
        <f t="shared" si="6"/>
        <v>18</v>
      </c>
      <c r="O16" s="1">
        <f t="shared" si="7"/>
        <v>37</v>
      </c>
      <c r="P16">
        <f t="shared" si="8"/>
        <v>0</v>
      </c>
      <c r="Q16">
        <f t="shared" si="9"/>
        <v>0</v>
      </c>
      <c r="R16" s="1">
        <v>1</v>
      </c>
      <c r="S16" s="1">
        <f t="shared" si="10"/>
        <v>1.8</v>
      </c>
      <c r="T16">
        <f t="shared" si="11"/>
        <v>23.267473392202394</v>
      </c>
      <c r="U16">
        <f>IF(M16="medium dense",'Coefficient Normal'!$E$18 + ('Coefficient Normal'!$E$19*S16) + ('Coefficient Normal'!$E$20*(S16^2)) + ('Coefficient Normal'!$E$21*(S16^3)) + ('Coefficient Normal'!$E$22*(S16^4)),IF(M16="dense",'Coefficient Normal'!$F$18 + ('Coefficient Normal'!$F$19*S16) + ('Coefficient Normal'!$F$20*(S16^2)) + ('Coefficient Normal'!$F$21*(S16^3)) + ('Coefficient Normal'!$F$22*(S16^4)),IF(M16="very dense",'Coefficient Normal'!$G$18 + ('Coefficient Normal'!$G$19*S16) + ('Coefficient Normal'!$G$20*(S16^2)) + ('Coefficient Normal'!$G$21*(S16^3)) + ('Coefficient Normal'!$G$22*(S16^4)),0)))</f>
        <v>12.698394373823998</v>
      </c>
      <c r="V16">
        <f t="shared" si="12"/>
        <v>64.071522599936642</v>
      </c>
      <c r="W16">
        <f t="shared" si="13"/>
        <v>667.7384958493501</v>
      </c>
      <c r="X16">
        <f t="shared" si="14"/>
        <v>6.5038966236115616</v>
      </c>
      <c r="Y16">
        <f t="shared" si="1"/>
        <v>4.5440204919621658</v>
      </c>
      <c r="Z16">
        <f t="shared" si="2"/>
        <v>3.1470563935164169</v>
      </c>
      <c r="AA16" s="38">
        <f>VLOOKUP(K16,'Coefficient Normal'!$A$3:$H$7,2,TRUE)</f>
        <v>4.3182999999999998</v>
      </c>
      <c r="AB16" s="38">
        <f>VLOOKUP(K16,'Coefficient Normal'!$A$3:$H$7,3,TRUE)</f>
        <v>-2.7900000000000001E-2</v>
      </c>
      <c r="AC16" s="38">
        <f>VLOOKUP(K16,'Coefficient Normal'!$A$3:$H$7,4,TRUE)</f>
        <v>1.0497000000000001</v>
      </c>
      <c r="AD16" s="38">
        <f>VLOOKUP(K16,'Coefficient Normal'!$A$3:$H$7,5,TRUE)</f>
        <v>-0.46910000000000002</v>
      </c>
      <c r="AE16" s="38">
        <f>VLOOKUP(K16,'Coefficient Normal'!$A$3:$H$7,6,TRUE)</f>
        <v>0.29149999999999998</v>
      </c>
      <c r="AF16" s="38">
        <f>VLOOKUP(K16,'Coefficient Normal'!$A$3:$H$7,7,TRUE)</f>
        <v>-0.28610000000000002</v>
      </c>
      <c r="AG16" s="38">
        <f>VLOOKUP(K16,'Coefficient Normal'!$A$3:$H$7,8,TRUE)</f>
        <v>-0.1348</v>
      </c>
      <c r="AH16" s="38">
        <f t="shared" si="15"/>
        <v>-6.3725814573776629E-2</v>
      </c>
      <c r="AI16" s="38">
        <f>VLOOKUP(K16,'Coefficient Normal'!$A$10:$P$14,2,TRUE)</f>
        <v>-2.1276999999999999</v>
      </c>
      <c r="AJ16" s="38">
        <f>VLOOKUP(K16,'Coefficient Normal'!$A$10:$P$14,3,TRUE)</f>
        <v>0.14760000000000001</v>
      </c>
      <c r="AK16" s="38">
        <f>VLOOKUP(K16,'Coefficient Normal'!$A$10:$P$14,4,TRUE)</f>
        <v>-0.21829999999999999</v>
      </c>
      <c r="AL16" s="38">
        <f>VLOOKUP(K16,'Coefficient Normal'!$A$10:$P$14,5,TRUE)</f>
        <v>0.42270000000000002</v>
      </c>
      <c r="AM16" s="38">
        <f>VLOOKUP(K16,'Coefficient Normal'!$A$10:$P$14,6,TRUE)</f>
        <v>-0.53720000000000001</v>
      </c>
      <c r="AN16" s="38">
        <f>VLOOKUP(K16,'Coefficient Normal'!$A$10:$P$14,7,TRUE)</f>
        <v>1.252</v>
      </c>
      <c r="AO16" s="38">
        <f>VLOOKUP(K16,'Coefficient Normal'!$A$10:$P$14,8,TRUE)</f>
        <v>-5.9999999999999995E-4</v>
      </c>
      <c r="AP16" s="38">
        <f>VLOOKUP(K16,'Coefficient Normal'!$A$10:$P$14,9,TRUE)</f>
        <v>5.3E-3</v>
      </c>
      <c r="AQ16" s="38">
        <f>VLOOKUP(K16,'Coefficient Normal'!$A$10:$P$14,10,TRUE)</f>
        <v>-4.8500000000000001E-2</v>
      </c>
      <c r="AR16" s="38">
        <f>VLOOKUP(K16,'Coefficient Normal'!$A$10:$P$14,11,TRUE)</f>
        <v>1.2999999999999999E-3</v>
      </c>
      <c r="AS16" s="38">
        <f>VLOOKUP(K16,'Coefficient Normal'!$A$10:$P$14,12,TRUE)</f>
        <v>-0.56599999999999995</v>
      </c>
      <c r="AT16" s="38">
        <f>VLOOKUP(K16,'Coefficient Normal'!$A$10:$P$14,13,TRUE)</f>
        <v>-3.2099999999999997E-2</v>
      </c>
      <c r="AU16" s="38">
        <f>VLOOKUP(K16,'Coefficient Normal'!$A$10:$P$14,14,TRUE)</f>
        <v>0.84970000000000001</v>
      </c>
      <c r="AV16" s="38">
        <f>VLOOKUP(K16,'Coefficient Normal'!$A$10:$P$14,15,TRUE)</f>
        <v>9.01E-2</v>
      </c>
      <c r="AW16" s="5">
        <f t="shared" si="16"/>
        <v>1</v>
      </c>
      <c r="AX16" s="5">
        <f t="shared" si="3"/>
        <v>1</v>
      </c>
      <c r="AY16" s="5">
        <f t="shared" si="17"/>
        <v>1</v>
      </c>
      <c r="AZ16" s="38">
        <f t="shared" si="18"/>
        <v>1.0953282298754399</v>
      </c>
      <c r="BA16" s="1">
        <v>0.2</v>
      </c>
      <c r="BB16">
        <f t="shared" si="19"/>
        <v>-1.6094379124341003</v>
      </c>
      <c r="BC16" s="38">
        <f t="shared" si="20"/>
        <v>-1.5457120978603236</v>
      </c>
      <c r="BD16" s="38">
        <f t="shared" si="21"/>
        <v>-1.6930620960464009</v>
      </c>
      <c r="BE16" s="38">
        <f t="shared" si="22"/>
        <v>0.6706974246136157</v>
      </c>
      <c r="BF16" s="38">
        <f t="shared" si="23"/>
        <v>-0.68700241070463375</v>
      </c>
      <c r="BG16" s="38">
        <f t="shared" si="24"/>
        <v>2.7491971028006073</v>
      </c>
      <c r="BH16" s="38">
        <f t="shared" si="25"/>
        <v>5.8992546019071369E-2</v>
      </c>
      <c r="BI16" s="38">
        <f t="shared" si="26"/>
        <v>-1.0288774333177402</v>
      </c>
      <c r="BJ16" s="3">
        <f t="shared" si="27"/>
        <v>0.35740794971483553</v>
      </c>
      <c r="BK16">
        <f>VLOOKUP(K16,'Coefficient Normal'!$A$10:$P$14,16,TRUE)</f>
        <v>0.50170000000000003</v>
      </c>
      <c r="BL16">
        <v>0.25</v>
      </c>
    </row>
    <row r="17" spans="1:64" x14ac:dyDescent="0.25">
      <c r="A17" s="1">
        <v>15</v>
      </c>
      <c r="B17">
        <v>0.5</v>
      </c>
      <c r="C17">
        <f t="shared" si="4"/>
        <v>500</v>
      </c>
      <c r="D17">
        <v>9.5250000000000005E-3</v>
      </c>
      <c r="E17">
        <f t="shared" si="4"/>
        <v>9.5250000000000004</v>
      </c>
      <c r="F17" s="4">
        <f t="shared" si="5"/>
        <v>52.493438320209975</v>
      </c>
      <c r="G17" s="1">
        <v>100</v>
      </c>
      <c r="H17" s="10" t="s">
        <v>141</v>
      </c>
      <c r="I17" s="4">
        <f>100*IF(H17='Estimation Model Normal-Slip'!$J$8,'Estimation Model Normal-Slip'!$O$8,IF(H17='Estimation Model Normal-Slip'!$J$9,'Estimation Model Normal-Slip'!$O$9,IF(H17='Estimation Model Normal-Slip'!$J$10,'Estimation Model Normal-Slip'!$O$10,IF(H17='Estimation Model Normal-Slip'!$J$11,'Estimation Model Normal-Slip'!$O$11,IF(H17='Estimation Model Normal-Slip'!$J$12,'Estimation Model Normal-Slip'!$O$12,IF(H17='Estimation Model Normal-Slip'!$J$13,'Estimation Model Normal-Slip'!$O$13,2))))))</f>
        <v>2.7690517990613435</v>
      </c>
      <c r="J17" s="1">
        <f t="shared" si="0"/>
        <v>1.0185049507893496</v>
      </c>
      <c r="K17" s="1">
        <v>75</v>
      </c>
      <c r="L17" s="1" t="s">
        <v>15</v>
      </c>
      <c r="M17" t="s">
        <v>290</v>
      </c>
      <c r="N17">
        <f t="shared" si="6"/>
        <v>18.5</v>
      </c>
      <c r="O17" s="1">
        <f t="shared" si="7"/>
        <v>40</v>
      </c>
      <c r="P17">
        <f t="shared" si="8"/>
        <v>0</v>
      </c>
      <c r="Q17">
        <f t="shared" si="9"/>
        <v>0</v>
      </c>
      <c r="R17" s="1">
        <v>1.2</v>
      </c>
      <c r="S17" s="1">
        <f t="shared" si="10"/>
        <v>2.4</v>
      </c>
      <c r="T17">
        <f t="shared" si="11"/>
        <v>17.193001944454171</v>
      </c>
      <c r="U17">
        <f>IF(M17="medium dense",'Coefficient Normal'!$E$18 + ('Coefficient Normal'!$E$19*S17) + ('Coefficient Normal'!$E$20*(S17^2)) + ('Coefficient Normal'!$E$21*(S17^3)) + ('Coefficient Normal'!$E$22*(S17^4)),IF(M17="dense",'Coefficient Normal'!$F$18 + ('Coefficient Normal'!$F$19*S17) + ('Coefficient Normal'!$F$20*(S17^2)) + ('Coefficient Normal'!$F$21*(S17^3)) + ('Coefficient Normal'!$F$22*(S17^4)),IF(M17="very dense",'Coefficient Normal'!$G$18 + ('Coefficient Normal'!$G$19*S17) + ('Coefficient Normal'!$G$20*(S17^2)) + ('Coefficient Normal'!$G$21*(S17^3)) + ('Coefficient Normal'!$G$22*(S17^4)),0)))</f>
        <v>15.970859354576</v>
      </c>
      <c r="V17">
        <f t="shared" si="12"/>
        <v>80</v>
      </c>
      <c r="W17">
        <f t="shared" si="13"/>
        <v>362.27653883579364</v>
      </c>
      <c r="X17">
        <f t="shared" si="14"/>
        <v>5.8924078396237283</v>
      </c>
      <c r="Y17">
        <f t="shared" si="1"/>
        <v>3.9606881774094269</v>
      </c>
      <c r="Z17">
        <f t="shared" si="2"/>
        <v>2.844502437333392</v>
      </c>
      <c r="AA17" s="38">
        <f>VLOOKUP(K17,'Coefficient Normal'!$A$3:$H$7,2,TRUE)</f>
        <v>5.5951000000000004</v>
      </c>
      <c r="AB17" s="38">
        <f>VLOOKUP(K17,'Coefficient Normal'!$A$3:$H$7,3,TRUE)</f>
        <v>1.6E-2</v>
      </c>
      <c r="AC17" s="38">
        <f>VLOOKUP(K17,'Coefficient Normal'!$A$3:$H$7,4,TRUE)</f>
        <v>1.2641</v>
      </c>
      <c r="AD17" s="38">
        <f>VLOOKUP(K17,'Coefficient Normal'!$A$3:$H$7,5,TRUE)</f>
        <v>-0.52429999999999999</v>
      </c>
      <c r="AE17" s="38">
        <f>VLOOKUP(K17,'Coefficient Normal'!$A$3:$H$7,6,TRUE)</f>
        <v>0.35830000000000001</v>
      </c>
      <c r="AF17" s="38">
        <f>VLOOKUP(K17,'Coefficient Normal'!$A$3:$H$7,7,TRUE)</f>
        <v>-0.35920000000000002</v>
      </c>
      <c r="AG17" s="38">
        <f>VLOOKUP(K17,'Coefficient Normal'!$A$3:$H$7,8,TRUE)</f>
        <v>-0.2482</v>
      </c>
      <c r="AH17" s="38">
        <f t="shared" si="15"/>
        <v>0.25835848354305291</v>
      </c>
      <c r="AI17" s="38">
        <f>VLOOKUP(K17,'Coefficient Normal'!$A$10:$P$14,2,TRUE)</f>
        <v>-2.3450000000000002</v>
      </c>
      <c r="AJ17" s="38">
        <f>VLOOKUP(K17,'Coefficient Normal'!$A$10:$P$14,3,TRUE)</f>
        <v>0.19470000000000001</v>
      </c>
      <c r="AK17" s="38">
        <f>VLOOKUP(K17,'Coefficient Normal'!$A$10:$P$14,4,TRUE)</f>
        <v>-0.2044</v>
      </c>
      <c r="AL17" s="38">
        <f>VLOOKUP(K17,'Coefficient Normal'!$A$10:$P$14,5,TRUE)</f>
        <v>0.4143</v>
      </c>
      <c r="AM17" s="38">
        <f>VLOOKUP(K17,'Coefficient Normal'!$A$10:$P$14,6,TRUE)</f>
        <v>-0.55710000000000004</v>
      </c>
      <c r="AN17" s="38">
        <f>VLOOKUP(K17,'Coefficient Normal'!$A$10:$P$14,7,TRUE)</f>
        <v>1.0931</v>
      </c>
      <c r="AO17" s="38">
        <f>VLOOKUP(K17,'Coefficient Normal'!$A$10:$P$14,8,TRUE)</f>
        <v>1E-4</v>
      </c>
      <c r="AP17" s="38">
        <f>VLOOKUP(K17,'Coefficient Normal'!$A$10:$P$14,9,TRUE)</f>
        <v>3.5000000000000001E-3</v>
      </c>
      <c r="AQ17" s="38">
        <f>VLOOKUP(K17,'Coefficient Normal'!$A$10:$P$14,10,TRUE)</f>
        <v>-4.07E-2</v>
      </c>
      <c r="AR17" s="38">
        <f>VLOOKUP(K17,'Coefficient Normal'!$A$10:$P$14,11,TRUE)</f>
        <v>1.6000000000000001E-3</v>
      </c>
      <c r="AS17" s="38">
        <f>VLOOKUP(K17,'Coefficient Normal'!$A$10:$P$14,12,TRUE)</f>
        <v>-0.65949999999999998</v>
      </c>
      <c r="AT17" s="38">
        <f>VLOOKUP(K17,'Coefficient Normal'!$A$10:$P$14,13,TRUE)</f>
        <v>-3.0099999999999998E-2</v>
      </c>
      <c r="AU17" s="38">
        <f>VLOOKUP(K17,'Coefficient Normal'!$A$10:$P$14,14,TRUE)</f>
        <v>0.84219999999999995</v>
      </c>
      <c r="AV17" s="38">
        <f>VLOOKUP(K17,'Coefficient Normal'!$A$10:$P$14,15,TRUE)</f>
        <v>0.50680000000000003</v>
      </c>
      <c r="AW17" s="5">
        <f t="shared" si="16"/>
        <v>1</v>
      </c>
      <c r="AX17" s="5">
        <f t="shared" si="3"/>
        <v>0</v>
      </c>
      <c r="AY17" s="5">
        <f t="shared" si="17"/>
        <v>1</v>
      </c>
      <c r="AZ17" s="38">
        <f t="shared" si="18"/>
        <v>1.1381088015067813</v>
      </c>
      <c r="BA17" s="1">
        <v>0.2</v>
      </c>
      <c r="BB17">
        <f t="shared" si="19"/>
        <v>-1.6094379124341003</v>
      </c>
      <c r="BC17" s="38">
        <f t="shared" si="20"/>
        <v>-1.8677963959771531</v>
      </c>
      <c r="BD17" s="38">
        <f t="shared" si="21"/>
        <v>-2.1257555176842433</v>
      </c>
      <c r="BE17" s="38">
        <f t="shared" si="22"/>
        <v>0.7711459881416155</v>
      </c>
      <c r="BF17" s="38">
        <f t="shared" si="23"/>
        <v>-0.58141629819094531</v>
      </c>
      <c r="BG17" s="38">
        <f t="shared" si="24"/>
        <v>2.4412245679561106</v>
      </c>
      <c r="BH17" s="38">
        <f t="shared" si="25"/>
        <v>0.38615229428994552</v>
      </c>
      <c r="BI17" s="38">
        <f t="shared" si="26"/>
        <v>-1.4536489654875175</v>
      </c>
      <c r="BJ17" s="3">
        <f t="shared" si="27"/>
        <v>0.23371590895614064</v>
      </c>
      <c r="BK17">
        <f>VLOOKUP(K17,'Coefficient Normal'!$A$10:$P$14,16,TRUE)</f>
        <v>0.43780000000000002</v>
      </c>
      <c r="BL17">
        <v>0.25</v>
      </c>
    </row>
    <row r="18" spans="1:64" x14ac:dyDescent="0.25">
      <c r="A18" s="1">
        <v>16</v>
      </c>
      <c r="B18">
        <v>1.0668</v>
      </c>
      <c r="C18">
        <f t="shared" si="4"/>
        <v>1066.8</v>
      </c>
      <c r="D18">
        <v>9.5250000000000005E-3</v>
      </c>
      <c r="E18">
        <f t="shared" si="4"/>
        <v>9.5250000000000004</v>
      </c>
      <c r="F18" s="4">
        <f t="shared" si="5"/>
        <v>111.99999999999999</v>
      </c>
      <c r="G18" s="1">
        <v>300</v>
      </c>
      <c r="H18" s="10" t="s">
        <v>139</v>
      </c>
      <c r="I18" s="4">
        <f>100*IF(H18='Estimation Model Normal-Slip'!$J$8,'Estimation Model Normal-Slip'!$O$8,IF(H18='Estimation Model Normal-Slip'!$J$9,'Estimation Model Normal-Slip'!$O$9,IF(H18='Estimation Model Normal-Slip'!$J$10,'Estimation Model Normal-Slip'!$O$10,IF(H18='Estimation Model Normal-Slip'!$J$11,'Estimation Model Normal-Slip'!$O$11,IF(H18='Estimation Model Normal-Slip'!$J$12,'Estimation Model Normal-Slip'!$O$12,IF(H18='Estimation Model Normal-Slip'!$J$13,'Estimation Model Normal-Slip'!$O$13,2))))))</f>
        <v>1.9041242414694344</v>
      </c>
      <c r="J18" s="1">
        <f t="shared" si="0"/>
        <v>0.6440221871128996</v>
      </c>
      <c r="K18" s="1">
        <v>90</v>
      </c>
      <c r="L18" s="1" t="s">
        <v>15</v>
      </c>
      <c r="M18" t="s">
        <v>292</v>
      </c>
      <c r="N18">
        <f t="shared" si="6"/>
        <v>19</v>
      </c>
      <c r="O18" s="1">
        <f t="shared" si="7"/>
        <v>43</v>
      </c>
      <c r="P18">
        <f t="shared" si="8"/>
        <v>0</v>
      </c>
      <c r="Q18">
        <f t="shared" si="9"/>
        <v>0</v>
      </c>
      <c r="R18" s="1">
        <v>2.5</v>
      </c>
      <c r="S18" s="1">
        <f t="shared" si="10"/>
        <v>2.3434570678665168</v>
      </c>
      <c r="T18">
        <f t="shared" si="11"/>
        <v>84.047899019267149</v>
      </c>
      <c r="U18">
        <f>IF(M18="medium dense",'Coefficient Normal'!$E$18 + ('Coefficient Normal'!$E$19*S18) + ('Coefficient Normal'!$E$20*(S18^2)) + ('Coefficient Normal'!$E$21*(S18^3)) + ('Coefficient Normal'!$E$22*(S18^4)),IF(M18="dense",'Coefficient Normal'!$F$18 + ('Coefficient Normal'!$F$19*S18) + ('Coefficient Normal'!$F$20*(S18^2)) + ('Coefficient Normal'!$F$21*(S18^3)) + ('Coefficient Normal'!$F$22*(S18^4)),IF(M18="very dense",'Coefficient Normal'!$G$18 + ('Coefficient Normal'!$G$19*S18) + ('Coefficient Normal'!$G$20*(S18^2)) + ('Coefficient Normal'!$G$21*(S18^3)) + ('Coefficient Normal'!$G$22*(S18^4)),0)))</f>
        <v>18.621858727008274</v>
      </c>
      <c r="V18">
        <f t="shared" si="12"/>
        <v>80</v>
      </c>
      <c r="W18">
        <f t="shared" si="13"/>
        <v>1808.5527496736904</v>
      </c>
      <c r="X18">
        <f t="shared" si="14"/>
        <v>7.5002822186049887</v>
      </c>
      <c r="Y18">
        <f t="shared" si="1"/>
        <v>4.7184988712950942</v>
      </c>
      <c r="Z18">
        <f t="shared" si="2"/>
        <v>4.4313868627458541</v>
      </c>
      <c r="AA18" s="38">
        <f>VLOOKUP(K18,'Coefficient Normal'!$A$3:$H$7,2,TRUE)</f>
        <v>14.575100000000001</v>
      </c>
      <c r="AB18" s="38">
        <f>VLOOKUP(K18,'Coefficient Normal'!$A$3:$H$7,3,TRUE)</f>
        <v>0.1356</v>
      </c>
      <c r="AC18" s="38">
        <f>VLOOKUP(K18,'Coefficient Normal'!$A$3:$H$7,4,TRUE)</f>
        <v>2.9990000000000001</v>
      </c>
      <c r="AD18" s="38">
        <f>VLOOKUP(K18,'Coefficient Normal'!$A$3:$H$7,5,TRUE)</f>
        <v>-0.94710000000000005</v>
      </c>
      <c r="AE18" s="38">
        <f>VLOOKUP(K18,'Coefficient Normal'!$A$3:$H$7,6,TRUE)</f>
        <v>0.6603</v>
      </c>
      <c r="AF18" s="38">
        <f>VLOOKUP(K18,'Coefficient Normal'!$A$3:$H$7,7,TRUE)</f>
        <v>-1.2488999999999999</v>
      </c>
      <c r="AG18" s="38">
        <f>VLOOKUP(K18,'Coefficient Normal'!$A$3:$H$7,8,TRUE)</f>
        <v>-0.44140000000000001</v>
      </c>
      <c r="AH18" s="38">
        <f t="shared" si="15"/>
        <v>0.17569972514249499</v>
      </c>
      <c r="AI18" s="38">
        <f>VLOOKUP(K18,'Coefficient Normal'!$A$10:$P$14,2,TRUE)</f>
        <v>5.1353999999999997</v>
      </c>
      <c r="AJ18" s="38">
        <f>VLOOKUP(K18,'Coefficient Normal'!$A$10:$P$14,3,TRUE)</f>
        <v>-4.9599999999999998E-2</v>
      </c>
      <c r="AK18" s="38">
        <f>VLOOKUP(K18,'Coefficient Normal'!$A$10:$P$14,4,TRUE)</f>
        <v>0.44590000000000002</v>
      </c>
      <c r="AL18" s="38">
        <f>VLOOKUP(K18,'Coefficient Normal'!$A$10:$P$14,5,TRUE)</f>
        <v>-0.83709999999999996</v>
      </c>
      <c r="AM18" s="38">
        <f>VLOOKUP(K18,'Coefficient Normal'!$A$10:$P$14,6,TRUE)</f>
        <v>0.63090000000000002</v>
      </c>
      <c r="AN18" s="38">
        <f>VLOOKUP(K18,'Coefficient Normal'!$A$10:$P$14,7,TRUE)</f>
        <v>0.91390000000000005</v>
      </c>
      <c r="AO18" s="38">
        <f>VLOOKUP(K18,'Coefficient Normal'!$A$10:$P$14,8,TRUE)</f>
        <v>2.5000000000000001E-3</v>
      </c>
      <c r="AP18" s="38">
        <f>VLOOKUP(K18,'Coefficient Normal'!$A$10:$P$14,9,TRUE)</f>
        <v>1.6000000000000001E-3</v>
      </c>
      <c r="AQ18" s="38">
        <f>VLOOKUP(K18,'Coefficient Normal'!$A$10:$P$14,10,TRUE)</f>
        <v>-9.7500000000000003E-2</v>
      </c>
      <c r="AR18" s="38">
        <f>VLOOKUP(K18,'Coefficient Normal'!$A$10:$P$14,11,TRUE)</f>
        <v>1.1999999999999999E-3</v>
      </c>
      <c r="AS18" s="38">
        <f>VLOOKUP(K18,'Coefficient Normal'!$A$10:$P$14,12,TRUE)</f>
        <v>0.46479999999999999</v>
      </c>
      <c r="AT18" s="38">
        <f>VLOOKUP(K18,'Coefficient Normal'!$A$10:$P$14,13,TRUE)</f>
        <v>8.0000000000000004E-4</v>
      </c>
      <c r="AU18" s="38">
        <f>VLOOKUP(K18,'Coefficient Normal'!$A$10:$P$14,14,TRUE)</f>
        <v>6.7900000000000002E-2</v>
      </c>
      <c r="AV18" s="38">
        <f>VLOOKUP(K18,'Coefficient Normal'!$A$10:$P$14,15,TRUE)</f>
        <v>0.58979999999999999</v>
      </c>
      <c r="AW18" s="5">
        <f t="shared" si="16"/>
        <v>1</v>
      </c>
      <c r="AX18" s="5">
        <f t="shared" si="3"/>
        <v>0</v>
      </c>
      <c r="AY18" s="5">
        <f t="shared" si="17"/>
        <v>1</v>
      </c>
      <c r="AZ18" s="38">
        <f t="shared" si="18"/>
        <v>1.1609197475481681</v>
      </c>
      <c r="BA18" s="1">
        <v>0.25</v>
      </c>
      <c r="BB18">
        <f t="shared" si="19"/>
        <v>-1.3862943611198906</v>
      </c>
      <c r="BC18" s="38">
        <f t="shared" si="20"/>
        <v>-1.5619940862623856</v>
      </c>
      <c r="BD18" s="38">
        <f t="shared" si="21"/>
        <v>-1.8133497802954601</v>
      </c>
      <c r="BE18" s="38">
        <f t="shared" si="22"/>
        <v>-0.23403754401623666</v>
      </c>
      <c r="BF18" s="38">
        <f t="shared" si="23"/>
        <v>1.9759554020983765</v>
      </c>
      <c r="BG18" s="38">
        <f t="shared" si="24"/>
        <v>-6.2784862451942356</v>
      </c>
      <c r="BH18" s="38">
        <f t="shared" si="25"/>
        <v>4.0796210557198086E-2</v>
      </c>
      <c r="BI18" s="38">
        <f t="shared" si="26"/>
        <v>-1.1737219568503581</v>
      </c>
      <c r="BJ18" s="3">
        <f t="shared" si="27"/>
        <v>0.30921391598854903</v>
      </c>
      <c r="BK18">
        <f>VLOOKUP(K18,'Coefficient Normal'!$A$10:$P$14,16,TRUE)</f>
        <v>0.34749999999999998</v>
      </c>
      <c r="BL18">
        <v>0.25</v>
      </c>
    </row>
    <row r="19" spans="1:64" x14ac:dyDescent="0.25">
      <c r="A19" s="1">
        <v>17</v>
      </c>
      <c r="B19">
        <v>0.60960000000000003</v>
      </c>
      <c r="C19">
        <f t="shared" si="4"/>
        <v>609.6</v>
      </c>
      <c r="D19">
        <v>9.5250000000000005E-3</v>
      </c>
      <c r="E19">
        <f t="shared" si="4"/>
        <v>9.5250000000000004</v>
      </c>
      <c r="F19" s="4">
        <f t="shared" si="5"/>
        <v>64</v>
      </c>
      <c r="G19" s="1">
        <v>30</v>
      </c>
      <c r="H19" s="10" t="s">
        <v>141</v>
      </c>
      <c r="I19" s="4">
        <f>100*IF(H19='Estimation Model Normal-Slip'!$J$8,'Estimation Model Normal-Slip'!$O$8,IF(H19='Estimation Model Normal-Slip'!$J$9,'Estimation Model Normal-Slip'!$O$9,IF(H19='Estimation Model Normal-Slip'!$J$10,'Estimation Model Normal-Slip'!$O$10,IF(H19='Estimation Model Normal-Slip'!$J$11,'Estimation Model Normal-Slip'!$O$11,IF(H19='Estimation Model Normal-Slip'!$J$12,'Estimation Model Normal-Slip'!$O$12,IF(H19='Estimation Model Normal-Slip'!$J$13,'Estimation Model Normal-Slip'!$O$13,2))))))</f>
        <v>2.7690517990613435</v>
      </c>
      <c r="J19" s="1">
        <f t="shared" si="0"/>
        <v>1.0185049507893496</v>
      </c>
      <c r="K19" s="1">
        <v>45</v>
      </c>
      <c r="L19" s="1" t="s">
        <v>15</v>
      </c>
      <c r="M19" t="s">
        <v>289</v>
      </c>
      <c r="N19">
        <f t="shared" si="6"/>
        <v>18</v>
      </c>
      <c r="O19" s="1">
        <f t="shared" si="7"/>
        <v>37</v>
      </c>
      <c r="P19">
        <f t="shared" si="8"/>
        <v>0</v>
      </c>
      <c r="Q19">
        <f t="shared" si="9"/>
        <v>0</v>
      </c>
      <c r="R19" s="1">
        <v>1</v>
      </c>
      <c r="S19" s="1">
        <f t="shared" si="10"/>
        <v>1.8</v>
      </c>
      <c r="T19">
        <f t="shared" si="11"/>
        <v>15.830191718623416</v>
      </c>
      <c r="U19">
        <f>IF(M19="medium dense",'Coefficient Normal'!$E$18 + ('Coefficient Normal'!$E$19*S19) + ('Coefficient Normal'!$E$20*(S19^2)) + ('Coefficient Normal'!$E$21*(S19^3)) + ('Coefficient Normal'!$E$22*(S19^4)),IF(M19="dense",'Coefficient Normal'!$F$18 + ('Coefficient Normal'!$F$19*S19) + ('Coefficient Normal'!$F$20*(S19^2)) + ('Coefficient Normal'!$F$21*(S19^3)) + ('Coefficient Normal'!$F$22*(S19^4)),IF(M19="very dense",'Coefficient Normal'!$G$18 + ('Coefficient Normal'!$G$19*S19) + ('Coefficient Normal'!$G$20*(S19^2)) + ('Coefficient Normal'!$G$21*(S19^3)) + ('Coefficient Normal'!$G$22*(S19^4)),0)))</f>
        <v>12.698394373823998</v>
      </c>
      <c r="V19">
        <f t="shared" si="12"/>
        <v>64.071522599936642</v>
      </c>
      <c r="W19">
        <f t="shared" si="13"/>
        <v>353.62475395575746</v>
      </c>
      <c r="X19">
        <f t="shared" si="14"/>
        <v>5.8682363338442034</v>
      </c>
      <c r="Y19">
        <f t="shared" si="1"/>
        <v>4.1588830833596715</v>
      </c>
      <c r="Z19">
        <f t="shared" si="2"/>
        <v>2.761918984913923</v>
      </c>
      <c r="AA19" s="38">
        <f>VLOOKUP(K19,'Coefficient Normal'!$A$3:$H$7,2,TRUE)</f>
        <v>3.7532999999999999</v>
      </c>
      <c r="AB19" s="38">
        <f>VLOOKUP(K19,'Coefficient Normal'!$A$3:$H$7,3,TRUE)</f>
        <v>0.14510000000000001</v>
      </c>
      <c r="AC19" s="38">
        <f>VLOOKUP(K19,'Coefficient Normal'!$A$3:$H$7,4,TRUE)</f>
        <v>1.2497</v>
      </c>
      <c r="AD19" s="38">
        <f>VLOOKUP(K19,'Coefficient Normal'!$A$3:$H$7,5,TRUE)</f>
        <v>-0.46100000000000002</v>
      </c>
      <c r="AE19" s="38">
        <f>VLOOKUP(K19,'Coefficient Normal'!$A$3:$H$7,6,TRUE)</f>
        <v>0.39140000000000003</v>
      </c>
      <c r="AF19" s="38">
        <f>VLOOKUP(K19,'Coefficient Normal'!$A$3:$H$7,7,TRUE)</f>
        <v>-0.21310000000000001</v>
      </c>
      <c r="AG19" s="38">
        <f>VLOOKUP(K19,'Coefficient Normal'!$A$3:$H$7,8,TRUE)</f>
        <v>-0.34139999999999998</v>
      </c>
      <c r="AH19" s="38">
        <f t="shared" si="15"/>
        <v>-8.3770685382233978E-2</v>
      </c>
      <c r="AI19" s="38">
        <f>VLOOKUP(K19,'Coefficient Normal'!$A$10:$P$14,2,TRUE)</f>
        <v>-1.1082000000000001</v>
      </c>
      <c r="AJ19" s="38">
        <f>VLOOKUP(K19,'Coefficient Normal'!$A$10:$P$14,3,TRUE)</f>
        <v>0.10630000000000001</v>
      </c>
      <c r="AK19" s="38">
        <f>VLOOKUP(K19,'Coefficient Normal'!$A$10:$P$14,4,TRUE)</f>
        <v>-0.1439</v>
      </c>
      <c r="AL19" s="38">
        <f>VLOOKUP(K19,'Coefficient Normal'!$A$10:$P$14,5,TRUE)</f>
        <v>0.27879999999999999</v>
      </c>
      <c r="AM19" s="38">
        <f>VLOOKUP(K19,'Coefficient Normal'!$A$10:$P$14,6,TRUE)</f>
        <v>-0.31030000000000002</v>
      </c>
      <c r="AN19" s="38">
        <f>VLOOKUP(K19,'Coefficient Normal'!$A$10:$P$14,7,TRUE)</f>
        <v>1.2553000000000001</v>
      </c>
      <c r="AO19" s="38">
        <f>VLOOKUP(K19,'Coefficient Normal'!$A$10:$P$14,8,TRUE)</f>
        <v>2.9999999999999997E-4</v>
      </c>
      <c r="AP19" s="38">
        <f>VLOOKUP(K19,'Coefficient Normal'!$A$10:$P$14,9,TRUE)</f>
        <v>5.1999999999999998E-3</v>
      </c>
      <c r="AQ19" s="38">
        <f>VLOOKUP(K19,'Coefficient Normal'!$A$10:$P$14,10,TRUE)</f>
        <v>-8.5900000000000004E-2</v>
      </c>
      <c r="AR19" s="38">
        <f>VLOOKUP(K19,'Coefficient Normal'!$A$10:$P$14,11,TRUE)</f>
        <v>5.9999999999999995E-4</v>
      </c>
      <c r="AS19" s="38">
        <f>VLOOKUP(K19,'Coefficient Normal'!$A$10:$P$14,12,TRUE)</f>
        <v>-0.21759999999999999</v>
      </c>
      <c r="AT19" s="38">
        <f>VLOOKUP(K19,'Coefficient Normal'!$A$10:$P$14,13,TRUE)</f>
        <v>-2.69E-2</v>
      </c>
      <c r="AU19" s="38">
        <f>VLOOKUP(K19,'Coefficient Normal'!$A$10:$P$14,14,TRUE)</f>
        <v>0.57389999999999997</v>
      </c>
      <c r="AV19" s="38">
        <f>VLOOKUP(K19,'Coefficient Normal'!$A$10:$P$14,15,TRUE)</f>
        <v>0.34460000000000002</v>
      </c>
      <c r="AW19" s="5">
        <f t="shared" si="16"/>
        <v>1</v>
      </c>
      <c r="AX19" s="5">
        <f t="shared" si="3"/>
        <v>1</v>
      </c>
      <c r="AY19" s="5">
        <f t="shared" si="17"/>
        <v>1</v>
      </c>
      <c r="AZ19" s="38">
        <f t="shared" si="18"/>
        <v>0.93444905751558716</v>
      </c>
      <c r="BA19" s="1">
        <v>0.28000000000000003</v>
      </c>
      <c r="BB19">
        <f t="shared" si="19"/>
        <v>-1.2729656758128873</v>
      </c>
      <c r="BC19" s="38">
        <f t="shared" si="20"/>
        <v>-1.1891949904306534</v>
      </c>
      <c r="BD19" s="38">
        <f t="shared" si="21"/>
        <v>-1.1112421380101818</v>
      </c>
      <c r="BE19" s="38">
        <f t="shared" si="22"/>
        <v>0.44208927176113311</v>
      </c>
      <c r="BF19" s="38">
        <f t="shared" si="23"/>
        <v>-0.39744014192911353</v>
      </c>
      <c r="BG19" s="38">
        <f t="shared" si="24"/>
        <v>1.6360642898757638</v>
      </c>
      <c r="BH19" s="38">
        <f t="shared" si="25"/>
        <v>0.15358369081139006</v>
      </c>
      <c r="BI19" s="38">
        <f t="shared" si="26"/>
        <v>-0.38514502749100848</v>
      </c>
      <c r="BJ19" s="3">
        <f t="shared" si="27"/>
        <v>0.68035195931166781</v>
      </c>
      <c r="BK19">
        <f>VLOOKUP(K19,'Coefficient Normal'!$A$10:$P$14,16,TRUE)</f>
        <v>0.3997</v>
      </c>
      <c r="BL19">
        <v>0.25</v>
      </c>
    </row>
    <row r="20" spans="1:64" x14ac:dyDescent="0.25">
      <c r="A20" s="1">
        <v>18</v>
      </c>
      <c r="B20">
        <v>0.40960000000000002</v>
      </c>
      <c r="C20">
        <f t="shared" si="4"/>
        <v>409.6</v>
      </c>
      <c r="D20">
        <v>9.5250000000000005E-3</v>
      </c>
      <c r="E20">
        <f t="shared" si="4"/>
        <v>9.5250000000000004</v>
      </c>
      <c r="F20" s="4">
        <f t="shared" si="5"/>
        <v>43.00262467191601</v>
      </c>
      <c r="G20" s="1">
        <v>50</v>
      </c>
      <c r="H20" s="10" t="s">
        <v>142</v>
      </c>
      <c r="I20" s="4">
        <f>100*IF(H20='Estimation Model Normal-Slip'!$J$8,'Estimation Model Normal-Slip'!$O$8,IF(H20='Estimation Model Normal-Slip'!$J$9,'Estimation Model Normal-Slip'!$O$9,IF(H20='Estimation Model Normal-Slip'!$J$10,'Estimation Model Normal-Slip'!$O$10,IF(H20='Estimation Model Normal-Slip'!$J$11,'Estimation Model Normal-Slip'!$O$11,IF(H20='Estimation Model Normal-Slip'!$J$12,'Estimation Model Normal-Slip'!$O$12,IF(H20='Estimation Model Normal-Slip'!$J$13,'Estimation Model Normal-Slip'!$O$13,2))))))</f>
        <v>2.8464933991254466</v>
      </c>
      <c r="J20" s="1">
        <f t="shared" si="0"/>
        <v>1.04608785046215</v>
      </c>
      <c r="K20" s="1">
        <v>60</v>
      </c>
      <c r="L20" s="1" t="s">
        <v>15</v>
      </c>
      <c r="M20" t="s">
        <v>290</v>
      </c>
      <c r="N20">
        <f t="shared" si="6"/>
        <v>18.5</v>
      </c>
      <c r="O20" s="1">
        <f t="shared" si="7"/>
        <v>40</v>
      </c>
      <c r="P20">
        <f t="shared" si="8"/>
        <v>0</v>
      </c>
      <c r="Q20">
        <f t="shared" si="9"/>
        <v>0</v>
      </c>
      <c r="R20" s="1">
        <v>1.2</v>
      </c>
      <c r="S20" s="1">
        <f t="shared" si="10"/>
        <v>2.9296874999999996</v>
      </c>
      <c r="T20">
        <f t="shared" si="11"/>
        <v>14.084507192896854</v>
      </c>
      <c r="U20">
        <f>IF(M20="medium dense",'Coefficient Normal'!$E$18 + ('Coefficient Normal'!$E$19*S20) + ('Coefficient Normal'!$E$20*(S20^2)) + ('Coefficient Normal'!$E$21*(S20^3)) + ('Coefficient Normal'!$E$22*(S20^4)),IF(M20="dense",'Coefficient Normal'!$F$18 + ('Coefficient Normal'!$F$19*S20) + ('Coefficient Normal'!$F$20*(S20^2)) + ('Coefficient Normal'!$F$21*(S20^3)) + ('Coefficient Normal'!$F$22*(S20^4)),IF(M20="very dense",'Coefficient Normal'!$G$18 + ('Coefficient Normal'!$G$19*S20) + ('Coefficient Normal'!$G$20*(S20^2)) + ('Coefficient Normal'!$G$21*(S20^3)) + ('Coefficient Normal'!$G$22*(S20^4)),0)))</f>
        <v>16.165411783848704</v>
      </c>
      <c r="V20">
        <f t="shared" si="12"/>
        <v>80</v>
      </c>
      <c r="W20">
        <f t="shared" si="13"/>
        <v>271.14542759995038</v>
      </c>
      <c r="X20">
        <f t="shared" si="14"/>
        <v>5.6026553101537404</v>
      </c>
      <c r="Y20">
        <f t="shared" si="1"/>
        <v>3.7612611527125335</v>
      </c>
      <c r="Z20">
        <f t="shared" si="2"/>
        <v>2.6450754126364981</v>
      </c>
      <c r="AA20" s="38">
        <f>VLOOKUP(K20,'Coefficient Normal'!$A$3:$H$7,2,TRUE)</f>
        <v>4.3182999999999998</v>
      </c>
      <c r="AB20" s="38">
        <f>VLOOKUP(K20,'Coefficient Normal'!$A$3:$H$7,3,TRUE)</f>
        <v>-2.7900000000000001E-2</v>
      </c>
      <c r="AC20" s="38">
        <f>VLOOKUP(K20,'Coefficient Normal'!$A$3:$H$7,4,TRUE)</f>
        <v>1.0497000000000001</v>
      </c>
      <c r="AD20" s="38">
        <f>VLOOKUP(K20,'Coefficient Normal'!$A$3:$H$7,5,TRUE)</f>
        <v>-0.46910000000000002</v>
      </c>
      <c r="AE20" s="38">
        <f>VLOOKUP(K20,'Coefficient Normal'!$A$3:$H$7,6,TRUE)</f>
        <v>0.29149999999999998</v>
      </c>
      <c r="AF20" s="38">
        <f>VLOOKUP(K20,'Coefficient Normal'!$A$3:$H$7,7,TRUE)</f>
        <v>-0.28610000000000002</v>
      </c>
      <c r="AG20" s="38">
        <f>VLOOKUP(K20,'Coefficient Normal'!$A$3:$H$7,8,TRUE)</f>
        <v>-0.1348</v>
      </c>
      <c r="AH20" s="38">
        <f t="shared" si="15"/>
        <v>-0.14672943329566746</v>
      </c>
      <c r="AI20" s="38">
        <f>VLOOKUP(K20,'Coefficient Normal'!$A$10:$P$14,2,TRUE)</f>
        <v>-2.1276999999999999</v>
      </c>
      <c r="AJ20" s="38">
        <f>VLOOKUP(K20,'Coefficient Normal'!$A$10:$P$14,3,TRUE)</f>
        <v>0.14760000000000001</v>
      </c>
      <c r="AK20" s="38">
        <f>VLOOKUP(K20,'Coefficient Normal'!$A$10:$P$14,4,TRUE)</f>
        <v>-0.21829999999999999</v>
      </c>
      <c r="AL20" s="38">
        <f>VLOOKUP(K20,'Coefficient Normal'!$A$10:$P$14,5,TRUE)</f>
        <v>0.42270000000000002</v>
      </c>
      <c r="AM20" s="38">
        <f>VLOOKUP(K20,'Coefficient Normal'!$A$10:$P$14,6,TRUE)</f>
        <v>-0.53720000000000001</v>
      </c>
      <c r="AN20" s="38">
        <f>VLOOKUP(K20,'Coefficient Normal'!$A$10:$P$14,7,TRUE)</f>
        <v>1.252</v>
      </c>
      <c r="AO20" s="38">
        <f>VLOOKUP(K20,'Coefficient Normal'!$A$10:$P$14,8,TRUE)</f>
        <v>-5.9999999999999995E-4</v>
      </c>
      <c r="AP20" s="38">
        <f>VLOOKUP(K20,'Coefficient Normal'!$A$10:$P$14,9,TRUE)</f>
        <v>5.3E-3</v>
      </c>
      <c r="AQ20" s="38">
        <f>VLOOKUP(K20,'Coefficient Normal'!$A$10:$P$14,10,TRUE)</f>
        <v>-4.8500000000000001E-2</v>
      </c>
      <c r="AR20" s="38">
        <f>VLOOKUP(K20,'Coefficient Normal'!$A$10:$P$14,11,TRUE)</f>
        <v>1.2999999999999999E-3</v>
      </c>
      <c r="AS20" s="38">
        <f>VLOOKUP(K20,'Coefficient Normal'!$A$10:$P$14,12,TRUE)</f>
        <v>-0.56599999999999995</v>
      </c>
      <c r="AT20" s="38">
        <f>VLOOKUP(K20,'Coefficient Normal'!$A$10:$P$14,13,TRUE)</f>
        <v>-3.2099999999999997E-2</v>
      </c>
      <c r="AU20" s="38">
        <f>VLOOKUP(K20,'Coefficient Normal'!$A$10:$P$14,14,TRUE)</f>
        <v>0.84970000000000001</v>
      </c>
      <c r="AV20" s="38">
        <f>VLOOKUP(K20,'Coefficient Normal'!$A$10:$P$14,15,TRUE)</f>
        <v>9.01E-2</v>
      </c>
      <c r="AW20" s="5">
        <f t="shared" si="16"/>
        <v>1</v>
      </c>
      <c r="AX20" s="5">
        <f t="shared" si="3"/>
        <v>1</v>
      </c>
      <c r="AY20" s="5">
        <f t="shared" si="17"/>
        <v>1</v>
      </c>
      <c r="AZ20" s="38">
        <f t="shared" si="18"/>
        <v>1.0344527077577528</v>
      </c>
      <c r="BA20" s="1">
        <v>0.18</v>
      </c>
      <c r="BB20">
        <f t="shared" si="19"/>
        <v>-1.7147984280919266</v>
      </c>
      <c r="BC20" s="38">
        <f t="shared" si="20"/>
        <v>-1.5680689947962592</v>
      </c>
      <c r="BD20" s="38">
        <f t="shared" si="21"/>
        <v>-1.6220932176179679</v>
      </c>
      <c r="BE20" s="38">
        <f t="shared" si="22"/>
        <v>0.55516214614036996</v>
      </c>
      <c r="BF20" s="38">
        <f t="shared" si="23"/>
        <v>-0.57741996257854755</v>
      </c>
      <c r="BG20" s="38">
        <f t="shared" si="24"/>
        <v>2.3682423996019861</v>
      </c>
      <c r="BH20" s="38">
        <f t="shared" si="25"/>
        <v>0.47949086306397387</v>
      </c>
      <c r="BI20" s="38">
        <f t="shared" si="26"/>
        <v>-0.92431777139018489</v>
      </c>
      <c r="BJ20" s="3">
        <f t="shared" si="27"/>
        <v>0.39680203645473955</v>
      </c>
      <c r="BK20">
        <f>VLOOKUP(K20,'Coefficient Normal'!$A$10:$P$14,16,TRUE)</f>
        <v>0.50170000000000003</v>
      </c>
      <c r="BL20">
        <v>0.25</v>
      </c>
    </row>
    <row r="21" spans="1:64" x14ac:dyDescent="0.25">
      <c r="A21" s="1">
        <v>19</v>
      </c>
      <c r="B21">
        <v>0.89600000000000002</v>
      </c>
      <c r="C21">
        <f t="shared" si="4"/>
        <v>896</v>
      </c>
      <c r="D21">
        <v>9.5250000000000005E-3</v>
      </c>
      <c r="E21">
        <f t="shared" si="4"/>
        <v>9.5250000000000004</v>
      </c>
      <c r="F21" s="4">
        <f t="shared" si="5"/>
        <v>94.068241469816272</v>
      </c>
      <c r="G21" s="1">
        <v>100</v>
      </c>
      <c r="H21" s="10" t="s">
        <v>139</v>
      </c>
      <c r="I21" s="4">
        <f>100*IF(H21='Estimation Model Normal-Slip'!$J$8,'Estimation Model Normal-Slip'!$O$8,IF(H21='Estimation Model Normal-Slip'!$J$9,'Estimation Model Normal-Slip'!$O$9,IF(H21='Estimation Model Normal-Slip'!$J$10,'Estimation Model Normal-Slip'!$O$10,IF(H21='Estimation Model Normal-Slip'!$J$11,'Estimation Model Normal-Slip'!$O$11,IF(H21='Estimation Model Normal-Slip'!$J$12,'Estimation Model Normal-Slip'!$O$12,IF(H21='Estimation Model Normal-Slip'!$J$13,'Estimation Model Normal-Slip'!$O$13,2))))))</f>
        <v>1.9041242414694344</v>
      </c>
      <c r="J21" s="1">
        <f t="shared" si="0"/>
        <v>0.6440221871128996</v>
      </c>
      <c r="K21" s="1">
        <v>75</v>
      </c>
      <c r="L21" s="1" t="s">
        <v>15</v>
      </c>
      <c r="M21" t="s">
        <v>292</v>
      </c>
      <c r="N21">
        <f t="shared" si="6"/>
        <v>19</v>
      </c>
      <c r="O21" s="1">
        <f t="shared" si="7"/>
        <v>43</v>
      </c>
      <c r="P21">
        <f t="shared" si="8"/>
        <v>0</v>
      </c>
      <c r="Q21">
        <f t="shared" si="9"/>
        <v>0</v>
      </c>
      <c r="R21" s="1">
        <v>0.8</v>
      </c>
      <c r="S21" s="1">
        <f t="shared" si="10"/>
        <v>1.8</v>
      </c>
      <c r="T21">
        <f t="shared" si="11"/>
        <v>22.589251599929021</v>
      </c>
      <c r="U21">
        <f>IF(M21="medium dense",'Coefficient Normal'!$E$18 + ('Coefficient Normal'!$E$19*S21) + ('Coefficient Normal'!$E$20*(S21^2)) + ('Coefficient Normal'!$E$21*(S21^3)) + ('Coefficient Normal'!$E$22*(S21^4)),IF(M21="dense",'Coefficient Normal'!$F$18 + ('Coefficient Normal'!$F$19*S21) + ('Coefficient Normal'!$F$20*(S21^2)) + ('Coefficient Normal'!$F$21*(S21^3)) + ('Coefficient Normal'!$F$22*(S21^4)),IF(M21="very dense",'Coefficient Normal'!$G$18 + ('Coefficient Normal'!$G$19*S21) + ('Coefficient Normal'!$G$20*(S21^2)) + ('Coefficient Normal'!$G$21*(S21^3)) + ('Coefficient Normal'!$G$22*(S21^4)),0)))</f>
        <v>18.784824717152006</v>
      </c>
      <c r="V21">
        <f t="shared" si="12"/>
        <v>80</v>
      </c>
      <c r="W21">
        <f t="shared" si="13"/>
        <v>865.97444478783666</v>
      </c>
      <c r="X21">
        <f t="shared" si="14"/>
        <v>6.7638553986441545</v>
      </c>
      <c r="Y21">
        <f t="shared" si="1"/>
        <v>4.5440204919621658</v>
      </c>
      <c r="Z21">
        <f t="shared" si="2"/>
        <v>3.1174742002245606</v>
      </c>
      <c r="AA21" s="38">
        <f>VLOOKUP(K21,'Coefficient Normal'!$A$3:$H$7,2,TRUE)</f>
        <v>5.5951000000000004</v>
      </c>
      <c r="AB21" s="38">
        <f>VLOOKUP(K21,'Coefficient Normal'!$A$3:$H$7,3,TRUE)</f>
        <v>1.6E-2</v>
      </c>
      <c r="AC21" s="38">
        <f>VLOOKUP(K21,'Coefficient Normal'!$A$3:$H$7,4,TRUE)</f>
        <v>1.2641</v>
      </c>
      <c r="AD21" s="38">
        <f>VLOOKUP(K21,'Coefficient Normal'!$A$3:$H$7,5,TRUE)</f>
        <v>-0.52429999999999999</v>
      </c>
      <c r="AE21" s="38">
        <f>VLOOKUP(K21,'Coefficient Normal'!$A$3:$H$7,6,TRUE)</f>
        <v>0.35830000000000001</v>
      </c>
      <c r="AF21" s="38">
        <f>VLOOKUP(K21,'Coefficient Normal'!$A$3:$H$7,7,TRUE)</f>
        <v>-0.35920000000000002</v>
      </c>
      <c r="AG21" s="38">
        <f>VLOOKUP(K21,'Coefficient Normal'!$A$3:$H$7,8,TRUE)</f>
        <v>-0.2482</v>
      </c>
      <c r="AH21" s="38">
        <f t="shared" si="15"/>
        <v>0.17495500087417304</v>
      </c>
      <c r="AI21" s="38">
        <f>VLOOKUP(K21,'Coefficient Normal'!$A$10:$P$14,2,TRUE)</f>
        <v>-2.3450000000000002</v>
      </c>
      <c r="AJ21" s="38">
        <f>VLOOKUP(K21,'Coefficient Normal'!$A$10:$P$14,3,TRUE)</f>
        <v>0.19470000000000001</v>
      </c>
      <c r="AK21" s="38">
        <f>VLOOKUP(K21,'Coefficient Normal'!$A$10:$P$14,4,TRUE)</f>
        <v>-0.2044</v>
      </c>
      <c r="AL21" s="38">
        <f>VLOOKUP(K21,'Coefficient Normal'!$A$10:$P$14,5,TRUE)</f>
        <v>0.4143</v>
      </c>
      <c r="AM21" s="38">
        <f>VLOOKUP(K21,'Coefficient Normal'!$A$10:$P$14,6,TRUE)</f>
        <v>-0.55710000000000004</v>
      </c>
      <c r="AN21" s="38">
        <f>VLOOKUP(K21,'Coefficient Normal'!$A$10:$P$14,7,TRUE)</f>
        <v>1.0931</v>
      </c>
      <c r="AO21" s="38">
        <f>VLOOKUP(K21,'Coefficient Normal'!$A$10:$P$14,8,TRUE)</f>
        <v>1E-4</v>
      </c>
      <c r="AP21" s="38">
        <f>VLOOKUP(K21,'Coefficient Normal'!$A$10:$P$14,9,TRUE)</f>
        <v>3.5000000000000001E-3</v>
      </c>
      <c r="AQ21" s="38">
        <f>VLOOKUP(K21,'Coefficient Normal'!$A$10:$P$14,10,TRUE)</f>
        <v>-4.07E-2</v>
      </c>
      <c r="AR21" s="38">
        <f>VLOOKUP(K21,'Coefficient Normal'!$A$10:$P$14,11,TRUE)</f>
        <v>1.6000000000000001E-3</v>
      </c>
      <c r="AS21" s="38">
        <f>VLOOKUP(K21,'Coefficient Normal'!$A$10:$P$14,12,TRUE)</f>
        <v>-0.65949999999999998</v>
      </c>
      <c r="AT21" s="38">
        <f>VLOOKUP(K21,'Coefficient Normal'!$A$10:$P$14,13,TRUE)</f>
        <v>-3.0099999999999998E-2</v>
      </c>
      <c r="AU21" s="38">
        <f>VLOOKUP(K21,'Coefficient Normal'!$A$10:$P$14,14,TRUE)</f>
        <v>0.84219999999999995</v>
      </c>
      <c r="AV21" s="38">
        <f>VLOOKUP(K21,'Coefficient Normal'!$A$10:$P$14,15,TRUE)</f>
        <v>0.50680000000000003</v>
      </c>
      <c r="AW21" s="5">
        <f t="shared" si="16"/>
        <v>1</v>
      </c>
      <c r="AX21" s="5">
        <f t="shared" si="3"/>
        <v>0</v>
      </c>
      <c r="AY21" s="5">
        <f t="shared" si="17"/>
        <v>1</v>
      </c>
      <c r="AZ21" s="38">
        <f t="shared" si="18"/>
        <v>1.205168111511699</v>
      </c>
      <c r="BA21" s="1">
        <v>0.4</v>
      </c>
      <c r="BB21">
        <f t="shared" si="19"/>
        <v>-0.916290731874155</v>
      </c>
      <c r="BC21" s="38">
        <f t="shared" si="20"/>
        <v>-1.091245732748328</v>
      </c>
      <c r="BD21" s="38">
        <f t="shared" si="21"/>
        <v>-1.3151345589315027</v>
      </c>
      <c r="BE21" s="38">
        <f t="shared" si="22"/>
        <v>0.88472078978503377</v>
      </c>
      <c r="BF21" s="38">
        <f t="shared" si="23"/>
        <v>-0.63721172652590019</v>
      </c>
      <c r="BG21" s="38">
        <f t="shared" si="24"/>
        <v>2.8022652916582733</v>
      </c>
      <c r="BH21" s="38">
        <f t="shared" si="25"/>
        <v>6.1177861852614784E-2</v>
      </c>
      <c r="BI21" s="38">
        <f t="shared" si="26"/>
        <v>-0.54918234216148154</v>
      </c>
      <c r="BJ21" s="3">
        <f t="shared" si="27"/>
        <v>0.57742175083198721</v>
      </c>
      <c r="BK21">
        <f>VLOOKUP(K21,'Coefficient Normal'!$A$10:$P$14,16,TRUE)</f>
        <v>0.43780000000000002</v>
      </c>
      <c r="BL21">
        <v>0.25</v>
      </c>
    </row>
    <row r="22" spans="1:64" x14ac:dyDescent="0.25">
      <c r="A22" s="1">
        <v>20</v>
      </c>
      <c r="B22">
        <v>0.5</v>
      </c>
      <c r="C22">
        <f t="shared" si="4"/>
        <v>500</v>
      </c>
      <c r="D22">
        <v>9.5250000000000005E-3</v>
      </c>
      <c r="E22">
        <f t="shared" si="4"/>
        <v>9.5250000000000004</v>
      </c>
      <c r="F22" s="4">
        <f t="shared" si="5"/>
        <v>52.493438320209975</v>
      </c>
      <c r="G22" s="1">
        <v>300</v>
      </c>
      <c r="H22" s="10" t="s">
        <v>139</v>
      </c>
      <c r="I22" s="4">
        <f>100*IF(H22='Estimation Model Normal-Slip'!$J$8,'Estimation Model Normal-Slip'!$O$8,IF(H22='Estimation Model Normal-Slip'!$J$9,'Estimation Model Normal-Slip'!$O$9,IF(H22='Estimation Model Normal-Slip'!$J$10,'Estimation Model Normal-Slip'!$O$10,IF(H22='Estimation Model Normal-Slip'!$J$11,'Estimation Model Normal-Slip'!$O$11,IF(H22='Estimation Model Normal-Slip'!$J$12,'Estimation Model Normal-Slip'!$O$12,IF(H22='Estimation Model Normal-Slip'!$J$13,'Estimation Model Normal-Slip'!$O$13,2))))))</f>
        <v>1.9041242414694344</v>
      </c>
      <c r="J22" s="1">
        <f t="shared" si="0"/>
        <v>0.6440221871128996</v>
      </c>
      <c r="K22" s="1">
        <v>90</v>
      </c>
      <c r="L22" s="1" t="s">
        <v>15</v>
      </c>
      <c r="M22" t="s">
        <v>289</v>
      </c>
      <c r="N22">
        <f t="shared" si="6"/>
        <v>18</v>
      </c>
      <c r="O22" s="1">
        <f t="shared" si="7"/>
        <v>37</v>
      </c>
      <c r="P22">
        <f t="shared" si="8"/>
        <v>0</v>
      </c>
      <c r="Q22">
        <f t="shared" si="9"/>
        <v>0</v>
      </c>
      <c r="R22" s="1">
        <v>2</v>
      </c>
      <c r="S22" s="1">
        <f t="shared" si="10"/>
        <v>4</v>
      </c>
      <c r="T22">
        <f t="shared" si="11"/>
        <v>25.968162268083034</v>
      </c>
      <c r="U22">
        <f>IF(M22="medium dense",'Coefficient Normal'!$E$18 + ('Coefficient Normal'!$E$19*S22) + ('Coefficient Normal'!$E$20*(S22^2)) + ('Coefficient Normal'!$E$21*(S22^3)) + ('Coefficient Normal'!$E$22*(S22^4)),IF(M22="dense",'Coefficient Normal'!$F$18 + ('Coefficient Normal'!$F$19*S22) + ('Coefficient Normal'!$F$20*(S22^2)) + ('Coefficient Normal'!$F$21*(S22^3)) + ('Coefficient Normal'!$F$22*(S22^4)),IF(M22="very dense",'Coefficient Normal'!$G$18 + ('Coefficient Normal'!$G$19*S22) + ('Coefficient Normal'!$G$20*(S22^2)) + ('Coefficient Normal'!$G$21*(S22^3)) + ('Coefficient Normal'!$G$22*(S22^4)),0)))</f>
        <v>14.286272930000003</v>
      </c>
      <c r="V22">
        <f t="shared" si="12"/>
        <v>64.071522599936642</v>
      </c>
      <c r="W22">
        <f t="shared" si="13"/>
        <v>401.31383858985748</v>
      </c>
      <c r="X22">
        <f t="shared" si="14"/>
        <v>5.9947437610786407</v>
      </c>
      <c r="Y22">
        <f t="shared" si="1"/>
        <v>3.9606881774094269</v>
      </c>
      <c r="Z22">
        <f t="shared" si="2"/>
        <v>3.2568712595236238</v>
      </c>
      <c r="AA22" s="38">
        <f>VLOOKUP(K22,'Coefficient Normal'!$A$3:$H$7,2,TRUE)</f>
        <v>14.575100000000001</v>
      </c>
      <c r="AB22" s="38">
        <f>VLOOKUP(K22,'Coefficient Normal'!$A$3:$H$7,3,TRUE)</f>
        <v>0.1356</v>
      </c>
      <c r="AC22" s="38">
        <f>VLOOKUP(K22,'Coefficient Normal'!$A$3:$H$7,4,TRUE)</f>
        <v>2.9990000000000001</v>
      </c>
      <c r="AD22" s="38">
        <f>VLOOKUP(K22,'Coefficient Normal'!$A$3:$H$7,5,TRUE)</f>
        <v>-0.94710000000000005</v>
      </c>
      <c r="AE22" s="38">
        <f>VLOOKUP(K22,'Coefficient Normal'!$A$3:$H$7,6,TRUE)</f>
        <v>0.6603</v>
      </c>
      <c r="AF22" s="38">
        <f>VLOOKUP(K22,'Coefficient Normal'!$A$3:$H$7,7,TRUE)</f>
        <v>-1.2488999999999999</v>
      </c>
      <c r="AG22" s="38">
        <f>VLOOKUP(K22,'Coefficient Normal'!$A$3:$H$7,8,TRUE)</f>
        <v>-0.44140000000000001</v>
      </c>
      <c r="AH22" s="38">
        <f t="shared" si="15"/>
        <v>1.0194461292254438</v>
      </c>
      <c r="AI22" s="38">
        <f>VLOOKUP(K22,'Coefficient Normal'!$A$10:$P$14,2,TRUE)</f>
        <v>5.1353999999999997</v>
      </c>
      <c r="AJ22" s="38">
        <f>VLOOKUP(K22,'Coefficient Normal'!$A$10:$P$14,3,TRUE)</f>
        <v>-4.9599999999999998E-2</v>
      </c>
      <c r="AK22" s="38">
        <f>VLOOKUP(K22,'Coefficient Normal'!$A$10:$P$14,4,TRUE)</f>
        <v>0.44590000000000002</v>
      </c>
      <c r="AL22" s="38">
        <f>VLOOKUP(K22,'Coefficient Normal'!$A$10:$P$14,5,TRUE)</f>
        <v>-0.83709999999999996</v>
      </c>
      <c r="AM22" s="38">
        <f>VLOOKUP(K22,'Coefficient Normal'!$A$10:$P$14,6,TRUE)</f>
        <v>0.63090000000000002</v>
      </c>
      <c r="AN22" s="38">
        <f>VLOOKUP(K22,'Coefficient Normal'!$A$10:$P$14,7,TRUE)</f>
        <v>0.91390000000000005</v>
      </c>
      <c r="AO22" s="38">
        <f>VLOOKUP(K22,'Coefficient Normal'!$A$10:$P$14,8,TRUE)</f>
        <v>2.5000000000000001E-3</v>
      </c>
      <c r="AP22" s="38">
        <f>VLOOKUP(K22,'Coefficient Normal'!$A$10:$P$14,9,TRUE)</f>
        <v>1.6000000000000001E-3</v>
      </c>
      <c r="AQ22" s="38">
        <f>VLOOKUP(K22,'Coefficient Normal'!$A$10:$P$14,10,TRUE)</f>
        <v>-9.7500000000000003E-2</v>
      </c>
      <c r="AR22" s="38">
        <f>VLOOKUP(K22,'Coefficient Normal'!$A$10:$P$14,11,TRUE)</f>
        <v>1.1999999999999999E-3</v>
      </c>
      <c r="AS22" s="38">
        <f>VLOOKUP(K22,'Coefficient Normal'!$A$10:$P$14,12,TRUE)</f>
        <v>0.46479999999999999</v>
      </c>
      <c r="AT22" s="38">
        <f>VLOOKUP(K22,'Coefficient Normal'!$A$10:$P$14,13,TRUE)</f>
        <v>8.0000000000000004E-4</v>
      </c>
      <c r="AU22" s="38">
        <f>VLOOKUP(K22,'Coefficient Normal'!$A$10:$P$14,14,TRUE)</f>
        <v>6.7900000000000002E-2</v>
      </c>
      <c r="AV22" s="38">
        <f>VLOOKUP(K22,'Coefficient Normal'!$A$10:$P$14,15,TRUE)</f>
        <v>0.58979999999999999</v>
      </c>
      <c r="AW22" s="5">
        <f t="shared" si="16"/>
        <v>1</v>
      </c>
      <c r="AX22" s="5">
        <f t="shared" si="3"/>
        <v>0</v>
      </c>
      <c r="AY22" s="5">
        <f t="shared" si="17"/>
        <v>1</v>
      </c>
      <c r="AZ22" s="38">
        <f t="shared" si="18"/>
        <v>0.94431253165445961</v>
      </c>
      <c r="BA22" s="1">
        <v>1.2</v>
      </c>
      <c r="BB22">
        <f t="shared" si="19"/>
        <v>0.18232155679395459</v>
      </c>
      <c r="BC22" s="38">
        <f t="shared" si="20"/>
        <v>-0.83712457243148919</v>
      </c>
      <c r="BD22" s="38">
        <f t="shared" si="21"/>
        <v>-0.79050722430293663</v>
      </c>
      <c r="BE22" s="38">
        <f t="shared" si="22"/>
        <v>-0.19645013359950758</v>
      </c>
      <c r="BF22" s="38">
        <f t="shared" si="23"/>
        <v>1.4522388946215838</v>
      </c>
      <c r="BG22" s="38">
        <f t="shared" si="24"/>
        <v>-5.0182000023989302</v>
      </c>
      <c r="BH22" s="38">
        <f t="shared" si="25"/>
        <v>-0.43730655621526948</v>
      </c>
      <c r="BI22" s="38">
        <f t="shared" si="26"/>
        <v>0.14517497810493862</v>
      </c>
      <c r="BJ22" s="3">
        <f t="shared" si="27"/>
        <v>1.1562418695797201</v>
      </c>
      <c r="BK22">
        <f>VLOOKUP(K22,'Coefficient Normal'!$A$10:$P$14,16,TRUE)</f>
        <v>0.34749999999999998</v>
      </c>
      <c r="BL22">
        <v>0.25</v>
      </c>
    </row>
    <row r="23" spans="1:64" x14ac:dyDescent="0.25">
      <c r="T23">
        <f>PI() * B13 * R13*N13* 0.5 * (1 + (1 - SIN(RADIANS(O13)))) * TAN(RADIANS(0.9*O13))</f>
        <v>27.702835507590976</v>
      </c>
      <c r="Z23">
        <f t="shared" si="2"/>
        <v>3.3215347728493456</v>
      </c>
    </row>
    <row r="26" spans="1:64" x14ac:dyDescent="0.25">
      <c r="A26" t="s">
        <v>61</v>
      </c>
      <c r="B26" t="s">
        <v>311</v>
      </c>
      <c r="C26" t="s">
        <v>1</v>
      </c>
      <c r="D26" t="s">
        <v>312</v>
      </c>
      <c r="E26" t="s">
        <v>2</v>
      </c>
      <c r="F26" t="s">
        <v>146</v>
      </c>
      <c r="G26" t="s">
        <v>147</v>
      </c>
      <c r="H26" t="s">
        <v>35</v>
      </c>
      <c r="I26" t="s">
        <v>37</v>
      </c>
      <c r="J26" t="s">
        <v>148</v>
      </c>
      <c r="K26" t="s">
        <v>52</v>
      </c>
      <c r="L26" t="s">
        <v>0</v>
      </c>
      <c r="M26" t="s">
        <v>108</v>
      </c>
      <c r="N26" t="s">
        <v>106</v>
      </c>
      <c r="O26" t="s">
        <v>107</v>
      </c>
      <c r="P26" t="s">
        <v>105</v>
      </c>
      <c r="Q26" t="s">
        <v>104</v>
      </c>
      <c r="R26" t="s">
        <v>310</v>
      </c>
      <c r="S26" t="s">
        <v>149</v>
      </c>
      <c r="T26" t="s">
        <v>13</v>
      </c>
      <c r="U26" t="s">
        <v>304</v>
      </c>
      <c r="V26" t="s">
        <v>150</v>
      </c>
      <c r="W26" t="s">
        <v>303</v>
      </c>
      <c r="X26" t="s">
        <v>302</v>
      </c>
      <c r="Y26" t="s">
        <v>194</v>
      </c>
      <c r="Z26" t="s">
        <v>307</v>
      </c>
      <c r="AA26" t="s">
        <v>32</v>
      </c>
      <c r="AB26" t="s">
        <v>25</v>
      </c>
      <c r="AC26" t="s">
        <v>26</v>
      </c>
      <c r="AD26" t="s">
        <v>122</v>
      </c>
      <c r="AE26" t="s">
        <v>123</v>
      </c>
      <c r="AF26" t="s">
        <v>124</v>
      </c>
      <c r="AG26" t="s">
        <v>125</v>
      </c>
      <c r="AH26" t="s">
        <v>293</v>
      </c>
      <c r="AI26" t="s">
        <v>38</v>
      </c>
      <c r="AJ26" t="s">
        <v>126</v>
      </c>
      <c r="AK26" t="s">
        <v>127</v>
      </c>
      <c r="AL26" t="s">
        <v>128</v>
      </c>
      <c r="AM26" t="s">
        <v>129</v>
      </c>
      <c r="AN26" t="s">
        <v>40</v>
      </c>
      <c r="AO26" t="s">
        <v>41</v>
      </c>
      <c r="AP26" t="s">
        <v>42</v>
      </c>
      <c r="AQ26" t="s">
        <v>43</v>
      </c>
      <c r="AR26" t="s">
        <v>44</v>
      </c>
      <c r="AS26" t="s">
        <v>45</v>
      </c>
      <c r="AT26" t="s">
        <v>46</v>
      </c>
      <c r="AU26" t="s">
        <v>47</v>
      </c>
      <c r="AV26" t="s">
        <v>48</v>
      </c>
      <c r="AW26" t="s">
        <v>294</v>
      </c>
      <c r="AX26" t="s">
        <v>295</v>
      </c>
      <c r="AY26" t="s">
        <v>308</v>
      </c>
      <c r="AZ26" t="s">
        <v>39</v>
      </c>
      <c r="BA26" t="s">
        <v>309</v>
      </c>
      <c r="BB26" t="s">
        <v>296</v>
      </c>
      <c r="BC26" t="s">
        <v>297</v>
      </c>
      <c r="BD26" t="s">
        <v>298</v>
      </c>
      <c r="BE26" t="s">
        <v>299</v>
      </c>
      <c r="BF26" t="s">
        <v>300</v>
      </c>
      <c r="BG26" t="s">
        <v>301</v>
      </c>
      <c r="BH26" t="s">
        <v>305</v>
      </c>
      <c r="BI26" t="s">
        <v>306</v>
      </c>
      <c r="BJ26" t="s">
        <v>14</v>
      </c>
      <c r="BK26" t="s">
        <v>313</v>
      </c>
      <c r="BL26" t="s">
        <v>314</v>
      </c>
    </row>
    <row r="27" spans="1:64" x14ac:dyDescent="0.25">
      <c r="A27">
        <v>1</v>
      </c>
      <c r="B27">
        <v>1.0668</v>
      </c>
      <c r="C27">
        <v>1066.8</v>
      </c>
      <c r="D27">
        <v>9.5250000000000005E-3</v>
      </c>
      <c r="E27">
        <v>9.5250000000000004</v>
      </c>
      <c r="F27">
        <v>111.99999999999999</v>
      </c>
      <c r="G27">
        <v>30</v>
      </c>
      <c r="H27" t="s">
        <v>139</v>
      </c>
      <c r="I27">
        <v>1.9041242414694344</v>
      </c>
      <c r="J27">
        <v>0.6440221871128996</v>
      </c>
      <c r="K27">
        <v>45</v>
      </c>
      <c r="L27" t="s">
        <v>16</v>
      </c>
      <c r="M27" t="s">
        <v>287</v>
      </c>
      <c r="N27">
        <v>17.5</v>
      </c>
      <c r="O27">
        <v>0</v>
      </c>
      <c r="P27">
        <v>37.5</v>
      </c>
      <c r="Q27">
        <v>1.1000000000000001</v>
      </c>
      <c r="R27">
        <v>0.78739999999999999</v>
      </c>
      <c r="S27">
        <v>1.8</v>
      </c>
      <c r="T27">
        <v>138.24735551754566</v>
      </c>
      <c r="U27">
        <v>0</v>
      </c>
      <c r="V27">
        <v>0</v>
      </c>
      <c r="W27">
        <v>205.62569999999999</v>
      </c>
      <c r="X27">
        <v>5.3260575257691611</v>
      </c>
      <c r="Y27">
        <v>4.7184988712950942</v>
      </c>
      <c r="Z27">
        <v>4.9290445119558122</v>
      </c>
      <c r="AA27">
        <v>3.7532999999999999</v>
      </c>
      <c r="AB27">
        <v>0.14510000000000001</v>
      </c>
      <c r="AC27">
        <v>1.2497</v>
      </c>
      <c r="AD27">
        <v>-0.46100000000000002</v>
      </c>
      <c r="AE27">
        <v>0.39140000000000003</v>
      </c>
      <c r="AF27">
        <v>-0.21310000000000001</v>
      </c>
      <c r="AG27">
        <v>-0.34139999999999998</v>
      </c>
      <c r="AH27">
        <v>-0.41329261807183904</v>
      </c>
      <c r="AI27">
        <v>-1.1082000000000001</v>
      </c>
      <c r="AJ27">
        <v>0.10630000000000001</v>
      </c>
      <c r="AK27">
        <v>-0.1439</v>
      </c>
      <c r="AL27">
        <v>0.27879999999999999</v>
      </c>
      <c r="AM27">
        <v>-0.31030000000000002</v>
      </c>
      <c r="AN27">
        <v>1.2553000000000001</v>
      </c>
      <c r="AO27">
        <v>2.9999999999999997E-4</v>
      </c>
      <c r="AP27">
        <v>5.1999999999999998E-3</v>
      </c>
      <c r="AQ27">
        <v>-8.5900000000000004E-2</v>
      </c>
      <c r="AR27">
        <v>5.9999999999999995E-4</v>
      </c>
      <c r="AS27">
        <v>-0.21759999999999999</v>
      </c>
      <c r="AT27">
        <v>-2.69E-2</v>
      </c>
      <c r="AU27">
        <v>0.57389999999999997</v>
      </c>
      <c r="AV27">
        <v>0.34460000000000002</v>
      </c>
      <c r="AW27">
        <v>0</v>
      </c>
      <c r="AX27">
        <v>1</v>
      </c>
      <c r="AY27">
        <v>0</v>
      </c>
      <c r="AZ27">
        <v>1.8873300456791051</v>
      </c>
      <c r="BA27">
        <v>2.2496671510000001</v>
      </c>
      <c r="BB27">
        <v>0.8107822723842909</v>
      </c>
      <c r="BC27">
        <v>1.22407489045613</v>
      </c>
      <c r="BD27">
        <v>2.3102333189192135</v>
      </c>
      <c r="BE27">
        <v>0.50157643001866858</v>
      </c>
      <c r="BF27">
        <v>0</v>
      </c>
      <c r="BG27">
        <v>1.4849048381844421</v>
      </c>
      <c r="BH27">
        <v>-2.0065088184971575E-2</v>
      </c>
      <c r="BI27">
        <v>3.1684494989373526</v>
      </c>
      <c r="BJ27">
        <v>23.770599429084033</v>
      </c>
      <c r="BK27">
        <v>0.3997</v>
      </c>
      <c r="BL27">
        <v>0.25</v>
      </c>
    </row>
    <row r="28" spans="1:64" x14ac:dyDescent="0.25">
      <c r="A28">
        <v>2</v>
      </c>
      <c r="B28">
        <v>0.60960000000000003</v>
      </c>
      <c r="C28">
        <v>609.6</v>
      </c>
      <c r="D28">
        <v>9.5250000000000005E-3</v>
      </c>
      <c r="E28">
        <v>9.5250000000000004</v>
      </c>
      <c r="F28">
        <v>64</v>
      </c>
      <c r="G28">
        <v>50</v>
      </c>
      <c r="H28" t="s">
        <v>140</v>
      </c>
      <c r="I28">
        <v>2.4313344008036557</v>
      </c>
      <c r="J28">
        <v>0.88844024276557709</v>
      </c>
      <c r="K28">
        <v>60</v>
      </c>
      <c r="L28" t="s">
        <v>16</v>
      </c>
      <c r="M28" t="s">
        <v>291</v>
      </c>
      <c r="N28">
        <v>18</v>
      </c>
      <c r="O28">
        <v>0</v>
      </c>
      <c r="P28">
        <v>75</v>
      </c>
      <c r="Q28">
        <v>0.72</v>
      </c>
      <c r="R28">
        <v>1</v>
      </c>
      <c r="S28">
        <v>1.8</v>
      </c>
      <c r="T28">
        <v>103.41620360793024</v>
      </c>
      <c r="U28">
        <v>0</v>
      </c>
      <c r="V28">
        <v>0</v>
      </c>
      <c r="W28">
        <v>235.0008</v>
      </c>
      <c r="X28">
        <v>5.4595889183936839</v>
      </c>
      <c r="Y28">
        <v>4.1588830833596715</v>
      </c>
      <c r="Z28">
        <v>4.6387616578039736</v>
      </c>
      <c r="AA28">
        <v>4.3182999999999998</v>
      </c>
      <c r="AB28">
        <v>-2.7900000000000001E-2</v>
      </c>
      <c r="AC28">
        <v>1.0497000000000001</v>
      </c>
      <c r="AD28">
        <v>-0.46910000000000002</v>
      </c>
      <c r="AE28">
        <v>0.29149999999999998</v>
      </c>
      <c r="AF28">
        <v>-0.28610000000000002</v>
      </c>
      <c r="AG28">
        <v>-0.1348</v>
      </c>
      <c r="AH28">
        <v>-0.18964202917151285</v>
      </c>
      <c r="AI28">
        <v>-2.1276999999999999</v>
      </c>
      <c r="AJ28">
        <v>0.14760000000000001</v>
      </c>
      <c r="AK28">
        <v>-0.21829999999999999</v>
      </c>
      <c r="AL28">
        <v>0.42270000000000002</v>
      </c>
      <c r="AM28">
        <v>-0.53720000000000001</v>
      </c>
      <c r="AN28">
        <v>1.252</v>
      </c>
      <c r="AO28">
        <v>-5.9999999999999995E-4</v>
      </c>
      <c r="AP28">
        <v>5.3E-3</v>
      </c>
      <c r="AQ28">
        <v>-4.8500000000000001E-2</v>
      </c>
      <c r="AR28">
        <v>1.2999999999999999E-3</v>
      </c>
      <c r="AS28">
        <v>-0.56599999999999995</v>
      </c>
      <c r="AT28">
        <v>-3.2099999999999997E-2</v>
      </c>
      <c r="AU28">
        <v>0.84970000000000001</v>
      </c>
      <c r="AV28">
        <v>9.01E-2</v>
      </c>
      <c r="AW28">
        <v>0</v>
      </c>
      <c r="AX28">
        <v>1</v>
      </c>
      <c r="AY28">
        <v>0</v>
      </c>
      <c r="AZ28">
        <v>1.1190484658731783</v>
      </c>
      <c r="BA28">
        <v>2.3997944580000001</v>
      </c>
      <c r="BB28">
        <v>0.8753830911863717</v>
      </c>
      <c r="BC28">
        <v>1.0650251203578844</v>
      </c>
      <c r="BD28">
        <v>1.1918147270528876</v>
      </c>
      <c r="BE28">
        <v>0.61385114310388755</v>
      </c>
      <c r="BF28">
        <v>0</v>
      </c>
      <c r="BG28">
        <v>2.3077682358050104</v>
      </c>
      <c r="BH28">
        <v>0.26588836192033111</v>
      </c>
      <c r="BI28">
        <v>2.2516224678821168</v>
      </c>
      <c r="BJ28">
        <v>9.5031418775509646</v>
      </c>
      <c r="BK28">
        <v>0.50170000000000003</v>
      </c>
      <c r="BL28">
        <v>0.25</v>
      </c>
    </row>
    <row r="29" spans="1:64" x14ac:dyDescent="0.25">
      <c r="A29">
        <v>3</v>
      </c>
      <c r="B29">
        <v>0.40960000000000002</v>
      </c>
      <c r="C29">
        <v>409.6</v>
      </c>
      <c r="D29">
        <v>9.5250000000000005E-3</v>
      </c>
      <c r="E29">
        <v>9.5250000000000004</v>
      </c>
      <c r="F29">
        <v>43.00262467191601</v>
      </c>
      <c r="G29">
        <v>100</v>
      </c>
      <c r="H29" t="s">
        <v>141</v>
      </c>
      <c r="I29">
        <v>2.7690517990613435</v>
      </c>
      <c r="J29">
        <v>1.0185049507893496</v>
      </c>
      <c r="K29">
        <v>75</v>
      </c>
      <c r="L29" t="s">
        <v>16</v>
      </c>
      <c r="M29" t="s">
        <v>288</v>
      </c>
      <c r="N29">
        <v>18.5</v>
      </c>
      <c r="O29">
        <v>0</v>
      </c>
      <c r="P29">
        <v>125</v>
      </c>
      <c r="Q29">
        <v>0.4</v>
      </c>
      <c r="R29">
        <v>1.2</v>
      </c>
      <c r="S29">
        <v>2.9296874999999996</v>
      </c>
      <c r="T29">
        <v>64.339817545518969</v>
      </c>
      <c r="U29">
        <v>0</v>
      </c>
      <c r="V29">
        <v>0</v>
      </c>
      <c r="W29">
        <v>263.16800000000001</v>
      </c>
      <c r="X29">
        <v>5.5727926115125355</v>
      </c>
      <c r="Y29">
        <v>3.7612611527125335</v>
      </c>
      <c r="Z29">
        <v>4.1641786860207075</v>
      </c>
      <c r="AA29">
        <v>5.5951000000000004</v>
      </c>
      <c r="AB29">
        <v>1.6E-2</v>
      </c>
      <c r="AC29">
        <v>1.2641</v>
      </c>
      <c r="AD29">
        <v>-0.52429999999999999</v>
      </c>
      <c r="AE29">
        <v>0.35830000000000001</v>
      </c>
      <c r="AF29">
        <v>-0.35920000000000002</v>
      </c>
      <c r="AG29">
        <v>-0.2482</v>
      </c>
      <c r="AH29">
        <v>-0.10191548431435926</v>
      </c>
      <c r="AI29">
        <v>-2.3450000000000002</v>
      </c>
      <c r="AJ29">
        <v>0.19470000000000001</v>
      </c>
      <c r="AK29">
        <v>-0.2044</v>
      </c>
      <c r="AL29">
        <v>0.4143</v>
      </c>
      <c r="AM29">
        <v>-0.55710000000000004</v>
      </c>
      <c r="AN29">
        <v>1.0931</v>
      </c>
      <c r="AO29">
        <v>1E-4</v>
      </c>
      <c r="AP29">
        <v>3.5000000000000001E-3</v>
      </c>
      <c r="AQ29">
        <v>-4.07E-2</v>
      </c>
      <c r="AR29">
        <v>1.6000000000000001E-3</v>
      </c>
      <c r="AS29">
        <v>-0.65949999999999998</v>
      </c>
      <c r="AT29">
        <v>-3.0099999999999998E-2</v>
      </c>
      <c r="AU29">
        <v>0.84219999999999995</v>
      </c>
      <c r="AV29">
        <v>0.50680000000000003</v>
      </c>
      <c r="AW29">
        <v>0</v>
      </c>
      <c r="AX29">
        <v>0</v>
      </c>
      <c r="AY29">
        <v>0</v>
      </c>
      <c r="AZ29">
        <v>0.69887830906004234</v>
      </c>
      <c r="BA29">
        <v>2.5498958799999998</v>
      </c>
      <c r="BB29">
        <v>0.93605252696416252</v>
      </c>
      <c r="BC29">
        <v>1.0379680112785219</v>
      </c>
      <c r="BD29">
        <v>0.72541332858074836</v>
      </c>
      <c r="BE29">
        <v>0.7323175464331303</v>
      </c>
      <c r="BF29">
        <v>0</v>
      </c>
      <c r="BG29">
        <v>2.3088079789496434</v>
      </c>
      <c r="BH29">
        <v>0.49725308974858501</v>
      </c>
      <c r="BI29">
        <v>1.918791943712107</v>
      </c>
      <c r="BJ29">
        <v>6.8127233427721814</v>
      </c>
      <c r="BK29">
        <v>0.43780000000000002</v>
      </c>
      <c r="BL29">
        <v>0.25</v>
      </c>
    </row>
    <row r="30" spans="1:64" x14ac:dyDescent="0.25">
      <c r="A30">
        <v>4</v>
      </c>
      <c r="B30">
        <v>0.89600000000000002</v>
      </c>
      <c r="C30">
        <v>896</v>
      </c>
      <c r="D30">
        <v>9.5250000000000005E-3</v>
      </c>
      <c r="E30">
        <v>9.5250000000000004</v>
      </c>
      <c r="F30">
        <v>94.068241469816272</v>
      </c>
      <c r="G30">
        <v>300</v>
      </c>
      <c r="H30" t="s">
        <v>139</v>
      </c>
      <c r="I30">
        <v>1.9041242414694344</v>
      </c>
      <c r="J30">
        <v>0.6440221871128996</v>
      </c>
      <c r="K30">
        <v>90</v>
      </c>
      <c r="L30" t="s">
        <v>16</v>
      </c>
      <c r="M30" t="s">
        <v>287</v>
      </c>
      <c r="N30">
        <v>17.5</v>
      </c>
      <c r="O30">
        <v>0</v>
      </c>
      <c r="P30">
        <v>37.5</v>
      </c>
      <c r="Q30">
        <v>1.1000000000000001</v>
      </c>
      <c r="R30">
        <v>2.5</v>
      </c>
      <c r="S30">
        <v>2.7901785714285712</v>
      </c>
      <c r="T30">
        <v>116.11326447667876</v>
      </c>
      <c r="U30">
        <v>0</v>
      </c>
      <c r="V30">
        <v>0</v>
      </c>
      <c r="W30">
        <v>172.70400000000001</v>
      </c>
      <c r="X30">
        <v>5.1515791464362319</v>
      </c>
      <c r="Y30">
        <v>4.5440204919621658</v>
      </c>
      <c r="Z30">
        <v>4.7545661326228839</v>
      </c>
      <c r="AA30">
        <v>14.575100000000001</v>
      </c>
      <c r="AB30">
        <v>0.1356</v>
      </c>
      <c r="AC30">
        <v>2.9990000000000001</v>
      </c>
      <c r="AD30">
        <v>-0.94710000000000005</v>
      </c>
      <c r="AE30">
        <v>0.6603</v>
      </c>
      <c r="AF30">
        <v>-1.2488999999999999</v>
      </c>
      <c r="AG30">
        <v>-0.44140000000000001</v>
      </c>
      <c r="AH30">
        <v>2.6083314756970983</v>
      </c>
      <c r="AI30">
        <v>5.1353999999999997</v>
      </c>
      <c r="AJ30">
        <v>-4.9599999999999998E-2</v>
      </c>
      <c r="AK30">
        <v>0.44590000000000002</v>
      </c>
      <c r="AL30">
        <v>-0.83709999999999996</v>
      </c>
      <c r="AM30">
        <v>0.63090000000000002</v>
      </c>
      <c r="AN30">
        <v>0.91390000000000005</v>
      </c>
      <c r="AO30">
        <v>2.5000000000000001E-3</v>
      </c>
      <c r="AP30">
        <v>1.6000000000000001E-3</v>
      </c>
      <c r="AQ30">
        <v>-9.7500000000000003E-2</v>
      </c>
      <c r="AR30">
        <v>1.1999999999999999E-3</v>
      </c>
      <c r="AS30">
        <v>0.46479999999999999</v>
      </c>
      <c r="AT30">
        <v>8.0000000000000004E-4</v>
      </c>
      <c r="AU30">
        <v>6.7900000000000002E-2</v>
      </c>
      <c r="AV30">
        <v>0.58979999999999999</v>
      </c>
      <c r="AW30">
        <v>1</v>
      </c>
      <c r="AX30">
        <v>0</v>
      </c>
      <c r="AY30">
        <v>0</v>
      </c>
      <c r="AZ30">
        <v>1.2195650509554765</v>
      </c>
      <c r="BA30">
        <v>2.699997304</v>
      </c>
      <c r="BB30">
        <v>0.99325077449126642</v>
      </c>
      <c r="BC30">
        <v>-1.6150807012058319</v>
      </c>
      <c r="BD30">
        <v>-1.9696959776632972</v>
      </c>
      <c r="BE30">
        <v>-0.22538341640132342</v>
      </c>
      <c r="BF30">
        <v>0</v>
      </c>
      <c r="BG30">
        <v>-4.3123869034817695</v>
      </c>
      <c r="BH30">
        <v>-6.928219896394662E-2</v>
      </c>
      <c r="BI30">
        <v>-1.4413484965103371</v>
      </c>
      <c r="BJ30">
        <v>0.23660847774933161</v>
      </c>
      <c r="BK30">
        <v>0.34749999999999998</v>
      </c>
      <c r="BL30">
        <v>0.25</v>
      </c>
    </row>
    <row r="31" spans="1:64" x14ac:dyDescent="0.25">
      <c r="A31">
        <v>5</v>
      </c>
      <c r="B31">
        <v>0.5</v>
      </c>
      <c r="C31">
        <v>500</v>
      </c>
      <c r="D31">
        <v>9.5250000000000005E-3</v>
      </c>
      <c r="E31">
        <v>9.5250000000000004</v>
      </c>
      <c r="F31">
        <v>52.493438320209975</v>
      </c>
      <c r="G31">
        <v>30</v>
      </c>
      <c r="H31" t="s">
        <v>141</v>
      </c>
      <c r="I31">
        <v>2.7690517990613435</v>
      </c>
      <c r="J31">
        <v>1.0185049507893496</v>
      </c>
      <c r="K31">
        <v>45</v>
      </c>
      <c r="L31" t="s">
        <v>16</v>
      </c>
      <c r="M31" t="s">
        <v>291</v>
      </c>
      <c r="N31">
        <v>18</v>
      </c>
      <c r="O31">
        <v>0</v>
      </c>
      <c r="P31">
        <v>75</v>
      </c>
      <c r="Q31">
        <v>0.72</v>
      </c>
      <c r="R31">
        <v>1</v>
      </c>
      <c r="S31">
        <v>2</v>
      </c>
      <c r="T31">
        <v>84.823001646924411</v>
      </c>
      <c r="U31">
        <v>0</v>
      </c>
      <c r="V31">
        <v>0</v>
      </c>
      <c r="W31">
        <v>192.75</v>
      </c>
      <c r="X31">
        <v>5.2613940124434393</v>
      </c>
      <c r="Y31">
        <v>3.9606881774094269</v>
      </c>
      <c r="Z31">
        <v>4.4405667518537291</v>
      </c>
      <c r="AA31">
        <v>3.7532999999999999</v>
      </c>
      <c r="AB31">
        <v>0.14510000000000001</v>
      </c>
      <c r="AC31">
        <v>1.2497</v>
      </c>
      <c r="AD31">
        <v>-0.46100000000000002</v>
      </c>
      <c r="AE31">
        <v>0.39140000000000003</v>
      </c>
      <c r="AF31">
        <v>-0.21310000000000001</v>
      </c>
      <c r="AG31">
        <v>-0.34139999999999998</v>
      </c>
      <c r="AH31">
        <v>-0.68385925664793912</v>
      </c>
      <c r="AI31">
        <v>-1.1082000000000001</v>
      </c>
      <c r="AJ31">
        <v>0.10630000000000001</v>
      </c>
      <c r="AK31">
        <v>-0.1439</v>
      </c>
      <c r="AL31">
        <v>0.27879999999999999</v>
      </c>
      <c r="AM31">
        <v>-0.31030000000000002</v>
      </c>
      <c r="AN31">
        <v>1.2553000000000001</v>
      </c>
      <c r="AO31">
        <v>2.9999999999999997E-4</v>
      </c>
      <c r="AP31">
        <v>5.1999999999999998E-3</v>
      </c>
      <c r="AQ31">
        <v>-8.5900000000000004E-2</v>
      </c>
      <c r="AR31">
        <v>5.9999999999999995E-4</v>
      </c>
      <c r="AS31">
        <v>-0.21759999999999999</v>
      </c>
      <c r="AT31">
        <v>-2.69E-2</v>
      </c>
      <c r="AU31">
        <v>0.57389999999999997</v>
      </c>
      <c r="AV31">
        <v>0.34460000000000002</v>
      </c>
      <c r="AW31">
        <v>0</v>
      </c>
      <c r="AX31">
        <v>1</v>
      </c>
      <c r="AY31">
        <v>0</v>
      </c>
      <c r="AZ31">
        <v>2.0163768060420098</v>
      </c>
      <c r="BA31">
        <v>2.8500987279999999</v>
      </c>
      <c r="BB31">
        <v>1.0473536350840684</v>
      </c>
      <c r="BC31">
        <v>1.7312128917320075</v>
      </c>
      <c r="BD31">
        <v>3.490777521209337</v>
      </c>
      <c r="BE31">
        <v>0.42102115325862211</v>
      </c>
      <c r="BF31">
        <v>0</v>
      </c>
      <c r="BG31">
        <v>1.4668766506692308</v>
      </c>
      <c r="BH31">
        <v>0.21508357012775103</v>
      </c>
      <c r="BI31">
        <v>4.4855588952649406</v>
      </c>
      <c r="BJ31">
        <v>88.726525793199741</v>
      </c>
      <c r="BK31">
        <v>0.3997</v>
      </c>
      <c r="BL31">
        <v>0.25</v>
      </c>
    </row>
    <row r="32" spans="1:64" x14ac:dyDescent="0.25">
      <c r="A32">
        <v>6</v>
      </c>
      <c r="B32">
        <v>1.0668</v>
      </c>
      <c r="C32">
        <v>1066.8</v>
      </c>
      <c r="D32">
        <v>9.5250000000000005E-3</v>
      </c>
      <c r="E32">
        <v>9.5250000000000004</v>
      </c>
      <c r="F32">
        <v>111.99999999999999</v>
      </c>
      <c r="G32">
        <v>50</v>
      </c>
      <c r="H32" t="s">
        <v>142</v>
      </c>
      <c r="I32">
        <v>2.8464933991254466</v>
      </c>
      <c r="J32">
        <v>1.04608785046215</v>
      </c>
      <c r="K32">
        <v>60</v>
      </c>
      <c r="L32" t="s">
        <v>16</v>
      </c>
      <c r="M32" t="s">
        <v>288</v>
      </c>
      <c r="N32">
        <v>18.5</v>
      </c>
      <c r="O32">
        <v>0</v>
      </c>
      <c r="P32">
        <v>125</v>
      </c>
      <c r="Q32">
        <v>0.4</v>
      </c>
      <c r="R32">
        <v>1.2</v>
      </c>
      <c r="S32">
        <v>1.8</v>
      </c>
      <c r="T32">
        <v>167.57255214247957</v>
      </c>
      <c r="U32">
        <v>0</v>
      </c>
      <c r="V32">
        <v>0</v>
      </c>
      <c r="W32">
        <v>685.41899999999998</v>
      </c>
      <c r="X32">
        <v>6.530030330095097</v>
      </c>
      <c r="Y32">
        <v>4.7184988712950942</v>
      </c>
      <c r="Z32">
        <v>5.1214164046032682</v>
      </c>
      <c r="AA32">
        <v>4.3182999999999998</v>
      </c>
      <c r="AB32">
        <v>-2.7900000000000001E-2</v>
      </c>
      <c r="AC32">
        <v>1.0497000000000001</v>
      </c>
      <c r="AD32">
        <v>-0.46910000000000002</v>
      </c>
      <c r="AE32">
        <v>0.29149999999999998</v>
      </c>
      <c r="AF32">
        <v>-0.28610000000000002</v>
      </c>
      <c r="AG32">
        <v>-0.1348</v>
      </c>
      <c r="AH32">
        <v>-0.19008997280897444</v>
      </c>
      <c r="AI32">
        <v>-2.1276999999999999</v>
      </c>
      <c r="AJ32">
        <v>0.14760000000000001</v>
      </c>
      <c r="AK32">
        <v>-0.21829999999999999</v>
      </c>
      <c r="AL32">
        <v>0.42270000000000002</v>
      </c>
      <c r="AM32">
        <v>-0.53720000000000001</v>
      </c>
      <c r="AN32">
        <v>1.252</v>
      </c>
      <c r="AO32">
        <v>-5.9999999999999995E-4</v>
      </c>
      <c r="AP32">
        <v>5.3E-3</v>
      </c>
      <c r="AQ32">
        <v>-4.8500000000000001E-2</v>
      </c>
      <c r="AR32">
        <v>1.2999999999999999E-3</v>
      </c>
      <c r="AS32">
        <v>-0.56599999999999995</v>
      </c>
      <c r="AT32">
        <v>-3.2099999999999997E-2</v>
      </c>
      <c r="AU32">
        <v>0.84970000000000001</v>
      </c>
      <c r="AV32">
        <v>9.01E-2</v>
      </c>
      <c r="AW32">
        <v>0</v>
      </c>
      <c r="AX32">
        <v>1</v>
      </c>
      <c r="AY32">
        <v>0</v>
      </c>
      <c r="AZ32">
        <v>1.1332525153266395</v>
      </c>
      <c r="BA32">
        <v>3.0002260330000001</v>
      </c>
      <c r="BB32">
        <v>1.0986876301632014</v>
      </c>
      <c r="BC32">
        <v>1.2887776029721758</v>
      </c>
      <c r="BD32">
        <v>1.4605104602648553</v>
      </c>
      <c r="BE32">
        <v>0.69645043340315593</v>
      </c>
      <c r="BF32">
        <v>0</v>
      </c>
      <c r="BG32">
        <v>2.7602438205311977</v>
      </c>
      <c r="BH32">
        <v>-3.4737239358577927E-2</v>
      </c>
      <c r="BI32">
        <v>2.754767474840631</v>
      </c>
      <c r="BJ32">
        <v>15.717385790231511</v>
      </c>
      <c r="BK32">
        <v>0.50170000000000003</v>
      </c>
      <c r="BL32">
        <v>0.25</v>
      </c>
    </row>
    <row r="33" spans="1:64" x14ac:dyDescent="0.25">
      <c r="A33">
        <v>7</v>
      </c>
      <c r="B33">
        <v>0.60960000000000003</v>
      </c>
      <c r="C33">
        <v>609.6</v>
      </c>
      <c r="D33">
        <v>9.5250000000000005E-3</v>
      </c>
      <c r="E33">
        <v>9.5250000000000004</v>
      </c>
      <c r="F33">
        <v>64</v>
      </c>
      <c r="G33">
        <v>100</v>
      </c>
      <c r="H33" t="s">
        <v>139</v>
      </c>
      <c r="I33">
        <v>1.9041242414694344</v>
      </c>
      <c r="J33">
        <v>0.6440221871128996</v>
      </c>
      <c r="K33">
        <v>75</v>
      </c>
      <c r="L33" t="s">
        <v>16</v>
      </c>
      <c r="M33" t="s">
        <v>287</v>
      </c>
      <c r="N33">
        <v>17.5</v>
      </c>
      <c r="O33">
        <v>0</v>
      </c>
      <c r="P33">
        <v>37.5</v>
      </c>
      <c r="Q33">
        <v>1.1000000000000001</v>
      </c>
      <c r="R33">
        <v>0.78739999999999999</v>
      </c>
      <c r="S33">
        <v>1.8</v>
      </c>
      <c r="T33">
        <v>78.998488867168945</v>
      </c>
      <c r="U33">
        <v>0</v>
      </c>
      <c r="V33">
        <v>0</v>
      </c>
      <c r="W33">
        <v>117.5004</v>
      </c>
      <c r="X33">
        <v>4.7664417378337385</v>
      </c>
      <c r="Y33">
        <v>4.1588830833596715</v>
      </c>
      <c r="Z33">
        <v>4.3694287240203895</v>
      </c>
      <c r="AA33">
        <v>5.5951000000000004</v>
      </c>
      <c r="AB33">
        <v>1.6E-2</v>
      </c>
      <c r="AC33">
        <v>1.2641</v>
      </c>
      <c r="AD33">
        <v>-0.52429999999999999</v>
      </c>
      <c r="AE33">
        <v>0.35830000000000001</v>
      </c>
      <c r="AF33">
        <v>-0.35920000000000002</v>
      </c>
      <c r="AG33">
        <v>-0.2482</v>
      </c>
      <c r="AH33">
        <v>0.2967662201470247</v>
      </c>
      <c r="AI33">
        <v>-2.3450000000000002</v>
      </c>
      <c r="AJ33">
        <v>0.19470000000000001</v>
      </c>
      <c r="AK33">
        <v>-0.2044</v>
      </c>
      <c r="AL33">
        <v>0.4143</v>
      </c>
      <c r="AM33">
        <v>-0.55710000000000004</v>
      </c>
      <c r="AN33">
        <v>1.0931</v>
      </c>
      <c r="AO33">
        <v>1E-4</v>
      </c>
      <c r="AP33">
        <v>3.5000000000000001E-3</v>
      </c>
      <c r="AQ33">
        <v>-4.07E-2</v>
      </c>
      <c r="AR33">
        <v>1.6000000000000001E-3</v>
      </c>
      <c r="AS33">
        <v>-0.65949999999999998</v>
      </c>
      <c r="AT33">
        <v>-3.0099999999999998E-2</v>
      </c>
      <c r="AU33">
        <v>0.84219999999999995</v>
      </c>
      <c r="AV33">
        <v>0.50680000000000003</v>
      </c>
      <c r="AW33">
        <v>1</v>
      </c>
      <c r="AX33">
        <v>0</v>
      </c>
      <c r="AY33">
        <v>0</v>
      </c>
      <c r="AZ33">
        <v>1.1626998488867168</v>
      </c>
      <c r="BA33">
        <v>0.14999670000000001</v>
      </c>
      <c r="BB33">
        <v>-1.8971419851278848</v>
      </c>
      <c r="BC33">
        <v>-2.1939082052749095</v>
      </c>
      <c r="BD33">
        <v>-2.5508567387444656</v>
      </c>
      <c r="BE33">
        <v>0.80973453633012804</v>
      </c>
      <c r="BF33">
        <v>0</v>
      </c>
      <c r="BG33">
        <v>1.9747368119845179</v>
      </c>
      <c r="BH33">
        <v>0.27573791218506416</v>
      </c>
      <c r="BI33">
        <v>-1.8356474782447552</v>
      </c>
      <c r="BJ33">
        <v>0.15951018894816493</v>
      </c>
      <c r="BK33">
        <v>0.43780000000000002</v>
      </c>
      <c r="BL33">
        <v>0.25</v>
      </c>
    </row>
    <row r="34" spans="1:64" x14ac:dyDescent="0.25">
      <c r="A34">
        <v>8</v>
      </c>
      <c r="B34">
        <v>0.40960000000000002</v>
      </c>
      <c r="C34">
        <v>409.6</v>
      </c>
      <c r="D34">
        <v>9.5250000000000005E-3</v>
      </c>
      <c r="E34">
        <v>9.5250000000000004</v>
      </c>
      <c r="F34">
        <v>43.00262467191601</v>
      </c>
      <c r="G34">
        <v>300</v>
      </c>
      <c r="H34" t="s">
        <v>140</v>
      </c>
      <c r="I34">
        <v>2.4313344008036557</v>
      </c>
      <c r="J34">
        <v>0.88844024276557709</v>
      </c>
      <c r="K34">
        <v>90</v>
      </c>
      <c r="L34" t="s">
        <v>16</v>
      </c>
      <c r="M34" t="s">
        <v>291</v>
      </c>
      <c r="N34">
        <v>18</v>
      </c>
      <c r="O34">
        <v>0</v>
      </c>
      <c r="P34">
        <v>75</v>
      </c>
      <c r="Q34">
        <v>0.72</v>
      </c>
      <c r="R34">
        <v>1</v>
      </c>
      <c r="S34">
        <v>2.44140625</v>
      </c>
      <c r="T34">
        <v>69.487002949160484</v>
      </c>
      <c r="U34">
        <v>0</v>
      </c>
      <c r="V34">
        <v>0</v>
      </c>
      <c r="W34">
        <v>157.9008</v>
      </c>
      <c r="X34">
        <v>5.061966987746545</v>
      </c>
      <c r="Y34">
        <v>3.7612611527125335</v>
      </c>
      <c r="Z34">
        <v>4.2411397271568356</v>
      </c>
      <c r="AA34">
        <v>14.575100000000001</v>
      </c>
      <c r="AB34">
        <v>0.1356</v>
      </c>
      <c r="AC34">
        <v>2.9990000000000001</v>
      </c>
      <c r="AD34">
        <v>-0.94710000000000005</v>
      </c>
      <c r="AE34">
        <v>0.6603</v>
      </c>
      <c r="AF34">
        <v>-1.2488999999999999</v>
      </c>
      <c r="AG34">
        <v>-0.44140000000000001</v>
      </c>
      <c r="AH34">
        <v>1.5021198699985039</v>
      </c>
      <c r="AI34">
        <v>5.1353999999999997</v>
      </c>
      <c r="AJ34">
        <v>-4.9599999999999998E-2</v>
      </c>
      <c r="AK34">
        <v>0.44590000000000002</v>
      </c>
      <c r="AL34">
        <v>-0.83709999999999996</v>
      </c>
      <c r="AM34">
        <v>0.63090000000000002</v>
      </c>
      <c r="AN34">
        <v>0.91390000000000005</v>
      </c>
      <c r="AO34">
        <v>2.5000000000000001E-3</v>
      </c>
      <c r="AP34">
        <v>1.6000000000000001E-3</v>
      </c>
      <c r="AQ34">
        <v>-9.7500000000000003E-2</v>
      </c>
      <c r="AR34">
        <v>1.1999999999999999E-3</v>
      </c>
      <c r="AS34">
        <v>0.46479999999999999</v>
      </c>
      <c r="AT34">
        <v>8.0000000000000004E-4</v>
      </c>
      <c r="AU34">
        <v>6.7900000000000002E-2</v>
      </c>
      <c r="AV34">
        <v>0.58979999999999999</v>
      </c>
      <c r="AW34">
        <v>1</v>
      </c>
      <c r="AX34">
        <v>0</v>
      </c>
      <c r="AY34">
        <v>0</v>
      </c>
      <c r="AZ34">
        <v>1.0417206569792006</v>
      </c>
      <c r="BA34">
        <v>0.29999340000000002</v>
      </c>
      <c r="BB34">
        <v>-1.2039948045679394</v>
      </c>
      <c r="BC34">
        <v>-2.7061146745664431</v>
      </c>
      <c r="BD34">
        <v>-2.8190155566504105</v>
      </c>
      <c r="BE34">
        <v>-0.18655855317454165</v>
      </c>
      <c r="BF34">
        <v>0</v>
      </c>
      <c r="BG34">
        <v>-4.2373725654426329</v>
      </c>
      <c r="BH34">
        <v>-0.56312506609653967</v>
      </c>
      <c r="BI34">
        <v>-2.6706717413641248</v>
      </c>
      <c r="BJ34">
        <v>6.9205721346114552E-2</v>
      </c>
      <c r="BK34">
        <v>0.34749999999999998</v>
      </c>
      <c r="BL34">
        <v>0.25</v>
      </c>
    </row>
    <row r="35" spans="1:64" x14ac:dyDescent="0.25">
      <c r="A35">
        <v>9</v>
      </c>
      <c r="B35">
        <v>0.89600000000000002</v>
      </c>
      <c r="C35">
        <v>896</v>
      </c>
      <c r="D35">
        <v>9.5250000000000005E-3</v>
      </c>
      <c r="E35">
        <v>9.5250000000000004</v>
      </c>
      <c r="F35">
        <v>94.068241469816272</v>
      </c>
      <c r="G35">
        <v>30</v>
      </c>
      <c r="H35" t="s">
        <v>141</v>
      </c>
      <c r="I35">
        <v>2.7690517990613435</v>
      </c>
      <c r="J35">
        <v>1.0185049507893496</v>
      </c>
      <c r="K35">
        <v>45</v>
      </c>
      <c r="L35" t="s">
        <v>16</v>
      </c>
      <c r="M35" t="s">
        <v>288</v>
      </c>
      <c r="N35">
        <v>18.5</v>
      </c>
      <c r="O35">
        <v>0</v>
      </c>
      <c r="P35">
        <v>125</v>
      </c>
      <c r="Q35">
        <v>0.4</v>
      </c>
      <c r="R35">
        <v>1.2</v>
      </c>
      <c r="S35">
        <v>1.8</v>
      </c>
      <c r="T35">
        <v>140.74335088082273</v>
      </c>
      <c r="U35">
        <v>0</v>
      </c>
      <c r="V35">
        <v>0</v>
      </c>
      <c r="W35">
        <v>575.68000000000006</v>
      </c>
      <c r="X35">
        <v>6.3555519507621687</v>
      </c>
      <c r="Y35">
        <v>4.5440204919621658</v>
      </c>
      <c r="Z35">
        <v>4.9469380252703399</v>
      </c>
      <c r="AA35">
        <v>3.7532999999999999</v>
      </c>
      <c r="AB35">
        <v>0.14510000000000001</v>
      </c>
      <c r="AC35">
        <v>1.2497</v>
      </c>
      <c r="AD35">
        <v>-0.46100000000000002</v>
      </c>
      <c r="AE35">
        <v>0.39140000000000003</v>
      </c>
      <c r="AF35">
        <v>-0.21310000000000001</v>
      </c>
      <c r="AG35">
        <v>-0.34139999999999998</v>
      </c>
      <c r="AH35">
        <v>-0.62982526956034657</v>
      </c>
      <c r="AI35">
        <v>-1.1082000000000001</v>
      </c>
      <c r="AJ35">
        <v>0.10630000000000001</v>
      </c>
      <c r="AK35">
        <v>-0.1439</v>
      </c>
      <c r="AL35">
        <v>0.27879999999999999</v>
      </c>
      <c r="AM35">
        <v>-0.31030000000000002</v>
      </c>
      <c r="AN35">
        <v>1.2553000000000001</v>
      </c>
      <c r="AO35">
        <v>2.9999999999999997E-4</v>
      </c>
      <c r="AP35">
        <v>5.1999999999999998E-3</v>
      </c>
      <c r="AQ35">
        <v>-8.5900000000000004E-2</v>
      </c>
      <c r="AR35">
        <v>5.9999999999999995E-4</v>
      </c>
      <c r="AS35">
        <v>-0.21759999999999999</v>
      </c>
      <c r="AT35">
        <v>-2.69E-2</v>
      </c>
      <c r="AU35">
        <v>0.57389999999999997</v>
      </c>
      <c r="AV35">
        <v>0.34460000000000002</v>
      </c>
      <c r="AW35">
        <v>1</v>
      </c>
      <c r="AX35">
        <v>1</v>
      </c>
      <c r="AY35">
        <v>0</v>
      </c>
      <c r="AZ35">
        <v>0.98996395014613658</v>
      </c>
      <c r="BA35">
        <v>0.4499901</v>
      </c>
      <c r="BB35">
        <v>-0.79852969645977512</v>
      </c>
      <c r="BC35">
        <v>-0.16870442689942855</v>
      </c>
      <c r="BD35">
        <v>-0.16701130086049842</v>
      </c>
      <c r="BE35">
        <v>0.48302937829557824</v>
      </c>
      <c r="BF35">
        <v>0</v>
      </c>
      <c r="BG35">
        <v>1.7719278838724926</v>
      </c>
      <c r="BH35">
        <v>3.4075552922036199E-2</v>
      </c>
      <c r="BI35">
        <v>1.0138215142296085</v>
      </c>
      <c r="BJ35">
        <v>2.7561134422661961</v>
      </c>
      <c r="BK35">
        <v>0.3997</v>
      </c>
      <c r="BL35">
        <v>0.25</v>
      </c>
    </row>
    <row r="36" spans="1:64" x14ac:dyDescent="0.25">
      <c r="A36">
        <v>10</v>
      </c>
      <c r="B36">
        <v>0.5</v>
      </c>
      <c r="C36">
        <v>500</v>
      </c>
      <c r="D36">
        <v>9.5250000000000005E-3</v>
      </c>
      <c r="E36">
        <v>9.5250000000000004</v>
      </c>
      <c r="F36">
        <v>52.493438320209975</v>
      </c>
      <c r="G36">
        <v>50</v>
      </c>
      <c r="H36" t="s">
        <v>139</v>
      </c>
      <c r="I36">
        <v>1.9041242414694344</v>
      </c>
      <c r="J36">
        <v>0.6440221871128996</v>
      </c>
      <c r="K36">
        <v>60</v>
      </c>
      <c r="L36" t="s">
        <v>16</v>
      </c>
      <c r="M36" t="s">
        <v>287</v>
      </c>
      <c r="N36">
        <v>17.5</v>
      </c>
      <c r="O36">
        <v>0</v>
      </c>
      <c r="P36">
        <v>37.5</v>
      </c>
      <c r="Q36">
        <v>1.1000000000000001</v>
      </c>
      <c r="R36">
        <v>2.5</v>
      </c>
      <c r="S36">
        <v>5</v>
      </c>
      <c r="T36">
        <v>64.795348480289491</v>
      </c>
      <c r="U36">
        <v>0</v>
      </c>
      <c r="V36">
        <v>0</v>
      </c>
      <c r="W36">
        <v>96.375</v>
      </c>
      <c r="X36">
        <v>4.5682468318834939</v>
      </c>
      <c r="Y36">
        <v>3.9606881774094269</v>
      </c>
      <c r="Z36">
        <v>4.1712338180701449</v>
      </c>
      <c r="AA36">
        <v>4.3182999999999998</v>
      </c>
      <c r="AB36">
        <v>-2.7900000000000001E-2</v>
      </c>
      <c r="AC36">
        <v>1.0497000000000001</v>
      </c>
      <c r="AD36">
        <v>-0.46910000000000002</v>
      </c>
      <c r="AE36">
        <v>0.29149999999999998</v>
      </c>
      <c r="AF36">
        <v>-0.28610000000000002</v>
      </c>
      <c r="AG36">
        <v>-0.1348</v>
      </c>
      <c r="AH36">
        <v>-5.7926131042294826E-2</v>
      </c>
      <c r="AI36">
        <v>-2.1276999999999999</v>
      </c>
      <c r="AJ36">
        <v>0.14760000000000001</v>
      </c>
      <c r="AK36">
        <v>-0.21829999999999999</v>
      </c>
      <c r="AL36">
        <v>0.42270000000000002</v>
      </c>
      <c r="AM36">
        <v>-0.53720000000000001</v>
      </c>
      <c r="AN36">
        <v>1.252</v>
      </c>
      <c r="AO36">
        <v>-5.9999999999999995E-4</v>
      </c>
      <c r="AP36">
        <v>5.3E-3</v>
      </c>
      <c r="AQ36">
        <v>-4.8500000000000001E-2</v>
      </c>
      <c r="AR36">
        <v>1.2999999999999999E-3</v>
      </c>
      <c r="AS36">
        <v>-0.56599999999999995</v>
      </c>
      <c r="AT36">
        <v>-3.2099999999999997E-2</v>
      </c>
      <c r="AU36">
        <v>0.84970000000000001</v>
      </c>
      <c r="AV36">
        <v>9.01E-2</v>
      </c>
      <c r="AW36">
        <v>1</v>
      </c>
      <c r="AX36">
        <v>1</v>
      </c>
      <c r="AY36">
        <v>0</v>
      </c>
      <c r="AZ36">
        <v>1.0163642607280992</v>
      </c>
      <c r="BA36">
        <v>0.59998680000000004</v>
      </c>
      <c r="BB36">
        <v>-0.51084762400799422</v>
      </c>
      <c r="BC36">
        <v>-0.45292149296569939</v>
      </c>
      <c r="BD36">
        <v>-0.46033321836595004</v>
      </c>
      <c r="BE36">
        <v>0.58459757498563147</v>
      </c>
      <c r="BF36">
        <v>0</v>
      </c>
      <c r="BG36">
        <v>1.930997935837153</v>
      </c>
      <c r="BH36">
        <v>0.37235866539680262</v>
      </c>
      <c r="BI36">
        <v>0.29992095785363715</v>
      </c>
      <c r="BJ36">
        <v>1.3497521160551844</v>
      </c>
      <c r="BK36">
        <v>0.50170000000000003</v>
      </c>
      <c r="BL36">
        <v>0.25</v>
      </c>
    </row>
    <row r="37" spans="1:64" x14ac:dyDescent="0.25">
      <c r="A37">
        <v>11</v>
      </c>
      <c r="B37">
        <v>1.0668</v>
      </c>
      <c r="C37">
        <v>1066.8</v>
      </c>
      <c r="D37">
        <v>9.5250000000000005E-3</v>
      </c>
      <c r="E37">
        <v>9.5250000000000004</v>
      </c>
      <c r="F37">
        <v>111.99999999999999</v>
      </c>
      <c r="G37">
        <v>100</v>
      </c>
      <c r="H37" t="s">
        <v>141</v>
      </c>
      <c r="I37">
        <v>2.7690517990613435</v>
      </c>
      <c r="J37">
        <v>1.0185049507893496</v>
      </c>
      <c r="K37">
        <v>75</v>
      </c>
      <c r="L37" t="s">
        <v>15</v>
      </c>
      <c r="M37" t="s">
        <v>289</v>
      </c>
      <c r="N37">
        <v>18</v>
      </c>
      <c r="O37">
        <v>37</v>
      </c>
      <c r="P37">
        <v>0</v>
      </c>
      <c r="Q37">
        <v>0</v>
      </c>
      <c r="R37">
        <v>1</v>
      </c>
      <c r="S37">
        <v>1.8</v>
      </c>
      <c r="T37">
        <v>27.702835507590976</v>
      </c>
      <c r="U37">
        <v>12.698394373823998</v>
      </c>
      <c r="V37">
        <v>64.071522599936642</v>
      </c>
      <c r="W37">
        <v>900.09607289656856</v>
      </c>
      <c r="X37">
        <v>6.8025015052900386</v>
      </c>
      <c r="Y37">
        <v>4.7184988712950942</v>
      </c>
      <c r="Z37">
        <v>3.3215347728493456</v>
      </c>
      <c r="AA37">
        <v>5.5951000000000004</v>
      </c>
      <c r="AB37">
        <v>1.6E-2</v>
      </c>
      <c r="AC37">
        <v>1.2641</v>
      </c>
      <c r="AD37">
        <v>-0.52429999999999999</v>
      </c>
      <c r="AE37">
        <v>0.35830000000000001</v>
      </c>
      <c r="AF37">
        <v>-0.35920000000000002</v>
      </c>
      <c r="AG37">
        <v>-0.2482</v>
      </c>
      <c r="AH37">
        <v>0.37368176449727208</v>
      </c>
      <c r="AI37">
        <v>-2.3450000000000002</v>
      </c>
      <c r="AJ37">
        <v>0.19470000000000001</v>
      </c>
      <c r="AK37">
        <v>-0.2044</v>
      </c>
      <c r="AL37">
        <v>0.4143</v>
      </c>
      <c r="AM37">
        <v>-0.55710000000000004</v>
      </c>
      <c r="AN37">
        <v>1.0931</v>
      </c>
      <c r="AO37">
        <v>1E-4</v>
      </c>
      <c r="AP37">
        <v>3.5000000000000001E-3</v>
      </c>
      <c r="AQ37">
        <v>-4.07E-2</v>
      </c>
      <c r="AR37">
        <v>1.6000000000000001E-3</v>
      </c>
      <c r="AS37">
        <v>-0.65949999999999998</v>
      </c>
      <c r="AT37">
        <v>-3.0099999999999998E-2</v>
      </c>
      <c r="AU37">
        <v>0.84219999999999995</v>
      </c>
      <c r="AV37">
        <v>0.50680000000000003</v>
      </c>
      <c r="AW37">
        <v>1</v>
      </c>
      <c r="AX37">
        <v>0</v>
      </c>
      <c r="AY37">
        <v>1</v>
      </c>
      <c r="AZ37">
        <v>1.2343702835507591</v>
      </c>
      <c r="BA37">
        <v>0.74998350000000003</v>
      </c>
      <c r="BB37">
        <v>-0.28770407269378445</v>
      </c>
      <c r="BC37">
        <v>-0.66138583719105659</v>
      </c>
      <c r="BD37">
        <v>-0.81639502338998071</v>
      </c>
      <c r="BE37">
        <v>0.91869173024115491</v>
      </c>
      <c r="BF37">
        <v>-0.67892170757040626</v>
      </c>
      <c r="BG37">
        <v>2.8182763736416629</v>
      </c>
      <c r="BH37">
        <v>-3.6024043273759798E-2</v>
      </c>
      <c r="BI37">
        <v>-0.13937267035132878</v>
      </c>
      <c r="BJ37">
        <v>0.86990378069566643</v>
      </c>
      <c r="BK37">
        <v>0.43780000000000002</v>
      </c>
      <c r="BL37">
        <v>0.25</v>
      </c>
    </row>
    <row r="38" spans="1:64" x14ac:dyDescent="0.25">
      <c r="A38">
        <v>12</v>
      </c>
      <c r="B38">
        <v>0.60960000000000003</v>
      </c>
      <c r="C38">
        <v>609.6</v>
      </c>
      <c r="D38">
        <v>9.5250000000000005E-3</v>
      </c>
      <c r="E38">
        <v>9.5250000000000004</v>
      </c>
      <c r="F38">
        <v>64</v>
      </c>
      <c r="G38">
        <v>300</v>
      </c>
      <c r="H38" t="s">
        <v>142</v>
      </c>
      <c r="I38">
        <v>2.8464933991254466</v>
      </c>
      <c r="J38">
        <v>1.04608785046215</v>
      </c>
      <c r="K38">
        <v>90</v>
      </c>
      <c r="L38" t="s">
        <v>15</v>
      </c>
      <c r="M38" t="s">
        <v>290</v>
      </c>
      <c r="N38">
        <v>18.5</v>
      </c>
      <c r="O38">
        <v>40</v>
      </c>
      <c r="P38">
        <v>0</v>
      </c>
      <c r="Q38">
        <v>0</v>
      </c>
      <c r="R38">
        <v>1.2</v>
      </c>
      <c r="S38">
        <v>1.9685039370078738</v>
      </c>
      <c r="T38">
        <v>20.961707970678525</v>
      </c>
      <c r="U38">
        <v>15.896480151009957</v>
      </c>
      <c r="V38">
        <v>80</v>
      </c>
      <c r="W38">
        <v>490.12197186123592</v>
      </c>
      <c r="X38">
        <v>6.1946542822944775</v>
      </c>
      <c r="Y38">
        <v>4.1588830833596715</v>
      </c>
      <c r="Z38">
        <v>3.0426973432836371</v>
      </c>
      <c r="AA38">
        <v>14.575100000000001</v>
      </c>
      <c r="AB38">
        <v>0.1356</v>
      </c>
      <c r="AC38">
        <v>2.9990000000000001</v>
      </c>
      <c r="AD38">
        <v>-0.94710000000000005</v>
      </c>
      <c r="AE38">
        <v>0.6603</v>
      </c>
      <c r="AF38">
        <v>-1.2488999999999999</v>
      </c>
      <c r="AG38">
        <v>-0.44140000000000001</v>
      </c>
      <c r="AH38">
        <v>1.5364743309361317</v>
      </c>
      <c r="AI38">
        <v>5.1353999999999997</v>
      </c>
      <c r="AJ38">
        <v>-4.9599999999999998E-2</v>
      </c>
      <c r="AK38">
        <v>0.44590000000000002</v>
      </c>
      <c r="AL38">
        <v>-0.83709999999999996</v>
      </c>
      <c r="AM38">
        <v>0.63090000000000002</v>
      </c>
      <c r="AN38">
        <v>0.91390000000000005</v>
      </c>
      <c r="AO38">
        <v>2.5000000000000001E-3</v>
      </c>
      <c r="AP38">
        <v>1.6000000000000001E-3</v>
      </c>
      <c r="AQ38">
        <v>-9.7500000000000003E-2</v>
      </c>
      <c r="AR38">
        <v>1.1999999999999999E-3</v>
      </c>
      <c r="AS38">
        <v>0.46479999999999999</v>
      </c>
      <c r="AT38">
        <v>8.0000000000000004E-4</v>
      </c>
      <c r="AU38">
        <v>6.7900000000000002E-2</v>
      </c>
      <c r="AV38">
        <v>0.58979999999999999</v>
      </c>
      <c r="AW38">
        <v>1</v>
      </c>
      <c r="AX38">
        <v>0</v>
      </c>
      <c r="AY38">
        <v>1</v>
      </c>
      <c r="AZ38">
        <v>0.94560426992669633</v>
      </c>
      <c r="BA38">
        <v>2.75</v>
      </c>
      <c r="BB38">
        <v>1.0116009116784799</v>
      </c>
      <c r="BC38">
        <v>-0.52487341925765185</v>
      </c>
      <c r="BD38">
        <v>-0.49632254642106066</v>
      </c>
      <c r="BE38">
        <v>-0.20628060093463971</v>
      </c>
      <c r="BF38">
        <v>1.3567387453701738</v>
      </c>
      <c r="BG38">
        <v>-5.1855450997087065</v>
      </c>
      <c r="BH38">
        <v>-0.31226539005126003</v>
      </c>
      <c r="BI38">
        <v>0.29172510825450687</v>
      </c>
      <c r="BJ38">
        <v>1.3387349598637197</v>
      </c>
      <c r="BK38">
        <v>0.34749999999999998</v>
      </c>
      <c r="BL38">
        <v>0.25</v>
      </c>
    </row>
    <row r="39" spans="1:64" x14ac:dyDescent="0.25">
      <c r="A39">
        <v>13</v>
      </c>
      <c r="B39">
        <v>0.40960000000000002</v>
      </c>
      <c r="C39">
        <v>409.6</v>
      </c>
      <c r="D39">
        <v>9.5250000000000005E-3</v>
      </c>
      <c r="E39">
        <v>9.5250000000000004</v>
      </c>
      <c r="F39">
        <v>43.00262467191601</v>
      </c>
      <c r="G39">
        <v>30</v>
      </c>
      <c r="H39" t="s">
        <v>139</v>
      </c>
      <c r="I39">
        <v>1.9041242414694344</v>
      </c>
      <c r="J39">
        <v>0.6440221871128996</v>
      </c>
      <c r="K39">
        <v>45</v>
      </c>
      <c r="L39" t="s">
        <v>15</v>
      </c>
      <c r="M39" t="s">
        <v>292</v>
      </c>
      <c r="N39">
        <v>19</v>
      </c>
      <c r="O39">
        <v>43</v>
      </c>
      <c r="P39">
        <v>0</v>
      </c>
      <c r="Q39">
        <v>0</v>
      </c>
      <c r="R39">
        <v>0.78739999999999999</v>
      </c>
      <c r="S39">
        <v>1.9223632812499998</v>
      </c>
      <c r="T39">
        <v>10.16387240559092</v>
      </c>
      <c r="U39">
        <v>18.720510313797256</v>
      </c>
      <c r="V39">
        <v>80</v>
      </c>
      <c r="W39">
        <v>242.22354087960383</v>
      </c>
      <c r="X39">
        <v>5.4898610224304614</v>
      </c>
      <c r="Y39">
        <v>3.7612611527125335</v>
      </c>
      <c r="Z39">
        <v>2.3188395118166376</v>
      </c>
      <c r="AA39">
        <v>3.7532999999999999</v>
      </c>
      <c r="AB39">
        <v>0.14510000000000001</v>
      </c>
      <c r="AC39">
        <v>1.2497</v>
      </c>
      <c r="AD39">
        <v>-0.46100000000000002</v>
      </c>
      <c r="AE39">
        <v>0.39140000000000003</v>
      </c>
      <c r="AF39">
        <v>-0.21310000000000001</v>
      </c>
      <c r="AG39">
        <v>-0.34139999999999998</v>
      </c>
      <c r="AH39">
        <v>-0.3120485448089132</v>
      </c>
      <c r="AI39">
        <v>-1.1082000000000001</v>
      </c>
      <c r="AJ39">
        <v>0.10630000000000001</v>
      </c>
      <c r="AK39">
        <v>-0.1439</v>
      </c>
      <c r="AL39">
        <v>0.27879999999999999</v>
      </c>
      <c r="AM39">
        <v>-0.31030000000000002</v>
      </c>
      <c r="AN39">
        <v>1.2553000000000001</v>
      </c>
      <c r="AO39">
        <v>2.9999999999999997E-4</v>
      </c>
      <c r="AP39">
        <v>5.1999999999999998E-3</v>
      </c>
      <c r="AQ39">
        <v>-8.5900000000000004E-2</v>
      </c>
      <c r="AR39">
        <v>5.9999999999999995E-4</v>
      </c>
      <c r="AS39">
        <v>-0.21759999999999999</v>
      </c>
      <c r="AT39">
        <v>-2.69E-2</v>
      </c>
      <c r="AU39">
        <v>0.57389999999999997</v>
      </c>
      <c r="AV39">
        <v>0.34460000000000002</v>
      </c>
      <c r="AW39">
        <v>0</v>
      </c>
      <c r="AX39">
        <v>1</v>
      </c>
      <c r="AY39">
        <v>1</v>
      </c>
      <c r="AZ39">
        <v>1.8873300456791051</v>
      </c>
      <c r="BA39">
        <v>3</v>
      </c>
      <c r="BB39">
        <v>1.0986122886681098</v>
      </c>
      <c r="BC39">
        <v>1.410660833477023</v>
      </c>
      <c r="BD39">
        <v>2.6623825752839143</v>
      </c>
      <c r="BE39">
        <v>0.39982206053334235</v>
      </c>
      <c r="BF39">
        <v>-0.33368100575041415</v>
      </c>
      <c r="BG39">
        <v>1.5305732530536127</v>
      </c>
      <c r="BH39">
        <v>0.27696577589119714</v>
      </c>
      <c r="BI39">
        <v>3.4278626590116521</v>
      </c>
      <c r="BJ39">
        <v>30.810719311075388</v>
      </c>
      <c r="BK39">
        <v>0.3997</v>
      </c>
      <c r="BL39">
        <v>0.25</v>
      </c>
    </row>
    <row r="40" spans="1:64" x14ac:dyDescent="0.25">
      <c r="A40">
        <v>14</v>
      </c>
      <c r="B40">
        <v>0.89600000000000002</v>
      </c>
      <c r="C40">
        <v>896</v>
      </c>
      <c r="D40">
        <v>9.5250000000000005E-3</v>
      </c>
      <c r="E40">
        <v>9.5250000000000004</v>
      </c>
      <c r="F40">
        <v>94.068241469816272</v>
      </c>
      <c r="G40">
        <v>50</v>
      </c>
      <c r="H40" t="s">
        <v>140</v>
      </c>
      <c r="I40">
        <v>2.4313344008036557</v>
      </c>
      <c r="J40">
        <v>0.88844024276557709</v>
      </c>
      <c r="K40">
        <v>60</v>
      </c>
      <c r="L40" t="s">
        <v>15</v>
      </c>
      <c r="M40" t="s">
        <v>289</v>
      </c>
      <c r="N40">
        <v>18</v>
      </c>
      <c r="O40">
        <v>37</v>
      </c>
      <c r="P40">
        <v>0</v>
      </c>
      <c r="Q40">
        <v>0</v>
      </c>
      <c r="R40">
        <v>1</v>
      </c>
      <c r="S40">
        <v>1.8</v>
      </c>
      <c r="T40">
        <v>23.267473392202394</v>
      </c>
      <c r="U40">
        <v>12.698394373823998</v>
      </c>
      <c r="V40">
        <v>64.071522599936642</v>
      </c>
      <c r="W40">
        <v>667.7384958493501</v>
      </c>
      <c r="X40">
        <v>6.5038966236115616</v>
      </c>
      <c r="Y40">
        <v>4.5440204919621658</v>
      </c>
      <c r="Z40">
        <v>3.1470563935164169</v>
      </c>
      <c r="AA40">
        <v>4.3182999999999998</v>
      </c>
      <c r="AB40">
        <v>-2.7900000000000001E-2</v>
      </c>
      <c r="AC40">
        <v>1.0497000000000001</v>
      </c>
      <c r="AD40">
        <v>-0.46910000000000002</v>
      </c>
      <c r="AE40">
        <v>0.29149999999999998</v>
      </c>
      <c r="AF40">
        <v>-0.28610000000000002</v>
      </c>
      <c r="AG40">
        <v>-0.1348</v>
      </c>
      <c r="AH40">
        <v>-6.3725814573776629E-2</v>
      </c>
      <c r="AI40">
        <v>-2.1276999999999999</v>
      </c>
      <c r="AJ40">
        <v>0.14760000000000001</v>
      </c>
      <c r="AK40">
        <v>-0.21829999999999999</v>
      </c>
      <c r="AL40">
        <v>0.42270000000000002</v>
      </c>
      <c r="AM40">
        <v>-0.53720000000000001</v>
      </c>
      <c r="AN40">
        <v>1.252</v>
      </c>
      <c r="AO40">
        <v>-5.9999999999999995E-4</v>
      </c>
      <c r="AP40">
        <v>5.3E-3</v>
      </c>
      <c r="AQ40">
        <v>-4.8500000000000001E-2</v>
      </c>
      <c r="AR40">
        <v>1.2999999999999999E-3</v>
      </c>
      <c r="AS40">
        <v>-0.56599999999999995</v>
      </c>
      <c r="AT40">
        <v>-3.2099999999999997E-2</v>
      </c>
      <c r="AU40">
        <v>0.84970000000000001</v>
      </c>
      <c r="AV40">
        <v>9.01E-2</v>
      </c>
      <c r="AW40">
        <v>1</v>
      </c>
      <c r="AX40">
        <v>1</v>
      </c>
      <c r="AY40">
        <v>1</v>
      </c>
      <c r="AZ40">
        <v>1.0953282298754399</v>
      </c>
      <c r="BA40">
        <v>0.2</v>
      </c>
      <c r="BB40">
        <v>-1.6094379124341003</v>
      </c>
      <c r="BC40">
        <v>-1.5457120978603236</v>
      </c>
      <c r="BD40">
        <v>-1.6930620960464009</v>
      </c>
      <c r="BE40">
        <v>0.6706974246136157</v>
      </c>
      <c r="BF40">
        <v>-0.68700241070463375</v>
      </c>
      <c r="BG40">
        <v>2.7491971028006073</v>
      </c>
      <c r="BH40">
        <v>5.8992546019071369E-2</v>
      </c>
      <c r="BI40">
        <v>-1.0288774333177402</v>
      </c>
      <c r="BJ40">
        <v>0.35740794971483553</v>
      </c>
      <c r="BK40">
        <v>0.50170000000000003</v>
      </c>
      <c r="BL40">
        <v>0.25</v>
      </c>
    </row>
    <row r="41" spans="1:64" x14ac:dyDescent="0.25">
      <c r="A41">
        <v>15</v>
      </c>
      <c r="B41">
        <v>0.5</v>
      </c>
      <c r="C41">
        <v>500</v>
      </c>
      <c r="D41">
        <v>9.5250000000000005E-3</v>
      </c>
      <c r="E41">
        <v>9.5250000000000004</v>
      </c>
      <c r="F41">
        <v>52.493438320209975</v>
      </c>
      <c r="G41">
        <v>100</v>
      </c>
      <c r="H41" t="s">
        <v>141</v>
      </c>
      <c r="I41">
        <v>2.7690517990613435</v>
      </c>
      <c r="J41">
        <v>1.0185049507893496</v>
      </c>
      <c r="K41">
        <v>75</v>
      </c>
      <c r="L41" t="s">
        <v>15</v>
      </c>
      <c r="M41" t="s">
        <v>290</v>
      </c>
      <c r="N41">
        <v>18.5</v>
      </c>
      <c r="O41">
        <v>40</v>
      </c>
      <c r="P41">
        <v>0</v>
      </c>
      <c r="Q41">
        <v>0</v>
      </c>
      <c r="R41">
        <v>1.2</v>
      </c>
      <c r="S41">
        <v>2.4</v>
      </c>
      <c r="T41">
        <v>17.193001944454171</v>
      </c>
      <c r="U41">
        <v>15.970859354576</v>
      </c>
      <c r="V41">
        <v>80</v>
      </c>
      <c r="W41">
        <v>362.27653883579364</v>
      </c>
      <c r="X41">
        <v>5.8924078396237283</v>
      </c>
      <c r="Y41">
        <v>3.9606881774094269</v>
      </c>
      <c r="Z41">
        <v>2.844502437333392</v>
      </c>
      <c r="AA41">
        <v>5.5951000000000004</v>
      </c>
      <c r="AB41">
        <v>1.6E-2</v>
      </c>
      <c r="AC41">
        <v>1.2641</v>
      </c>
      <c r="AD41">
        <v>-0.52429999999999999</v>
      </c>
      <c r="AE41">
        <v>0.35830000000000001</v>
      </c>
      <c r="AF41">
        <v>-0.35920000000000002</v>
      </c>
      <c r="AG41">
        <v>-0.2482</v>
      </c>
      <c r="AH41">
        <v>0.25835848354305291</v>
      </c>
      <c r="AI41">
        <v>-2.3450000000000002</v>
      </c>
      <c r="AJ41">
        <v>0.19470000000000001</v>
      </c>
      <c r="AK41">
        <v>-0.2044</v>
      </c>
      <c r="AL41">
        <v>0.4143</v>
      </c>
      <c r="AM41">
        <v>-0.55710000000000004</v>
      </c>
      <c r="AN41">
        <v>1.0931</v>
      </c>
      <c r="AO41">
        <v>1E-4</v>
      </c>
      <c r="AP41">
        <v>3.5000000000000001E-3</v>
      </c>
      <c r="AQ41">
        <v>-4.07E-2</v>
      </c>
      <c r="AR41">
        <v>1.6000000000000001E-3</v>
      </c>
      <c r="AS41">
        <v>-0.65949999999999998</v>
      </c>
      <c r="AT41">
        <v>-3.0099999999999998E-2</v>
      </c>
      <c r="AU41">
        <v>0.84219999999999995</v>
      </c>
      <c r="AV41">
        <v>0.50680000000000003</v>
      </c>
      <c r="AW41">
        <v>1</v>
      </c>
      <c r="AX41">
        <v>0</v>
      </c>
      <c r="AY41">
        <v>1</v>
      </c>
      <c r="AZ41">
        <v>1.1381088015067813</v>
      </c>
      <c r="BA41">
        <v>0.2</v>
      </c>
      <c r="BB41">
        <v>-1.6094379124341003</v>
      </c>
      <c r="BC41">
        <v>-1.8677963959771531</v>
      </c>
      <c r="BD41">
        <v>-2.1257555176842433</v>
      </c>
      <c r="BE41">
        <v>0.7711459881416155</v>
      </c>
      <c r="BF41">
        <v>-0.58141629819094531</v>
      </c>
      <c r="BG41">
        <v>2.4412245679561106</v>
      </c>
      <c r="BH41">
        <v>0.38615229428994552</v>
      </c>
      <c r="BI41">
        <v>-1.4536489654875175</v>
      </c>
      <c r="BJ41">
        <v>0.23371590895614064</v>
      </c>
      <c r="BK41">
        <v>0.43780000000000002</v>
      </c>
      <c r="BL41">
        <v>0.25</v>
      </c>
    </row>
    <row r="42" spans="1:64" x14ac:dyDescent="0.25">
      <c r="A42">
        <v>16</v>
      </c>
      <c r="B42">
        <v>1.0668</v>
      </c>
      <c r="C42">
        <v>1066.8</v>
      </c>
      <c r="D42">
        <v>9.5250000000000005E-3</v>
      </c>
      <c r="E42">
        <v>9.5250000000000004</v>
      </c>
      <c r="F42">
        <v>111.99999999999999</v>
      </c>
      <c r="G42">
        <v>300</v>
      </c>
      <c r="H42" t="s">
        <v>139</v>
      </c>
      <c r="I42">
        <v>1.9041242414694344</v>
      </c>
      <c r="J42">
        <v>0.6440221871128996</v>
      </c>
      <c r="K42">
        <v>90</v>
      </c>
      <c r="L42" t="s">
        <v>15</v>
      </c>
      <c r="M42" t="s">
        <v>292</v>
      </c>
      <c r="N42">
        <v>19</v>
      </c>
      <c r="O42">
        <v>43</v>
      </c>
      <c r="P42">
        <v>0</v>
      </c>
      <c r="Q42">
        <v>0</v>
      </c>
      <c r="R42">
        <v>2.5</v>
      </c>
      <c r="S42">
        <v>2.3434570678665168</v>
      </c>
      <c r="T42">
        <v>84.047899019267149</v>
      </c>
      <c r="U42">
        <v>18.621858727008274</v>
      </c>
      <c r="V42">
        <v>80</v>
      </c>
      <c r="W42">
        <v>1808.5527496736904</v>
      </c>
      <c r="X42">
        <v>7.5002822186049887</v>
      </c>
      <c r="Y42">
        <v>4.7184988712950942</v>
      </c>
      <c r="Z42">
        <v>4.4313868627458541</v>
      </c>
      <c r="AA42">
        <v>14.575100000000001</v>
      </c>
      <c r="AB42">
        <v>0.1356</v>
      </c>
      <c r="AC42">
        <v>2.9990000000000001</v>
      </c>
      <c r="AD42">
        <v>-0.94710000000000005</v>
      </c>
      <c r="AE42">
        <v>0.6603</v>
      </c>
      <c r="AF42">
        <v>-1.2488999999999999</v>
      </c>
      <c r="AG42">
        <v>-0.44140000000000001</v>
      </c>
      <c r="AH42">
        <v>0.17569972514249499</v>
      </c>
      <c r="AI42">
        <v>5.1353999999999997</v>
      </c>
      <c r="AJ42">
        <v>-4.9599999999999998E-2</v>
      </c>
      <c r="AK42">
        <v>0.44590000000000002</v>
      </c>
      <c r="AL42">
        <v>-0.83709999999999996</v>
      </c>
      <c r="AM42">
        <v>0.63090000000000002</v>
      </c>
      <c r="AN42">
        <v>0.91390000000000005</v>
      </c>
      <c r="AO42">
        <v>2.5000000000000001E-3</v>
      </c>
      <c r="AP42">
        <v>1.6000000000000001E-3</v>
      </c>
      <c r="AQ42">
        <v>-9.7500000000000003E-2</v>
      </c>
      <c r="AR42">
        <v>1.1999999999999999E-3</v>
      </c>
      <c r="AS42">
        <v>0.46479999999999999</v>
      </c>
      <c r="AT42">
        <v>8.0000000000000004E-4</v>
      </c>
      <c r="AU42">
        <v>6.7900000000000002E-2</v>
      </c>
      <c r="AV42">
        <v>0.58979999999999999</v>
      </c>
      <c r="AW42">
        <v>1</v>
      </c>
      <c r="AX42">
        <v>0</v>
      </c>
      <c r="AY42">
        <v>1</v>
      </c>
      <c r="AZ42">
        <v>1.1609197475481681</v>
      </c>
      <c r="BA42">
        <v>0.25</v>
      </c>
      <c r="BB42">
        <v>-1.3862943611198906</v>
      </c>
      <c r="BC42">
        <v>-1.5619940862623856</v>
      </c>
      <c r="BD42">
        <v>-1.8133497802954601</v>
      </c>
      <c r="BE42">
        <v>-0.23403754401623666</v>
      </c>
      <c r="BF42">
        <v>1.9759554020983765</v>
      </c>
      <c r="BG42">
        <v>-6.2784862451942356</v>
      </c>
      <c r="BH42">
        <v>4.0796210557198086E-2</v>
      </c>
      <c r="BI42">
        <v>-1.1737219568503581</v>
      </c>
      <c r="BJ42">
        <v>0.30921391598854903</v>
      </c>
      <c r="BK42">
        <v>0.34749999999999998</v>
      </c>
      <c r="BL42">
        <v>0.25</v>
      </c>
    </row>
    <row r="43" spans="1:64" x14ac:dyDescent="0.25">
      <c r="A43">
        <v>17</v>
      </c>
      <c r="B43">
        <v>0.60960000000000003</v>
      </c>
      <c r="C43">
        <v>609.6</v>
      </c>
      <c r="D43">
        <v>9.5250000000000005E-3</v>
      </c>
      <c r="E43">
        <v>9.5250000000000004</v>
      </c>
      <c r="F43">
        <v>64</v>
      </c>
      <c r="G43">
        <v>30</v>
      </c>
      <c r="H43" t="s">
        <v>141</v>
      </c>
      <c r="I43">
        <v>2.7690517990613435</v>
      </c>
      <c r="J43">
        <v>1.0185049507893496</v>
      </c>
      <c r="K43">
        <v>45</v>
      </c>
      <c r="L43" t="s">
        <v>15</v>
      </c>
      <c r="M43" t="s">
        <v>289</v>
      </c>
      <c r="N43">
        <v>18</v>
      </c>
      <c r="O43">
        <v>37</v>
      </c>
      <c r="P43">
        <v>0</v>
      </c>
      <c r="Q43">
        <v>0</v>
      </c>
      <c r="R43">
        <v>1</v>
      </c>
      <c r="S43">
        <v>1.8</v>
      </c>
      <c r="T43">
        <v>15.830191718623416</v>
      </c>
      <c r="U43">
        <v>12.698394373823998</v>
      </c>
      <c r="V43">
        <v>64.071522599936642</v>
      </c>
      <c r="W43">
        <v>353.62475395575746</v>
      </c>
      <c r="X43">
        <v>5.8682363338442034</v>
      </c>
      <c r="Y43">
        <v>4.1588830833596715</v>
      </c>
      <c r="Z43">
        <v>2.761918984913923</v>
      </c>
      <c r="AA43">
        <v>3.7532999999999999</v>
      </c>
      <c r="AB43">
        <v>0.14510000000000001</v>
      </c>
      <c r="AC43">
        <v>1.2497</v>
      </c>
      <c r="AD43">
        <v>-0.46100000000000002</v>
      </c>
      <c r="AE43">
        <v>0.39140000000000003</v>
      </c>
      <c r="AF43">
        <v>-0.21310000000000001</v>
      </c>
      <c r="AG43">
        <v>-0.34139999999999998</v>
      </c>
      <c r="AH43">
        <v>-8.3770685382233978E-2</v>
      </c>
      <c r="AI43">
        <v>-1.1082000000000001</v>
      </c>
      <c r="AJ43">
        <v>0.10630000000000001</v>
      </c>
      <c r="AK43">
        <v>-0.1439</v>
      </c>
      <c r="AL43">
        <v>0.27879999999999999</v>
      </c>
      <c r="AM43">
        <v>-0.31030000000000002</v>
      </c>
      <c r="AN43">
        <v>1.2553000000000001</v>
      </c>
      <c r="AO43">
        <v>2.9999999999999997E-4</v>
      </c>
      <c r="AP43">
        <v>5.1999999999999998E-3</v>
      </c>
      <c r="AQ43">
        <v>-8.5900000000000004E-2</v>
      </c>
      <c r="AR43">
        <v>5.9999999999999995E-4</v>
      </c>
      <c r="AS43">
        <v>-0.21759999999999999</v>
      </c>
      <c r="AT43">
        <v>-2.69E-2</v>
      </c>
      <c r="AU43">
        <v>0.57389999999999997</v>
      </c>
      <c r="AV43">
        <v>0.34460000000000002</v>
      </c>
      <c r="AW43">
        <v>1</v>
      </c>
      <c r="AX43">
        <v>1</v>
      </c>
      <c r="AY43">
        <v>1</v>
      </c>
      <c r="AZ43">
        <v>0.93444905751558716</v>
      </c>
      <c r="BA43">
        <v>0.28000000000000003</v>
      </c>
      <c r="BB43">
        <v>-1.2729656758128873</v>
      </c>
      <c r="BC43">
        <v>-1.1891949904306534</v>
      </c>
      <c r="BD43">
        <v>-1.1112421380101818</v>
      </c>
      <c r="BE43">
        <v>0.44208927176113311</v>
      </c>
      <c r="BF43">
        <v>-0.39744014192911353</v>
      </c>
      <c r="BG43">
        <v>1.6360642898757638</v>
      </c>
      <c r="BH43">
        <v>0.15358369081139006</v>
      </c>
      <c r="BI43">
        <v>-0.38514502749100848</v>
      </c>
      <c r="BJ43">
        <v>0.68035195931166781</v>
      </c>
      <c r="BK43">
        <v>0.3997</v>
      </c>
      <c r="BL43">
        <v>0.25</v>
      </c>
    </row>
    <row r="44" spans="1:64" x14ac:dyDescent="0.25">
      <c r="A44">
        <v>18</v>
      </c>
      <c r="B44">
        <v>0.40960000000000002</v>
      </c>
      <c r="C44">
        <v>409.6</v>
      </c>
      <c r="D44">
        <v>9.5250000000000005E-3</v>
      </c>
      <c r="E44">
        <v>9.5250000000000004</v>
      </c>
      <c r="F44">
        <v>43.00262467191601</v>
      </c>
      <c r="G44">
        <v>50</v>
      </c>
      <c r="H44" t="s">
        <v>142</v>
      </c>
      <c r="I44">
        <v>2.8464933991254466</v>
      </c>
      <c r="J44">
        <v>1.04608785046215</v>
      </c>
      <c r="K44">
        <v>60</v>
      </c>
      <c r="L44" t="s">
        <v>15</v>
      </c>
      <c r="M44" t="s">
        <v>290</v>
      </c>
      <c r="N44">
        <v>18.5</v>
      </c>
      <c r="O44">
        <v>40</v>
      </c>
      <c r="P44">
        <v>0</v>
      </c>
      <c r="Q44">
        <v>0</v>
      </c>
      <c r="R44">
        <v>1.2</v>
      </c>
      <c r="S44">
        <v>2.9296874999999996</v>
      </c>
      <c r="T44">
        <v>14.084507192896854</v>
      </c>
      <c r="U44">
        <v>16.165411783848704</v>
      </c>
      <c r="V44">
        <v>80</v>
      </c>
      <c r="W44">
        <v>271.14542759995038</v>
      </c>
      <c r="X44">
        <v>5.6026553101537404</v>
      </c>
      <c r="Y44">
        <v>3.7612611527125335</v>
      </c>
      <c r="Z44">
        <v>2.6450754126364981</v>
      </c>
      <c r="AA44">
        <v>4.3182999999999998</v>
      </c>
      <c r="AB44">
        <v>-2.7900000000000001E-2</v>
      </c>
      <c r="AC44">
        <v>1.0497000000000001</v>
      </c>
      <c r="AD44">
        <v>-0.46910000000000002</v>
      </c>
      <c r="AE44">
        <v>0.29149999999999998</v>
      </c>
      <c r="AF44">
        <v>-0.28610000000000002</v>
      </c>
      <c r="AG44">
        <v>-0.1348</v>
      </c>
      <c r="AH44">
        <v>-0.14672943329566746</v>
      </c>
      <c r="AI44">
        <v>-2.1276999999999999</v>
      </c>
      <c r="AJ44">
        <v>0.14760000000000001</v>
      </c>
      <c r="AK44">
        <v>-0.21829999999999999</v>
      </c>
      <c r="AL44">
        <v>0.42270000000000002</v>
      </c>
      <c r="AM44">
        <v>-0.53720000000000001</v>
      </c>
      <c r="AN44">
        <v>1.252</v>
      </c>
      <c r="AO44">
        <v>-5.9999999999999995E-4</v>
      </c>
      <c r="AP44">
        <v>5.3E-3</v>
      </c>
      <c r="AQ44">
        <v>-4.8500000000000001E-2</v>
      </c>
      <c r="AR44">
        <v>1.2999999999999999E-3</v>
      </c>
      <c r="AS44">
        <v>-0.56599999999999995</v>
      </c>
      <c r="AT44">
        <v>-3.2099999999999997E-2</v>
      </c>
      <c r="AU44">
        <v>0.84970000000000001</v>
      </c>
      <c r="AV44">
        <v>9.01E-2</v>
      </c>
      <c r="AW44">
        <v>1</v>
      </c>
      <c r="AX44">
        <v>1</v>
      </c>
      <c r="AY44">
        <v>1</v>
      </c>
      <c r="AZ44">
        <v>1.0344527077577528</v>
      </c>
      <c r="BA44">
        <v>0.18</v>
      </c>
      <c r="BB44">
        <v>-1.7147984280919266</v>
      </c>
      <c r="BC44">
        <v>-1.5680689947962592</v>
      </c>
      <c r="BD44">
        <v>-1.6220932176179679</v>
      </c>
      <c r="BE44">
        <v>0.55516214614036996</v>
      </c>
      <c r="BF44">
        <v>-0.57741996257854755</v>
      </c>
      <c r="BG44">
        <v>2.3682423996019861</v>
      </c>
      <c r="BH44">
        <v>0.47949086306397387</v>
      </c>
      <c r="BI44">
        <v>-0.92431777139018489</v>
      </c>
      <c r="BJ44">
        <v>0.39680203645473955</v>
      </c>
      <c r="BK44">
        <v>0.50170000000000003</v>
      </c>
      <c r="BL44">
        <v>0.25</v>
      </c>
    </row>
    <row r="45" spans="1:64" x14ac:dyDescent="0.25">
      <c r="A45">
        <v>19</v>
      </c>
      <c r="B45">
        <v>0.89600000000000002</v>
      </c>
      <c r="C45">
        <v>896</v>
      </c>
      <c r="D45">
        <v>9.5250000000000005E-3</v>
      </c>
      <c r="E45">
        <v>9.5250000000000004</v>
      </c>
      <c r="F45">
        <v>94.068241469816272</v>
      </c>
      <c r="G45">
        <v>100</v>
      </c>
      <c r="H45" t="s">
        <v>139</v>
      </c>
      <c r="I45">
        <v>1.9041242414694344</v>
      </c>
      <c r="J45">
        <v>0.6440221871128996</v>
      </c>
      <c r="K45">
        <v>75</v>
      </c>
      <c r="L45" t="s">
        <v>15</v>
      </c>
      <c r="M45" t="s">
        <v>292</v>
      </c>
      <c r="N45">
        <v>19</v>
      </c>
      <c r="O45">
        <v>43</v>
      </c>
      <c r="P45">
        <v>0</v>
      </c>
      <c r="Q45">
        <v>0</v>
      </c>
      <c r="R45">
        <v>0.8</v>
      </c>
      <c r="S45">
        <v>1.8</v>
      </c>
      <c r="T45">
        <v>22.589251599929021</v>
      </c>
      <c r="U45">
        <v>18.784824717152006</v>
      </c>
      <c r="V45">
        <v>80</v>
      </c>
      <c r="W45">
        <v>865.97444478783666</v>
      </c>
      <c r="X45">
        <v>6.7638553986441545</v>
      </c>
      <c r="Y45">
        <v>4.5440204919621658</v>
      </c>
      <c r="Z45">
        <v>3.1174742002245606</v>
      </c>
      <c r="AA45">
        <v>5.5951000000000004</v>
      </c>
      <c r="AB45">
        <v>1.6E-2</v>
      </c>
      <c r="AC45">
        <v>1.2641</v>
      </c>
      <c r="AD45">
        <v>-0.52429999999999999</v>
      </c>
      <c r="AE45">
        <v>0.35830000000000001</v>
      </c>
      <c r="AF45">
        <v>-0.35920000000000002</v>
      </c>
      <c r="AG45">
        <v>-0.2482</v>
      </c>
      <c r="AH45">
        <v>0.17495500087417304</v>
      </c>
      <c r="AI45">
        <v>-2.3450000000000002</v>
      </c>
      <c r="AJ45">
        <v>0.19470000000000001</v>
      </c>
      <c r="AK45">
        <v>-0.2044</v>
      </c>
      <c r="AL45">
        <v>0.4143</v>
      </c>
      <c r="AM45">
        <v>-0.55710000000000004</v>
      </c>
      <c r="AN45">
        <v>1.0931</v>
      </c>
      <c r="AO45">
        <v>1E-4</v>
      </c>
      <c r="AP45">
        <v>3.5000000000000001E-3</v>
      </c>
      <c r="AQ45">
        <v>-4.07E-2</v>
      </c>
      <c r="AR45">
        <v>1.6000000000000001E-3</v>
      </c>
      <c r="AS45">
        <v>-0.65949999999999998</v>
      </c>
      <c r="AT45">
        <v>-3.0099999999999998E-2</v>
      </c>
      <c r="AU45">
        <v>0.84219999999999995</v>
      </c>
      <c r="AV45">
        <v>0.50680000000000003</v>
      </c>
      <c r="AW45">
        <v>1</v>
      </c>
      <c r="AX45">
        <v>0</v>
      </c>
      <c r="AY45">
        <v>1</v>
      </c>
      <c r="AZ45">
        <v>1.205168111511699</v>
      </c>
      <c r="BA45">
        <v>0.4</v>
      </c>
      <c r="BB45">
        <v>-0.916290731874155</v>
      </c>
      <c r="BC45">
        <v>-1.091245732748328</v>
      </c>
      <c r="BD45">
        <v>-1.3151345589315027</v>
      </c>
      <c r="BE45">
        <v>0.88472078978503377</v>
      </c>
      <c r="BF45">
        <v>-0.63721172652590019</v>
      </c>
      <c r="BG45">
        <v>2.8022652916582733</v>
      </c>
      <c r="BH45">
        <v>6.1177861852614784E-2</v>
      </c>
      <c r="BI45">
        <v>-0.54918234216148154</v>
      </c>
      <c r="BJ45">
        <v>0.57742175083198721</v>
      </c>
      <c r="BK45">
        <v>0.43780000000000002</v>
      </c>
      <c r="BL45">
        <v>0.25</v>
      </c>
    </row>
    <row r="46" spans="1:64" x14ac:dyDescent="0.25">
      <c r="A46">
        <v>20</v>
      </c>
      <c r="B46">
        <v>0.5</v>
      </c>
      <c r="C46">
        <v>500</v>
      </c>
      <c r="D46">
        <v>9.5250000000000005E-3</v>
      </c>
      <c r="E46">
        <v>9.5250000000000004</v>
      </c>
      <c r="F46">
        <v>52.493438320209975</v>
      </c>
      <c r="G46">
        <v>300</v>
      </c>
      <c r="H46" t="s">
        <v>139</v>
      </c>
      <c r="I46">
        <v>1.9041242414694344</v>
      </c>
      <c r="J46">
        <v>0.6440221871128996</v>
      </c>
      <c r="K46">
        <v>90</v>
      </c>
      <c r="L46" t="s">
        <v>15</v>
      </c>
      <c r="M46" t="s">
        <v>289</v>
      </c>
      <c r="N46">
        <v>18</v>
      </c>
      <c r="O46">
        <v>37</v>
      </c>
      <c r="P46">
        <v>0</v>
      </c>
      <c r="Q46">
        <v>0</v>
      </c>
      <c r="R46">
        <v>2</v>
      </c>
      <c r="S46">
        <v>4</v>
      </c>
      <c r="T46">
        <v>25.968162268083034</v>
      </c>
      <c r="U46">
        <v>14.286272930000003</v>
      </c>
      <c r="V46">
        <v>64.071522599936642</v>
      </c>
      <c r="W46">
        <v>401.31383858985748</v>
      </c>
      <c r="X46">
        <v>5.9947437610786407</v>
      </c>
      <c r="Y46">
        <v>3.9606881774094269</v>
      </c>
      <c r="Z46">
        <v>3.2568712595236238</v>
      </c>
      <c r="AA46">
        <v>14.575100000000001</v>
      </c>
      <c r="AB46">
        <v>0.1356</v>
      </c>
      <c r="AC46">
        <v>2.9990000000000001</v>
      </c>
      <c r="AD46">
        <v>-0.94710000000000005</v>
      </c>
      <c r="AE46">
        <v>0.6603</v>
      </c>
      <c r="AF46">
        <v>-1.2488999999999999</v>
      </c>
      <c r="AG46">
        <v>-0.44140000000000001</v>
      </c>
      <c r="AH46">
        <v>1.0194461292254438</v>
      </c>
      <c r="AI46">
        <v>5.1353999999999997</v>
      </c>
      <c r="AJ46">
        <v>-4.9599999999999998E-2</v>
      </c>
      <c r="AK46">
        <v>0.44590000000000002</v>
      </c>
      <c r="AL46">
        <v>-0.83709999999999996</v>
      </c>
      <c r="AM46">
        <v>0.63090000000000002</v>
      </c>
      <c r="AN46">
        <v>0.91390000000000005</v>
      </c>
      <c r="AO46">
        <v>2.5000000000000001E-3</v>
      </c>
      <c r="AP46">
        <v>1.6000000000000001E-3</v>
      </c>
      <c r="AQ46">
        <v>-9.7500000000000003E-2</v>
      </c>
      <c r="AR46">
        <v>1.1999999999999999E-3</v>
      </c>
      <c r="AS46">
        <v>0.46479999999999999</v>
      </c>
      <c r="AT46">
        <v>8.0000000000000004E-4</v>
      </c>
      <c r="AU46">
        <v>6.7900000000000002E-2</v>
      </c>
      <c r="AV46">
        <v>0.58979999999999999</v>
      </c>
      <c r="AW46">
        <v>1</v>
      </c>
      <c r="AX46">
        <v>0</v>
      </c>
      <c r="AY46">
        <v>1</v>
      </c>
      <c r="AZ46">
        <v>0.94431253165445961</v>
      </c>
      <c r="BA46">
        <v>1.2</v>
      </c>
      <c r="BB46">
        <v>0.18232155679395459</v>
      </c>
      <c r="BC46">
        <v>-0.83712457243148919</v>
      </c>
      <c r="BD46">
        <v>-0.79050722430293663</v>
      </c>
      <c r="BE46">
        <v>-0.19645013359950758</v>
      </c>
      <c r="BF46">
        <v>1.4522388946215838</v>
      </c>
      <c r="BG46">
        <v>-5.0182000023989302</v>
      </c>
      <c r="BH46">
        <v>-0.43730655621526948</v>
      </c>
      <c r="BI46">
        <v>0.14517497810493862</v>
      </c>
      <c r="BJ46">
        <v>1.1562418695797201</v>
      </c>
      <c r="BK46">
        <v>0.34749999999999998</v>
      </c>
      <c r="BL46">
        <v>0.25</v>
      </c>
    </row>
  </sheetData>
  <dataValidations count="1">
    <dataValidation type="list" allowBlank="1" showInputMessage="1" showErrorMessage="1" sqref="H3:H22" xr:uid="{9CA0ED3A-4AEF-46FA-B253-040488C181DF}">
      <formula1>"Grade-B,X-42,X-52,X-60,X-70,X-80"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E725-086F-4A52-B60B-92DB79CFCF1D}">
  <dimension ref="A1:AE130"/>
  <sheetViews>
    <sheetView tabSelected="1" zoomScale="55" zoomScaleNormal="55" workbookViewId="0">
      <selection activeCell="D42" sqref="D42"/>
    </sheetView>
  </sheetViews>
  <sheetFormatPr defaultColWidth="8.7109375" defaultRowHeight="15" x14ac:dyDescent="0.25"/>
  <cols>
    <col min="1" max="1" width="25.7109375" style="10" customWidth="1"/>
    <col min="2" max="2" width="21.140625" style="10" customWidth="1"/>
    <col min="3" max="4" width="13.7109375" style="10" customWidth="1"/>
    <col min="5" max="5" width="23.42578125" style="10" customWidth="1"/>
    <col min="6" max="6" width="13.7109375" style="10" customWidth="1"/>
    <col min="7" max="7" width="35" style="10" customWidth="1"/>
    <col min="8" max="8" width="55.42578125" style="10" bestFit="1" customWidth="1"/>
    <col min="9" max="20" width="8.7109375" style="10"/>
    <col min="39" max="39" width="9.28515625" bestFit="1" customWidth="1"/>
  </cols>
  <sheetData>
    <row r="1" spans="1:30" x14ac:dyDescent="0.25">
      <c r="A1" s="47" t="s">
        <v>210</v>
      </c>
      <c r="B1" s="48"/>
      <c r="C1" s="48"/>
      <c r="D1" s="48"/>
      <c r="E1" s="48"/>
      <c r="F1" s="48"/>
      <c r="G1" s="48"/>
      <c r="H1" s="48"/>
    </row>
    <row r="2" spans="1:30" x14ac:dyDescent="0.25">
      <c r="A2" s="15" t="s">
        <v>211</v>
      </c>
      <c r="C2" s="49" t="s">
        <v>212</v>
      </c>
      <c r="D2" s="15"/>
      <c r="E2" s="15"/>
      <c r="F2" s="15"/>
    </row>
    <row r="3" spans="1:30" x14ac:dyDescent="0.25">
      <c r="A3" s="15" t="s">
        <v>213</v>
      </c>
      <c r="C3" s="10">
        <v>1</v>
      </c>
      <c r="E3" s="15" t="s">
        <v>214</v>
      </c>
      <c r="J3" s="48"/>
      <c r="K3" s="15" t="s">
        <v>215</v>
      </c>
    </row>
    <row r="4" spans="1:30" x14ac:dyDescent="0.25">
      <c r="A4" s="15" t="s">
        <v>216</v>
      </c>
      <c r="C4" s="50">
        <v>44761</v>
      </c>
      <c r="D4" s="51"/>
      <c r="E4" s="52" t="s">
        <v>217</v>
      </c>
      <c r="F4" s="51"/>
      <c r="J4" s="53"/>
      <c r="K4" s="15" t="s">
        <v>218</v>
      </c>
    </row>
    <row r="5" spans="1:30" x14ac:dyDescent="0.25">
      <c r="A5" s="15" t="s">
        <v>219</v>
      </c>
      <c r="C5" s="10">
        <v>1</v>
      </c>
      <c r="D5" s="51"/>
      <c r="E5" s="54" t="s">
        <v>220</v>
      </c>
      <c r="F5" s="51"/>
      <c r="I5" s="15"/>
      <c r="J5" s="15"/>
    </row>
    <row r="6" spans="1:30" x14ac:dyDescent="0.25">
      <c r="J6" s="133" t="s">
        <v>202</v>
      </c>
      <c r="K6" s="133" t="s">
        <v>203</v>
      </c>
      <c r="L6" s="133" t="s">
        <v>204</v>
      </c>
      <c r="M6" s="129" t="s">
        <v>205</v>
      </c>
      <c r="N6" s="129"/>
      <c r="O6" s="132" t="s">
        <v>206</v>
      </c>
      <c r="P6"/>
    </row>
    <row r="7" spans="1:30" ht="15.75" thickBot="1" x14ac:dyDescent="0.3">
      <c r="A7" s="125" t="s">
        <v>221</v>
      </c>
      <c r="B7" s="125"/>
      <c r="C7" s="125"/>
      <c r="D7" s="125"/>
      <c r="E7" s="125"/>
      <c r="F7" s="125"/>
      <c r="G7" s="125"/>
      <c r="H7" s="125"/>
      <c r="J7" s="134"/>
      <c r="K7" s="134"/>
      <c r="L7" s="134"/>
      <c r="M7" s="1" t="s">
        <v>69</v>
      </c>
      <c r="N7" s="1" t="s">
        <v>207</v>
      </c>
      <c r="O7" s="133"/>
      <c r="P7"/>
      <c r="Q7" s="16"/>
      <c r="R7" s="16"/>
      <c r="S7" s="16"/>
      <c r="T7" s="16"/>
      <c r="U7" s="16"/>
      <c r="V7" s="16"/>
      <c r="W7" s="17"/>
      <c r="X7" s="17"/>
      <c r="Y7" s="17"/>
      <c r="Z7" s="17"/>
      <c r="AA7" s="17"/>
      <c r="AB7" s="17"/>
      <c r="AC7" s="17"/>
      <c r="AD7" s="17"/>
    </row>
    <row r="8" spans="1:30" ht="18.75" thickTop="1" x14ac:dyDescent="0.25">
      <c r="A8" s="17"/>
      <c r="B8" s="17" t="s">
        <v>222</v>
      </c>
      <c r="C8" s="17" t="s">
        <v>223</v>
      </c>
      <c r="D8" s="17" t="s">
        <v>224</v>
      </c>
      <c r="E8" s="17" t="s">
        <v>225</v>
      </c>
      <c r="F8" s="17" t="s">
        <v>226</v>
      </c>
      <c r="G8" s="55" t="s">
        <v>227</v>
      </c>
      <c r="H8" s="17" t="s">
        <v>228</v>
      </c>
      <c r="J8" s="44" t="s">
        <v>208</v>
      </c>
      <c r="K8" s="44">
        <v>241</v>
      </c>
      <c r="L8" s="45">
        <f>K8*P8</f>
        <v>343.78650000000005</v>
      </c>
      <c r="M8" s="1">
        <v>3</v>
      </c>
      <c r="N8" s="1">
        <v>8</v>
      </c>
      <c r="O8" s="46">
        <f>(L8/210000) * (1+(((M8/(1+N8))*((L8/K8)^N8))))</f>
        <v>1.0993773658472166E-2</v>
      </c>
      <c r="P8">
        <v>1.4265000000000001</v>
      </c>
      <c r="U8" s="10"/>
    </row>
    <row r="9" spans="1:30" x14ac:dyDescent="0.25">
      <c r="A9" s="56" t="s">
        <v>110</v>
      </c>
      <c r="B9" s="48">
        <v>1.0668</v>
      </c>
      <c r="C9" s="57"/>
      <c r="D9" s="58">
        <v>1</v>
      </c>
      <c r="E9" s="10">
        <v>0.1016</v>
      </c>
      <c r="F9" s="10">
        <v>1.0669999999999999</v>
      </c>
      <c r="G9" s="10" t="s">
        <v>58</v>
      </c>
      <c r="H9" s="15" t="s">
        <v>229</v>
      </c>
      <c r="J9" s="32" t="s">
        <v>209</v>
      </c>
      <c r="K9" s="32">
        <v>290</v>
      </c>
      <c r="L9" s="45">
        <f t="shared" ref="L9:L13" si="0">K9*P9</f>
        <v>413.685</v>
      </c>
      <c r="M9" s="1">
        <v>3</v>
      </c>
      <c r="N9" s="1">
        <v>9</v>
      </c>
      <c r="O9" s="46">
        <f t="shared" ref="O9:O13" si="1">(L9/210000) * (1+(((M9/(1+N9))*((L9/K9)^N9))))</f>
        <v>1.6424915983774071E-2</v>
      </c>
      <c r="P9">
        <v>1.4265000000000001</v>
      </c>
      <c r="U9" s="10"/>
    </row>
    <row r="10" spans="1:30" x14ac:dyDescent="0.25">
      <c r="A10" s="56" t="s">
        <v>111</v>
      </c>
      <c r="B10" s="48">
        <v>9.5250000000000005E-3</v>
      </c>
      <c r="C10" s="57"/>
      <c r="D10" s="58">
        <v>5</v>
      </c>
      <c r="E10" s="10">
        <v>5.0000000000000001E-3</v>
      </c>
      <c r="F10" s="10">
        <v>2.1000000000000001E-2</v>
      </c>
      <c r="G10" s="10" t="s">
        <v>58</v>
      </c>
      <c r="H10" s="15" t="s">
        <v>230</v>
      </c>
      <c r="J10" s="44" t="s">
        <v>139</v>
      </c>
      <c r="K10" s="44">
        <v>359</v>
      </c>
      <c r="L10" s="45">
        <f t="shared" si="0"/>
        <v>455.05403999999999</v>
      </c>
      <c r="M10" s="1">
        <v>8</v>
      </c>
      <c r="N10" s="1">
        <v>10</v>
      </c>
      <c r="O10" s="46">
        <f t="shared" si="1"/>
        <v>1.9041242414694345E-2</v>
      </c>
      <c r="P10">
        <v>1.26756</v>
      </c>
      <c r="U10" s="10"/>
    </row>
    <row r="11" spans="1:30" x14ac:dyDescent="0.25">
      <c r="A11" s="10" t="s">
        <v>112</v>
      </c>
      <c r="B11" s="59">
        <f>B9/B10</f>
        <v>111.99999999999999</v>
      </c>
      <c r="H11" s="15" t="s">
        <v>231</v>
      </c>
      <c r="J11" s="32" t="s">
        <v>140</v>
      </c>
      <c r="K11" s="32">
        <v>414</v>
      </c>
      <c r="L11" s="45">
        <f t="shared" si="0"/>
        <v>517.10711399999991</v>
      </c>
      <c r="M11" s="1">
        <v>8</v>
      </c>
      <c r="N11" s="1">
        <v>12</v>
      </c>
      <c r="O11" s="46">
        <f t="shared" si="1"/>
        <v>2.4313344008036558E-2</v>
      </c>
      <c r="P11">
        <v>1.2490509999999999</v>
      </c>
      <c r="U11" s="10"/>
    </row>
    <row r="12" spans="1:30" ht="18.75" x14ac:dyDescent="0.35">
      <c r="A12" s="60" t="s">
        <v>232</v>
      </c>
      <c r="B12" s="61">
        <v>100</v>
      </c>
      <c r="C12" s="58"/>
      <c r="D12" s="58">
        <v>40</v>
      </c>
      <c r="E12" s="58"/>
      <c r="F12" s="58"/>
      <c r="G12" s="58" t="s">
        <v>233</v>
      </c>
      <c r="H12" s="62" t="s">
        <v>234</v>
      </c>
      <c r="J12" s="32" t="s">
        <v>141</v>
      </c>
      <c r="K12" s="32">
        <v>483</v>
      </c>
      <c r="L12" s="45">
        <f t="shared" si="0"/>
        <v>565.37033699999995</v>
      </c>
      <c r="M12" s="1">
        <v>14</v>
      </c>
      <c r="N12" s="1">
        <v>15</v>
      </c>
      <c r="O12" s="46">
        <f t="shared" si="1"/>
        <v>2.7690517990613433E-2</v>
      </c>
      <c r="P12">
        <v>1.170539</v>
      </c>
      <c r="Q12" s="12"/>
      <c r="R12" s="12"/>
      <c r="S12" s="12"/>
      <c r="T12" s="12"/>
      <c r="U12" s="12"/>
      <c r="V12" s="12"/>
    </row>
    <row r="13" spans="1:30" x14ac:dyDescent="0.25">
      <c r="A13" s="18" t="s">
        <v>235</v>
      </c>
      <c r="B13" s="48" t="s">
        <v>139</v>
      </c>
      <c r="C13" s="58"/>
      <c r="D13" s="58"/>
      <c r="E13" s="58"/>
      <c r="F13" s="58"/>
      <c r="G13" s="58"/>
      <c r="H13" s="62"/>
      <c r="J13" s="44" t="s">
        <v>142</v>
      </c>
      <c r="K13" s="44">
        <v>552</v>
      </c>
      <c r="L13" s="45">
        <f t="shared" si="0"/>
        <v>624.99979200000007</v>
      </c>
      <c r="M13" s="1">
        <v>15</v>
      </c>
      <c r="N13" s="1">
        <v>20</v>
      </c>
      <c r="O13" s="46">
        <f t="shared" si="1"/>
        <v>2.8464933991254465E-2</v>
      </c>
      <c r="P13">
        <v>1.1322460000000001</v>
      </c>
      <c r="Q13" s="12"/>
      <c r="R13" s="12"/>
      <c r="S13" s="12"/>
      <c r="T13" s="12"/>
      <c r="U13" s="12"/>
      <c r="V13" s="12"/>
    </row>
    <row r="14" spans="1:30" x14ac:dyDescent="0.25">
      <c r="A14" s="18" t="s">
        <v>236</v>
      </c>
      <c r="B14" s="59">
        <f>100*IF(B13=J8,O8,IF(B13=J9,O9,IF(B13=J10,O10,IF(B13=J11,O11,IF(B13=J12,O12,IF(B13=J13,O13,2))))))</f>
        <v>1.9041242414694344</v>
      </c>
      <c r="C14" s="58"/>
      <c r="D14" s="58"/>
      <c r="E14" s="58"/>
      <c r="F14" s="58"/>
      <c r="G14" s="58"/>
      <c r="H14" s="62" t="s">
        <v>237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30" x14ac:dyDescent="0.25">
      <c r="A15" s="18"/>
      <c r="B15" s="59"/>
      <c r="C15" s="58"/>
      <c r="D15" s="58"/>
      <c r="E15" s="58"/>
      <c r="F15" s="58"/>
      <c r="G15" s="58"/>
      <c r="H15" s="62"/>
      <c r="I15" s="63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12"/>
      <c r="V15" s="12"/>
    </row>
    <row r="16" spans="1:30" x14ac:dyDescent="0.25">
      <c r="A16" s="10" t="s">
        <v>238</v>
      </c>
      <c r="B16" s="65">
        <f>LN(B14)</f>
        <v>0.6440221871128996</v>
      </c>
      <c r="C16" s="58"/>
      <c r="D16" s="58"/>
      <c r="E16" s="58"/>
      <c r="F16" s="58"/>
      <c r="G16" s="58"/>
      <c r="H16" s="62" t="s">
        <v>239</v>
      </c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12"/>
      <c r="V16" s="12"/>
    </row>
    <row r="17" spans="1:30" x14ac:dyDescent="0.25">
      <c r="A17" s="10" t="s">
        <v>240</v>
      </c>
      <c r="B17" s="65">
        <f>LN(B12)</f>
        <v>4.6051701859880918</v>
      </c>
      <c r="C17" s="58"/>
      <c r="D17" s="58"/>
      <c r="E17" s="58"/>
      <c r="F17" s="58"/>
      <c r="G17" s="58"/>
      <c r="H17" s="62" t="s">
        <v>239</v>
      </c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12"/>
      <c r="V17" s="12"/>
    </row>
    <row r="18" spans="1:30" x14ac:dyDescent="0.25">
      <c r="A18" s="10" t="s">
        <v>121</v>
      </c>
      <c r="B18" s="65">
        <f>LN(B11)</f>
        <v>4.7184988712950942</v>
      </c>
      <c r="C18" s="58"/>
      <c r="D18" s="58"/>
      <c r="E18" s="58"/>
      <c r="F18" s="58"/>
      <c r="G18" s="58"/>
      <c r="H18" s="62" t="s">
        <v>239</v>
      </c>
      <c r="I18" s="63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12"/>
      <c r="V18" s="12"/>
    </row>
    <row r="19" spans="1:30" ht="18" x14ac:dyDescent="0.25">
      <c r="A19" s="10" t="s">
        <v>160</v>
      </c>
      <c r="B19" s="59">
        <f>LN(B32)</f>
        <v>3.2919525795574893</v>
      </c>
      <c r="C19" s="58"/>
      <c r="D19" s="58"/>
      <c r="E19" s="58"/>
      <c r="F19" s="58"/>
      <c r="H19" s="62" t="s">
        <v>239</v>
      </c>
      <c r="I19" s="6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12"/>
      <c r="V19" s="12"/>
    </row>
    <row r="20" spans="1:30" x14ac:dyDescent="0.25">
      <c r="A20" s="10" t="s">
        <v>120</v>
      </c>
      <c r="B20" s="10">
        <f>MIN(11.5,MAX(B31/B9,1.8))</f>
        <v>1.8</v>
      </c>
      <c r="H20" s="15" t="s">
        <v>241</v>
      </c>
      <c r="I20" s="63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12"/>
      <c r="V20" s="12"/>
    </row>
    <row r="21" spans="1:30" x14ac:dyDescent="0.25">
      <c r="I21" s="66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12"/>
      <c r="V21" s="12"/>
      <c r="X21" s="10"/>
      <c r="Y21" s="10"/>
      <c r="Z21" s="10"/>
      <c r="AA21" s="10"/>
      <c r="AB21" s="10"/>
      <c r="AC21" s="10"/>
      <c r="AD21" s="10"/>
    </row>
    <row r="22" spans="1:30" ht="15.75" thickBot="1" x14ac:dyDescent="0.3">
      <c r="A22" s="125" t="s">
        <v>242</v>
      </c>
      <c r="B22" s="125"/>
      <c r="C22" s="125"/>
      <c r="D22" s="125"/>
      <c r="E22" s="125"/>
      <c r="F22" s="125"/>
      <c r="G22" s="125"/>
      <c r="H22" s="125"/>
      <c r="I22" s="63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12"/>
      <c r="V22" s="12"/>
    </row>
    <row r="23" spans="1:30" ht="18.75" thickTop="1" x14ac:dyDescent="0.25">
      <c r="A23" s="17" t="s">
        <v>243</v>
      </c>
      <c r="B23" s="17" t="s">
        <v>222</v>
      </c>
      <c r="C23" s="17" t="s">
        <v>223</v>
      </c>
      <c r="D23" s="17" t="s">
        <v>224</v>
      </c>
      <c r="E23" s="17" t="s">
        <v>225</v>
      </c>
      <c r="F23" s="17" t="s">
        <v>226</v>
      </c>
      <c r="G23" s="55" t="s">
        <v>227</v>
      </c>
      <c r="H23" s="55"/>
      <c r="I23" s="63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12"/>
      <c r="V23" s="12"/>
    </row>
    <row r="24" spans="1:30" x14ac:dyDescent="0.25">
      <c r="A24" s="13" t="s">
        <v>244</v>
      </c>
      <c r="B24" s="48">
        <v>45</v>
      </c>
      <c r="C24" s="58"/>
      <c r="D24" s="58">
        <v>10</v>
      </c>
      <c r="E24" s="10">
        <v>15</v>
      </c>
      <c r="F24" s="10">
        <v>89</v>
      </c>
      <c r="G24" s="10" t="s">
        <v>58</v>
      </c>
      <c r="H24" s="49" t="s">
        <v>245</v>
      </c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12"/>
      <c r="V24" s="12"/>
    </row>
    <row r="25" spans="1:30" x14ac:dyDescent="0.25">
      <c r="A25" s="10" t="s">
        <v>117</v>
      </c>
      <c r="B25" s="48" t="s">
        <v>143</v>
      </c>
      <c r="D25" s="58"/>
      <c r="H25" s="49" t="s">
        <v>246</v>
      </c>
      <c r="I25" s="63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12"/>
      <c r="V25" s="12"/>
    </row>
    <row r="26" spans="1:30" x14ac:dyDescent="0.25">
      <c r="A26" s="10" t="s">
        <v>118</v>
      </c>
      <c r="B26" s="48" t="s">
        <v>145</v>
      </c>
      <c r="D26" s="58"/>
      <c r="H26" s="49" t="s">
        <v>247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AA26" s="8"/>
      <c r="AB26" s="1"/>
    </row>
    <row r="27" spans="1:30" ht="17.25" x14ac:dyDescent="0.25">
      <c r="A27" s="13" t="s">
        <v>151</v>
      </c>
      <c r="B27" s="10">
        <f>IF(B26="Medium Dense (Sand)",18,IF(B26="Dense (Sand)",18.5,IF(B26="Very Dense (Sand)",19,IF(B26="Soft (Clay)",17.5,IF(B26="Medium (Clay)",18,IF(B26="Stiff (Clay)",18.5,0))))))</f>
        <v>19</v>
      </c>
      <c r="D27" s="58"/>
      <c r="H27" s="15" t="s">
        <v>248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AA27" s="8"/>
      <c r="AB27" s="1"/>
    </row>
    <row r="28" spans="1:30" ht="17.25" x14ac:dyDescent="0.25">
      <c r="A28" s="13" t="s">
        <v>152</v>
      </c>
      <c r="B28" s="10">
        <f>IF(B26="Medium Dense (Sand)",37,IF(B26="Dense (Sand)",40,IF(B26="Very Dense (Sand)",43,0)))</f>
        <v>43</v>
      </c>
      <c r="D28" s="58"/>
      <c r="H28" s="49" t="s">
        <v>249</v>
      </c>
      <c r="J28" s="16"/>
      <c r="K28" s="16"/>
    </row>
    <row r="29" spans="1:30" ht="18" x14ac:dyDescent="0.25">
      <c r="A29" s="10" t="s">
        <v>153</v>
      </c>
      <c r="B29" s="10">
        <f>IF(B26="Soft (Clay)",37.5,IF(B26="Medium (Clay)",75,IF(B26="Stiff (Clay)",125,0)))</f>
        <v>0</v>
      </c>
      <c r="D29" s="58"/>
      <c r="H29" s="49" t="s">
        <v>250</v>
      </c>
    </row>
    <row r="30" spans="1:30" x14ac:dyDescent="0.25">
      <c r="A30" s="13" t="s">
        <v>154</v>
      </c>
      <c r="B30" s="10">
        <f>IF(B26="Soft (Clay)",1.1,IF(B26="Medium (Clay)",0.72,IF(B26="Stiff (Clay)",0.4,0)))</f>
        <v>0</v>
      </c>
      <c r="D30" s="58"/>
      <c r="H30" s="49" t="s">
        <v>251</v>
      </c>
      <c r="L30" s="67"/>
    </row>
    <row r="31" spans="1:30" x14ac:dyDescent="0.25">
      <c r="A31" s="10" t="s">
        <v>119</v>
      </c>
      <c r="B31" s="48">
        <v>0.8</v>
      </c>
      <c r="D31" s="58"/>
      <c r="H31" s="49" t="s">
        <v>252</v>
      </c>
      <c r="J31" s="16"/>
      <c r="K31" s="16"/>
      <c r="L31" s="12"/>
    </row>
    <row r="32" spans="1:30" ht="18" x14ac:dyDescent="0.25">
      <c r="A32" s="10" t="s">
        <v>155</v>
      </c>
      <c r="B32" s="68">
        <f>IF(B25="Cohesionless (Sand)", PI() * B9 * B31*B27* 0.5 * (1 + (1 - SIN(RADIANS(B28)))) * TAN(RADIANS(0.9*B28)), PI() * B9 * B30 * B29)</f>
        <v>26.895327686165491</v>
      </c>
      <c r="C32" s="65" t="s">
        <v>253</v>
      </c>
      <c r="D32" s="58"/>
      <c r="E32" s="65"/>
      <c r="F32" s="65"/>
      <c r="H32" s="15" t="s">
        <v>254</v>
      </c>
      <c r="L32" s="12"/>
    </row>
    <row r="33" spans="1:12" ht="18" x14ac:dyDescent="0.25">
      <c r="A33" s="10" t="s">
        <v>156</v>
      </c>
      <c r="B33" s="68">
        <f>IF(B26="Medium Dense (Sand)",[1]Coefficient!$E$18 + ([1]Coefficient!$E$19*B20) + ([1]Coefficient!$E$20*(B20^2)) + ([1]Coefficient!$E$21*(B20^3)) + ([1]Coefficient!$E$22*(B20^4)),IF(B26="Dense (Sand)",[1]Coefficient!$F$18 + ([1]Coefficient!$F$19*B20) + ([1]Coefficient!$F$20*(B20^2)) + ([1]Coefficient!$F$21*(B20^3)) + ([1]Coefficient!$F$22*(B20^4)),IF(B26="Very Dense (Sand)",[1]Coefficient!$G$18 + ([1]Coefficient!$G$19*B20) + ([1]Coefficient!$G$20*(B20^2)) + ([1]Coefficient!$G$21*(B20^3)) + ([1]Coefficient!$G$22*(B20^4)),0)))</f>
        <v>18.784824717152006</v>
      </c>
      <c r="C33" s="65"/>
      <c r="D33" s="58"/>
      <c r="E33" s="65"/>
      <c r="F33" s="65"/>
      <c r="H33" s="15" t="s">
        <v>255</v>
      </c>
      <c r="L33" s="12"/>
    </row>
    <row r="34" spans="1:12" ht="18" x14ac:dyDescent="0.25">
      <c r="A34" s="10" t="s">
        <v>157</v>
      </c>
      <c r="B34" s="68">
        <f>MIN(80,EXP(0.18*B28-2.5))</f>
        <v>80</v>
      </c>
      <c r="C34" s="65"/>
      <c r="D34" s="58"/>
      <c r="E34" s="65"/>
      <c r="F34" s="65"/>
      <c r="H34" s="15" t="s">
        <v>256</v>
      </c>
      <c r="L34" s="12"/>
    </row>
    <row r="35" spans="1:12" ht="18" x14ac:dyDescent="0.25">
      <c r="A35" s="10" t="s">
        <v>158</v>
      </c>
      <c r="B35" s="68">
        <f>IF(B25="Cohesionless (Sand)",B33*B27*B31*B9 + 0.5*B27*(B9^2)*B34,5.14*B29*B9)</f>
        <v>1169.5299977255181</v>
      </c>
      <c r="C35" s="65"/>
      <c r="D35" s="58"/>
      <c r="E35" s="65"/>
      <c r="F35" s="65"/>
      <c r="H35" s="15"/>
      <c r="L35" s="12"/>
    </row>
    <row r="36" spans="1:12" ht="18" x14ac:dyDescent="0.25">
      <c r="A36" s="10" t="s">
        <v>257</v>
      </c>
      <c r="B36" s="68">
        <f>LN(B35)</f>
        <v>7.0643572357384734</v>
      </c>
      <c r="C36" s="65"/>
      <c r="D36" s="58"/>
      <c r="E36" s="65"/>
      <c r="F36" s="65"/>
      <c r="H36" s="15"/>
      <c r="L36" s="12"/>
    </row>
    <row r="37" spans="1:12" ht="15.75" thickBot="1" x14ac:dyDescent="0.3">
      <c r="A37" s="17"/>
      <c r="C37" s="15"/>
      <c r="D37" s="15"/>
      <c r="E37" s="69"/>
      <c r="F37" s="69"/>
      <c r="G37" s="69"/>
      <c r="H37" s="69"/>
      <c r="L37" s="12"/>
    </row>
    <row r="38" spans="1:12" ht="15.75" thickTop="1" x14ac:dyDescent="0.25">
      <c r="A38" s="70" t="s">
        <v>258</v>
      </c>
      <c r="B38" s="71"/>
      <c r="C38" s="71"/>
      <c r="D38" s="71"/>
      <c r="L38" s="11"/>
    </row>
    <row r="39" spans="1:12" ht="18" x14ac:dyDescent="0.25">
      <c r="A39" s="10" t="s">
        <v>161</v>
      </c>
      <c r="B39" s="72">
        <f>VLOOKUP(B24,[1]Coefficient!$A$3:$H$7,2,TRUE)</f>
        <v>3.7532999999999999</v>
      </c>
      <c r="D39" s="10" t="s">
        <v>169</v>
      </c>
      <c r="E39" s="72">
        <f>VLOOKUP(B24,[1]Coefficient!$A$10:$P$14,2,TRUE)</f>
        <v>-1.1082000000000001</v>
      </c>
      <c r="H39" s="15"/>
      <c r="L39" s="11"/>
    </row>
    <row r="40" spans="1:12" ht="18" x14ac:dyDescent="0.25">
      <c r="A40" s="10" t="s">
        <v>162</v>
      </c>
      <c r="B40" s="72">
        <f>VLOOKUP(B24,[1]Coefficient!$A$3:$H$7,3,TRUE)</f>
        <v>0.14510000000000001</v>
      </c>
      <c r="D40" s="10" t="s">
        <v>170</v>
      </c>
      <c r="E40" s="72">
        <f>VLOOKUP(B24,[1]Coefficient!$A$10:$P$14,3,TRUE)</f>
        <v>0.10630000000000001</v>
      </c>
      <c r="H40" s="15"/>
      <c r="L40" s="12"/>
    </row>
    <row r="41" spans="1:12" ht="18" x14ac:dyDescent="0.25">
      <c r="A41" s="10" t="s">
        <v>163</v>
      </c>
      <c r="B41" s="72">
        <f>VLOOKUP(B24,[1]Coefficient!$A$3:$H$7,4,TRUE)</f>
        <v>1.2497</v>
      </c>
      <c r="D41" s="10" t="s">
        <v>171</v>
      </c>
      <c r="E41" s="72">
        <f>VLOOKUP(B24,[1]Coefficient!$A$10:$P$14,4,TRUE)</f>
        <v>-0.1439</v>
      </c>
      <c r="H41" s="15"/>
    </row>
    <row r="42" spans="1:12" ht="18" x14ac:dyDescent="0.25">
      <c r="A42" s="10" t="s">
        <v>164</v>
      </c>
      <c r="B42" s="72">
        <f>VLOOKUP(B24,[1]Coefficient!$A$3:$H$7,5,TRUE)</f>
        <v>-0.46100000000000002</v>
      </c>
      <c r="D42" s="10" t="s">
        <v>172</v>
      </c>
      <c r="E42" s="2">
        <f>VLOOKUP(B24,[1]Coefficient!$A$10:$P$14,5,TRUE)</f>
        <v>0.27879999999999999</v>
      </c>
      <c r="F42"/>
      <c r="H42" s="15"/>
    </row>
    <row r="43" spans="1:12" ht="18" x14ac:dyDescent="0.25">
      <c r="A43" s="10" t="s">
        <v>165</v>
      </c>
      <c r="B43" s="72">
        <f>VLOOKUP(B24,[1]Coefficient!$A$3:$H$7,6,TRUE)</f>
        <v>0.39140000000000003</v>
      </c>
      <c r="D43" s="10" t="s">
        <v>173</v>
      </c>
      <c r="E43" s="72">
        <f>VLOOKUP(B24,[1]Coefficient!$A$10:$P$14,6,TRUE)</f>
        <v>-0.31030000000000002</v>
      </c>
      <c r="F43" s="73"/>
      <c r="H43" s="15"/>
    </row>
    <row r="44" spans="1:12" ht="18" x14ac:dyDescent="0.25">
      <c r="A44" s="10" t="s">
        <v>166</v>
      </c>
      <c r="B44" s="72">
        <f>VLOOKUP(B24,[1]Coefficient!$A$3:$H$7,7,TRUE)</f>
        <v>-0.21310000000000001</v>
      </c>
      <c r="C44" s="1"/>
      <c r="D44" s="10" t="s">
        <v>174</v>
      </c>
      <c r="E44" s="72">
        <f>VLOOKUP(B24,[1]Coefficient!$A$10:$P$14,7,TRUE)</f>
        <v>1.2553000000000001</v>
      </c>
      <c r="F44" s="73"/>
      <c r="H44" s="15"/>
    </row>
    <row r="45" spans="1:12" ht="18" x14ac:dyDescent="0.25">
      <c r="A45" s="10" t="s">
        <v>167</v>
      </c>
      <c r="B45" s="72">
        <f>VLOOKUP(B24,[1]Coefficient!$A$3:$H$7,8,TRUE)</f>
        <v>-0.34139999999999998</v>
      </c>
      <c r="D45" s="10" t="s">
        <v>175</v>
      </c>
      <c r="E45" s="72">
        <f>VLOOKUP(B24,[1]Coefficient!$A$10:$P$14,8,TRUE)</f>
        <v>2.9999999999999997E-4</v>
      </c>
      <c r="F45" s="73"/>
      <c r="H45" s="15"/>
    </row>
    <row r="46" spans="1:12" ht="18" x14ac:dyDescent="0.25">
      <c r="A46" s="10" t="s">
        <v>168</v>
      </c>
      <c r="B46" s="72">
        <f>B39+B40*B17 + B41*LN(B9) + B42*B18 + B43*B16 + B44*B36 + B45*B19</f>
        <v>-5.0124646637818238E-2</v>
      </c>
      <c r="D46" s="10" t="s">
        <v>176</v>
      </c>
      <c r="E46" s="72">
        <f>VLOOKUP(B24,[1]Coefficient!$A$10:$P$14,9,TRUE)</f>
        <v>5.1999999999999998E-3</v>
      </c>
      <c r="F46" s="73"/>
      <c r="H46" s="15"/>
      <c r="J46"/>
      <c r="K46"/>
      <c r="L46"/>
    </row>
    <row r="47" spans="1:12" ht="18" x14ac:dyDescent="0.25">
      <c r="B47" s="74"/>
      <c r="D47" s="10" t="s">
        <v>177</v>
      </c>
      <c r="E47" s="72">
        <f>VLOOKUP(B24,[1]Coefficient!$A$10:$P$14,10,TRUE)</f>
        <v>-8.5900000000000004E-2</v>
      </c>
      <c r="F47" s="73"/>
      <c r="H47" s="15"/>
      <c r="L47"/>
    </row>
    <row r="48" spans="1:12" ht="18" x14ac:dyDescent="0.25">
      <c r="B48" s="74"/>
      <c r="D48" s="10" t="s">
        <v>178</v>
      </c>
      <c r="E48" s="72">
        <f>VLOOKUP(B24,[1]Coefficient!$A$10:$P$14,11,TRUE)</f>
        <v>5.9999999999999995E-4</v>
      </c>
      <c r="F48" s="73"/>
      <c r="H48" s="15"/>
      <c r="L48"/>
    </row>
    <row r="49" spans="1:12" ht="18" x14ac:dyDescent="0.25">
      <c r="B49" s="74"/>
      <c r="D49" s="10" t="s">
        <v>179</v>
      </c>
      <c r="E49" s="72">
        <f>VLOOKUP(B24,[1]Coefficient!$A$10:$P$14,12,TRUE)</f>
        <v>-0.21759999999999999</v>
      </c>
      <c r="F49" s="73"/>
      <c r="H49" s="15"/>
      <c r="L49"/>
    </row>
    <row r="50" spans="1:12" ht="18" x14ac:dyDescent="0.25">
      <c r="B50" s="74"/>
      <c r="D50" s="10" t="s">
        <v>180</v>
      </c>
      <c r="E50" s="72">
        <f>VLOOKUP(B24,[1]Coefficient!$A$10:$P$14,13,TRUE)</f>
        <v>-2.69E-2</v>
      </c>
      <c r="F50" s="73"/>
      <c r="H50" s="15"/>
      <c r="L50"/>
    </row>
    <row r="51" spans="1:12" ht="18" x14ac:dyDescent="0.25">
      <c r="B51" s="74"/>
      <c r="D51" s="10" t="s">
        <v>181</v>
      </c>
      <c r="E51" s="72">
        <f>VLOOKUP(B24,[1]Coefficient!$A$10:$P$14,14,TRUE)</f>
        <v>0.57389999999999997</v>
      </c>
      <c r="F51" s="73"/>
      <c r="H51" s="15"/>
      <c r="L51"/>
    </row>
    <row r="52" spans="1:12" ht="18" x14ac:dyDescent="0.25">
      <c r="B52" s="74"/>
      <c r="D52" s="10" t="s">
        <v>182</v>
      </c>
      <c r="E52" s="72">
        <f>VLOOKUP(B24,[1]Coefficient!$A$10:$P$14,15,TRUE)</f>
        <v>0.34460000000000002</v>
      </c>
      <c r="F52" s="73"/>
      <c r="H52" s="15"/>
      <c r="L52"/>
    </row>
    <row r="53" spans="1:12" ht="18" x14ac:dyDescent="0.25">
      <c r="B53" s="74"/>
      <c r="D53" s="10" t="s">
        <v>183</v>
      </c>
      <c r="E53" s="72">
        <f>IF(B61&lt;B46,1,0)</f>
        <v>0</v>
      </c>
      <c r="F53" s="73"/>
      <c r="H53" s="15"/>
      <c r="L53"/>
    </row>
    <row r="54" spans="1:12" ht="18" x14ac:dyDescent="0.25">
      <c r="B54" s="74"/>
      <c r="D54" s="10" t="s">
        <v>184</v>
      </c>
      <c r="E54" s="5">
        <f>IF(B12&lt;100,1,0)</f>
        <v>0</v>
      </c>
      <c r="F54" s="73"/>
      <c r="H54" s="15"/>
      <c r="L54"/>
    </row>
    <row r="55" spans="1:12" ht="18" x14ac:dyDescent="0.25">
      <c r="B55" s="74"/>
      <c r="D55" s="10" t="s">
        <v>185</v>
      </c>
      <c r="E55" s="72">
        <f>IF(B25="Cohesionless (Sand)",1,0)</f>
        <v>1</v>
      </c>
      <c r="F55" s="73"/>
      <c r="H55" s="15"/>
      <c r="L55"/>
    </row>
    <row r="56" spans="1:12" ht="18" x14ac:dyDescent="0.25">
      <c r="B56" s="74"/>
      <c r="D56" s="10" t="s">
        <v>186</v>
      </c>
      <c r="E56" s="72">
        <f>E53 * (E44+E45*B32 + E46*E54*(B12-100) + E47*(1-E54) + E48*B11) + (1-E53) * (E49 + E50*E54*(B12-100) + E51*(1-E54) + E52*B16)</f>
        <v>0.57823004567910519</v>
      </c>
      <c r="F56" s="73"/>
      <c r="H56" s="15"/>
      <c r="L56"/>
    </row>
    <row r="57" spans="1:12" x14ac:dyDescent="0.25">
      <c r="B57" s="74"/>
      <c r="D57" s="73"/>
      <c r="F57" s="73"/>
      <c r="H57" s="15"/>
      <c r="L57"/>
    </row>
    <row r="58" spans="1:12" x14ac:dyDescent="0.25">
      <c r="B58" s="73"/>
      <c r="D58" s="73"/>
      <c r="F58" s="73"/>
      <c r="H58" s="15"/>
      <c r="J58"/>
      <c r="K58"/>
      <c r="L58"/>
    </row>
    <row r="59" spans="1:12" ht="15.75" thickBot="1" x14ac:dyDescent="0.3">
      <c r="A59" s="75" t="s">
        <v>259</v>
      </c>
      <c r="B59" s="69"/>
      <c r="C59" s="69"/>
      <c r="D59" s="69"/>
      <c r="E59" s="69"/>
      <c r="F59" s="69"/>
      <c r="G59" s="69"/>
      <c r="H59" s="69"/>
      <c r="J59" s="16"/>
      <c r="K59" s="16"/>
      <c r="L59"/>
    </row>
    <row r="60" spans="1:12" ht="15.75" thickTop="1" x14ac:dyDescent="0.25">
      <c r="A60" s="18" t="s">
        <v>260</v>
      </c>
      <c r="B60" s="76">
        <v>2.2400000000000002</v>
      </c>
      <c r="C60" s="15"/>
      <c r="D60" s="15"/>
      <c r="E60" s="15"/>
      <c r="F60" s="15"/>
      <c r="H60" s="15" t="s">
        <v>261</v>
      </c>
      <c r="J60" s="17"/>
      <c r="L60"/>
    </row>
    <row r="61" spans="1:12" x14ac:dyDescent="0.25">
      <c r="A61" s="18" t="s">
        <v>262</v>
      </c>
      <c r="B61" s="10">
        <f>LN(B60)</f>
        <v>0.80647586586694853</v>
      </c>
      <c r="C61" s="15"/>
      <c r="D61" s="15"/>
      <c r="E61" s="15"/>
      <c r="F61" s="15"/>
      <c r="H61" s="62" t="s">
        <v>239</v>
      </c>
      <c r="J61" s="17"/>
      <c r="L61"/>
    </row>
    <row r="62" spans="1:12" x14ac:dyDescent="0.25">
      <c r="J62" s="17"/>
      <c r="L62" s="12"/>
    </row>
    <row r="63" spans="1:12" ht="15.75" thickBot="1" x14ac:dyDescent="0.3">
      <c r="A63" s="75" t="s">
        <v>263</v>
      </c>
      <c r="B63" s="69"/>
      <c r="C63" s="69"/>
      <c r="D63" s="69"/>
      <c r="E63" s="69"/>
      <c r="F63" s="69"/>
      <c r="G63" s="69"/>
      <c r="H63" s="69"/>
      <c r="J63" s="17"/>
      <c r="L63" s="12"/>
    </row>
    <row r="64" spans="1:12" ht="15.75" thickTop="1" x14ac:dyDescent="0.25">
      <c r="A64" s="17" t="s">
        <v>132</v>
      </c>
      <c r="B64" s="72">
        <f>B61-B46</f>
        <v>0.85660051250476676</v>
      </c>
      <c r="D64" s="15"/>
      <c r="E64" s="15"/>
      <c r="F64" s="15"/>
      <c r="H64" s="62" t="s">
        <v>239</v>
      </c>
      <c r="J64" s="17"/>
      <c r="L64" s="12"/>
    </row>
    <row r="65" spans="1:21" x14ac:dyDescent="0.25">
      <c r="A65" s="17" t="s">
        <v>133</v>
      </c>
      <c r="B65" s="72">
        <f>E56*B64</f>
        <v>0.49531215347437618</v>
      </c>
      <c r="C65" s="15"/>
      <c r="D65" s="15"/>
      <c r="E65" s="15"/>
      <c r="F65" s="15"/>
      <c r="H65" s="62" t="s">
        <v>239</v>
      </c>
      <c r="J65" s="17"/>
      <c r="L65" s="12"/>
    </row>
    <row r="66" spans="1:21" x14ac:dyDescent="0.25">
      <c r="A66" s="17" t="s">
        <v>134</v>
      </c>
      <c r="B66" s="72">
        <f>E40*B18</f>
        <v>0.50157643001866858</v>
      </c>
      <c r="C66" s="15"/>
      <c r="D66" s="15"/>
      <c r="E66" s="15"/>
      <c r="F66" s="15"/>
      <c r="H66" s="62" t="s">
        <v>239</v>
      </c>
      <c r="J66" s="17"/>
      <c r="L66" s="12"/>
    </row>
    <row r="67" spans="1:21" x14ac:dyDescent="0.25">
      <c r="A67" s="17" t="s">
        <v>135</v>
      </c>
      <c r="B67" s="77">
        <f>E41*E55*B19</f>
        <v>-0.47371197619832273</v>
      </c>
      <c r="C67" s="15"/>
      <c r="D67" s="15"/>
      <c r="E67" s="15"/>
      <c r="F67" s="15"/>
      <c r="H67" s="62" t="s">
        <v>239</v>
      </c>
      <c r="J67" s="17"/>
      <c r="L67" s="12"/>
    </row>
    <row r="68" spans="1:21" x14ac:dyDescent="0.25">
      <c r="A68" s="17" t="s">
        <v>136</v>
      </c>
      <c r="B68" s="77">
        <f>E42*B36</f>
        <v>1.9695427973238864</v>
      </c>
      <c r="C68" s="15"/>
      <c r="D68" s="15"/>
      <c r="E68" s="15"/>
      <c r="F68" s="15"/>
      <c r="H68" s="62" t="s">
        <v>239</v>
      </c>
      <c r="J68" s="17"/>
      <c r="L68" s="12"/>
    </row>
    <row r="69" spans="1:21" x14ac:dyDescent="0.25">
      <c r="A69" s="17" t="s">
        <v>137</v>
      </c>
      <c r="B69" s="77">
        <f>E43*LN(B9)</f>
        <v>-2.0065088184971575E-2</v>
      </c>
      <c r="C69" s="15"/>
      <c r="D69" s="15"/>
      <c r="E69" s="15"/>
      <c r="F69" s="15"/>
      <c r="H69" s="62" t="s">
        <v>239</v>
      </c>
      <c r="J69" s="17"/>
      <c r="L69" s="12"/>
    </row>
    <row r="70" spans="1:21" ht="18" x14ac:dyDescent="0.25">
      <c r="A70" s="17" t="s">
        <v>264</v>
      </c>
      <c r="B70" s="77">
        <f>E39+B65+B66+B67+B68+B69</f>
        <v>1.3644543164336369</v>
      </c>
      <c r="C70" s="15"/>
      <c r="D70" s="15"/>
      <c r="E70" s="15"/>
      <c r="F70" s="15"/>
      <c r="H70" s="62" t="s">
        <v>239</v>
      </c>
      <c r="J70" s="17"/>
      <c r="L70" s="12"/>
    </row>
    <row r="71" spans="1:21" x14ac:dyDescent="0.25">
      <c r="A71" s="17" t="s">
        <v>138</v>
      </c>
      <c r="B71" s="78">
        <f>EXP(B70)</f>
        <v>3.9135868891603036</v>
      </c>
      <c r="C71" s="15"/>
      <c r="D71" s="15"/>
      <c r="E71" s="15"/>
      <c r="F71" s="15"/>
      <c r="H71" s="15" t="s">
        <v>265</v>
      </c>
      <c r="J71" s="17"/>
      <c r="L71" s="12"/>
    </row>
    <row r="72" spans="1:21" x14ac:dyDescent="0.25">
      <c r="A72" s="17" t="s">
        <v>266</v>
      </c>
      <c r="B72" s="79">
        <v>0.3</v>
      </c>
      <c r="D72" s="15"/>
      <c r="E72" s="15"/>
      <c r="F72" s="15"/>
      <c r="H72" s="15" t="s">
        <v>267</v>
      </c>
      <c r="J72" s="17"/>
      <c r="L72" s="12"/>
    </row>
    <row r="73" spans="1:21" x14ac:dyDescent="0.25">
      <c r="D73" s="15"/>
      <c r="E73" s="15"/>
      <c r="F73" s="15"/>
      <c r="J73" s="17"/>
      <c r="L73" s="12"/>
    </row>
    <row r="74" spans="1:21" x14ac:dyDescent="0.25">
      <c r="A74"/>
      <c r="B74"/>
      <c r="C74"/>
      <c r="J74" s="17"/>
      <c r="L74" s="12"/>
    </row>
    <row r="75" spans="1:21" x14ac:dyDescent="0.25">
      <c r="J75" s="17"/>
      <c r="L75" s="12"/>
    </row>
    <row r="76" spans="1:21" x14ac:dyDescent="0.25">
      <c r="A76" s="10" t="s">
        <v>268</v>
      </c>
      <c r="J76" s="17"/>
      <c r="L76" s="12"/>
    </row>
    <row r="77" spans="1:21" x14ac:dyDescent="0.25">
      <c r="A77" s="15" t="s">
        <v>269</v>
      </c>
      <c r="J77" s="17"/>
    </row>
    <row r="78" spans="1:21" x14ac:dyDescent="0.25">
      <c r="A78" s="15" t="s">
        <v>270</v>
      </c>
    </row>
    <row r="79" spans="1:21" x14ac:dyDescent="0.25">
      <c r="J79" s="16"/>
      <c r="K79" s="16"/>
      <c r="L79" s="16"/>
    </row>
    <row r="80" spans="1:21" x14ac:dyDescent="0.25">
      <c r="K80" s="80"/>
      <c r="L80" s="81"/>
      <c r="U80" s="10"/>
    </row>
    <row r="81" spans="1:22" x14ac:dyDescent="0.25">
      <c r="A81" s="47" t="s">
        <v>271</v>
      </c>
      <c r="B81" s="48"/>
      <c r="C81" s="48"/>
      <c r="D81" s="48"/>
      <c r="E81" s="48"/>
      <c r="F81" s="48"/>
      <c r="G81" s="48"/>
      <c r="H81" s="48"/>
      <c r="K81" s="82"/>
      <c r="L81" s="81"/>
      <c r="N81" s="67"/>
      <c r="U81" s="10"/>
      <c r="V81" s="10"/>
    </row>
    <row r="82" spans="1:22" x14ac:dyDescent="0.25">
      <c r="A82" s="15" t="s">
        <v>272</v>
      </c>
      <c r="K82" s="82"/>
      <c r="L82" s="81"/>
      <c r="N82" s="67"/>
      <c r="U82" s="10"/>
      <c r="V82" s="10"/>
    </row>
    <row r="83" spans="1:22" x14ac:dyDescent="0.25">
      <c r="A83" s="83" t="s">
        <v>260</v>
      </c>
      <c r="B83" s="83" t="s">
        <v>273</v>
      </c>
      <c r="C83" s="33" t="s">
        <v>274</v>
      </c>
      <c r="D83"/>
      <c r="E83" s="129" t="s">
        <v>275</v>
      </c>
      <c r="F83" s="129"/>
      <c r="G83" s="15" t="s">
        <v>276</v>
      </c>
      <c r="K83" s="82"/>
      <c r="L83" s="81"/>
      <c r="N83" s="67"/>
      <c r="U83" s="10"/>
      <c r="V83" s="10"/>
    </row>
    <row r="84" spans="1:22" ht="15.75" x14ac:dyDescent="0.25">
      <c r="A84" s="84">
        <v>0.01</v>
      </c>
      <c r="B84" s="84">
        <f>SQRT(A84*A85)</f>
        <v>1.222844544993852E-2</v>
      </c>
      <c r="C84" s="84">
        <f>IF($B84&lt;F$85,0,NORMDIST(LN($B84),LN(F$84),F$86,1))</f>
        <v>1.9085875631063436E-18</v>
      </c>
      <c r="D84"/>
      <c r="E84" s="85" t="s">
        <v>277</v>
      </c>
      <c r="F84" s="86">
        <f>B60</f>
        <v>2.2400000000000002</v>
      </c>
      <c r="G84" s="15" t="s">
        <v>278</v>
      </c>
      <c r="K84" s="82"/>
      <c r="L84" s="81"/>
      <c r="N84" s="67"/>
      <c r="U84" s="10"/>
      <c r="V84" s="10"/>
    </row>
    <row r="85" spans="1:22" ht="15.75" x14ac:dyDescent="0.25">
      <c r="A85" s="84">
        <f>EXP(LN(A88/A84)/4+LN(A84))</f>
        <v>1.4953487812212209E-2</v>
      </c>
      <c r="B85" s="84">
        <f t="shared" ref="B85:B127" si="2">SQRT(A85*A86)</f>
        <v>1.8285790999795749E-2</v>
      </c>
      <c r="C85" s="84">
        <f t="shared" ref="C85:C128" si="3">IF($B85&lt;F$85,0,NORMDIST(LN($B85),LN(F$84),F$86,1))</f>
        <v>5.5739467408180941E-16</v>
      </c>
      <c r="D85"/>
      <c r="E85" s="85" t="s">
        <v>279</v>
      </c>
      <c r="F85">
        <v>0.01</v>
      </c>
      <c r="G85" s="15" t="s">
        <v>280</v>
      </c>
      <c r="K85" s="82"/>
      <c r="L85" s="81"/>
      <c r="N85" s="67"/>
      <c r="U85" s="10"/>
      <c r="V85" s="10"/>
    </row>
    <row r="86" spans="1:22" ht="15.75" x14ac:dyDescent="0.25">
      <c r="A86" s="84">
        <f>EXP(2*LN(A88/A84)/4+LN(A84))</f>
        <v>2.2360679774997907E-2</v>
      </c>
      <c r="B86" s="84">
        <f t="shared" si="2"/>
        <v>2.7343635285210541E-2</v>
      </c>
      <c r="C86" s="84">
        <f t="shared" si="3"/>
        <v>1.0449777157001486E-13</v>
      </c>
      <c r="D86"/>
      <c r="E86" s="87" t="s">
        <v>223</v>
      </c>
      <c r="F86">
        <v>0.6</v>
      </c>
      <c r="G86" s="15" t="s">
        <v>281</v>
      </c>
      <c r="K86" s="82"/>
      <c r="L86" s="81"/>
      <c r="N86" s="67"/>
      <c r="U86" s="10"/>
      <c r="V86" s="10"/>
    </row>
    <row r="87" spans="1:22" x14ac:dyDescent="0.25">
      <c r="A87" s="84">
        <f>EXP(3*LN(A88/A84)/4+LN(A84))</f>
        <v>3.343701524882111E-2</v>
      </c>
      <c r="B87" s="84">
        <f t="shared" si="2"/>
        <v>4.0888271697897133E-2</v>
      </c>
      <c r="C87" s="84">
        <f t="shared" si="3"/>
        <v>1.2590128861359489E-11</v>
      </c>
      <c r="D87"/>
      <c r="E87"/>
      <c r="F87"/>
      <c r="K87" s="82"/>
      <c r="L87" s="81"/>
      <c r="N87" s="67"/>
      <c r="U87" s="10"/>
      <c r="V87" s="10"/>
    </row>
    <row r="88" spans="1:22" ht="15.75" x14ac:dyDescent="0.25">
      <c r="A88" s="84">
        <v>0.05</v>
      </c>
      <c r="B88" s="84">
        <f t="shared" si="2"/>
        <v>5.4525386633262889E-2</v>
      </c>
      <c r="C88" s="84">
        <f t="shared" si="3"/>
        <v>2.9588405440300864E-10</v>
      </c>
      <c r="D88"/>
      <c r="E88" s="85" t="s">
        <v>282</v>
      </c>
      <c r="F88"/>
      <c r="K88" s="82"/>
      <c r="L88" s="88"/>
      <c r="N88" s="67"/>
      <c r="U88" s="10"/>
      <c r="V88" s="10"/>
    </row>
    <row r="89" spans="1:22" ht="15.75" x14ac:dyDescent="0.25">
      <c r="A89" s="84">
        <f>EXP(LN(A92/A88)/4+LN(A88))</f>
        <v>5.9460355750136064E-2</v>
      </c>
      <c r="B89" s="84">
        <f t="shared" si="2"/>
        <v>6.4841977732550501E-2</v>
      </c>
      <c r="C89" s="84">
        <f t="shared" si="3"/>
        <v>1.7761506845068918E-9</v>
      </c>
      <c r="D89"/>
      <c r="E89" s="85" t="s">
        <v>283</v>
      </c>
      <c r="F89"/>
      <c r="K89" s="82"/>
      <c r="L89" s="81"/>
      <c r="N89" s="67"/>
      <c r="U89" s="10"/>
      <c r="V89" s="10"/>
    </row>
    <row r="90" spans="1:22" ht="15.75" x14ac:dyDescent="0.25">
      <c r="A90" s="84">
        <f>EXP(2*LN(A92/A88)/4+LN(A88))</f>
        <v>7.0710678118654766E-2</v>
      </c>
      <c r="B90" s="84">
        <f t="shared" si="2"/>
        <v>7.7110541270397057E-2</v>
      </c>
      <c r="C90" s="84">
        <f t="shared" si="3"/>
        <v>9.8289505132512206E-9</v>
      </c>
      <c r="D90"/>
      <c r="E90" s="85" t="s">
        <v>284</v>
      </c>
      <c r="F90"/>
      <c r="K90" s="82"/>
      <c r="L90" s="81"/>
      <c r="U90" s="10"/>
    </row>
    <row r="91" spans="1:22" x14ac:dyDescent="0.25">
      <c r="A91" s="84">
        <f>EXP(3*LN(A92/A88)/4+LN(A88))</f>
        <v>8.4089641525371475E-2</v>
      </c>
      <c r="B91" s="84">
        <f t="shared" si="2"/>
        <v>9.1700404320467138E-2</v>
      </c>
      <c r="C91" s="84">
        <f t="shared" si="3"/>
        <v>5.0151545683384232E-8</v>
      </c>
      <c r="D91"/>
      <c r="E91"/>
      <c r="F91"/>
      <c r="K91" s="82"/>
      <c r="L91" s="81"/>
      <c r="U91" s="10"/>
    </row>
    <row r="92" spans="1:22" x14ac:dyDescent="0.25">
      <c r="A92" s="84">
        <v>0.1</v>
      </c>
      <c r="B92" s="84">
        <f t="shared" si="2"/>
        <v>0.10905077326652579</v>
      </c>
      <c r="C92" s="84">
        <f t="shared" si="3"/>
        <v>2.3599506752386917E-7</v>
      </c>
      <c r="D92"/>
      <c r="E92"/>
      <c r="F92"/>
      <c r="K92" s="82"/>
      <c r="L92" s="81"/>
      <c r="U92" s="10"/>
    </row>
    <row r="93" spans="1:22" x14ac:dyDescent="0.25">
      <c r="A93" s="84">
        <f>EXP(LN(A96/A92)/4+LN(A92))</f>
        <v>0.11892071150027214</v>
      </c>
      <c r="B93" s="84">
        <f t="shared" si="2"/>
        <v>0.129683955465101</v>
      </c>
      <c r="C93" s="84">
        <f t="shared" si="3"/>
        <v>1.0243947312270585E-6</v>
      </c>
      <c r="D93"/>
      <c r="E93"/>
      <c r="F93"/>
      <c r="K93" s="82"/>
      <c r="L93" s="81"/>
      <c r="U93" s="10"/>
    </row>
    <row r="94" spans="1:22" x14ac:dyDescent="0.25">
      <c r="A94" s="84">
        <f>EXP(2*LN(A96/A92)/4+LN(A92))</f>
        <v>0.14142135623730953</v>
      </c>
      <c r="B94" s="84">
        <f t="shared" si="2"/>
        <v>0.15422108254079411</v>
      </c>
      <c r="C94" s="84">
        <f t="shared" si="3"/>
        <v>4.1029578395117752E-6</v>
      </c>
      <c r="D94"/>
      <c r="E94"/>
      <c r="F94"/>
      <c r="K94" s="82"/>
      <c r="L94" s="81"/>
      <c r="U94" s="10"/>
    </row>
    <row r="95" spans="1:22" x14ac:dyDescent="0.25">
      <c r="A95" s="84">
        <f>EXP(3*LN(A96/A92)/4+LN(A92))</f>
        <v>0.16817928305074295</v>
      </c>
      <c r="B95" s="84">
        <f t="shared" si="2"/>
        <v>0.18340080864093428</v>
      </c>
      <c r="C95" s="84">
        <f t="shared" si="3"/>
        <v>1.5168043717758784E-5</v>
      </c>
      <c r="D95"/>
      <c r="E95"/>
      <c r="F95"/>
      <c r="K95" s="82"/>
      <c r="L95" s="81"/>
      <c r="U95" s="10"/>
    </row>
    <row r="96" spans="1:22" x14ac:dyDescent="0.25">
      <c r="A96" s="84">
        <v>0.2</v>
      </c>
      <c r="B96" s="84">
        <f t="shared" si="2"/>
        <v>0.21810154653305155</v>
      </c>
      <c r="C96" s="84">
        <f t="shared" si="3"/>
        <v>5.1775451297931329E-5</v>
      </c>
      <c r="D96"/>
      <c r="E96"/>
      <c r="F96"/>
      <c r="K96" s="82"/>
      <c r="L96" s="81"/>
      <c r="U96" s="10"/>
    </row>
    <row r="97" spans="1:31" x14ac:dyDescent="0.25">
      <c r="A97" s="84">
        <f>EXP(LN(A100/A96)/4+LN(A96))</f>
        <v>0.23784142300054423</v>
      </c>
      <c r="B97" s="84">
        <f t="shared" si="2"/>
        <v>0.25936791093020195</v>
      </c>
      <c r="C97" s="84">
        <f t="shared" si="3"/>
        <v>1.6325439882083033E-4</v>
      </c>
      <c r="D97"/>
      <c r="E97"/>
      <c r="F97"/>
      <c r="K97" s="82"/>
      <c r="L97" s="81"/>
      <c r="U97" s="10"/>
    </row>
    <row r="98" spans="1:31" x14ac:dyDescent="0.25">
      <c r="A98" s="84">
        <f>EXP(2*LN(A100/A96)/4+LN(A96))</f>
        <v>0.28284271247461906</v>
      </c>
      <c r="B98" s="84">
        <f t="shared" si="2"/>
        <v>0.30844216508158817</v>
      </c>
      <c r="C98" s="84">
        <f t="shared" si="3"/>
        <v>4.7573895813367317E-4</v>
      </c>
      <c r="D98"/>
      <c r="E98"/>
      <c r="F98"/>
      <c r="K98" s="82"/>
      <c r="L98" s="81"/>
      <c r="U98" s="10"/>
    </row>
    <row r="99" spans="1:31" x14ac:dyDescent="0.25">
      <c r="A99" s="84">
        <f>EXP(3*LN(A100/A96)/4+LN(A96))</f>
        <v>0.33635856610148579</v>
      </c>
      <c r="B99" s="84">
        <f t="shared" si="2"/>
        <v>0.3668016172818685</v>
      </c>
      <c r="C99" s="84">
        <f t="shared" si="3"/>
        <v>1.2820044461482921E-3</v>
      </c>
      <c r="D99"/>
      <c r="E99"/>
      <c r="F99"/>
    </row>
    <row r="100" spans="1:31" x14ac:dyDescent="0.25">
      <c r="A100" s="84">
        <v>0.4</v>
      </c>
      <c r="B100" s="84">
        <f t="shared" si="2"/>
        <v>0.43620309306610311</v>
      </c>
      <c r="C100" s="84">
        <f t="shared" si="3"/>
        <v>3.196891815507173E-3</v>
      </c>
      <c r="D100"/>
      <c r="E100"/>
      <c r="F100"/>
    </row>
    <row r="101" spans="1:31" x14ac:dyDescent="0.25">
      <c r="A101" s="84">
        <f>EXP(LN(A104/A100)/4+LN(A100))</f>
        <v>0.47568284600108846</v>
      </c>
      <c r="B101" s="84">
        <f t="shared" si="2"/>
        <v>0.5187358218604039</v>
      </c>
      <c r="C101" s="84">
        <f t="shared" si="3"/>
        <v>7.383147639853282E-3</v>
      </c>
      <c r="D101"/>
      <c r="E101"/>
      <c r="F101"/>
    </row>
    <row r="102" spans="1:31" x14ac:dyDescent="0.25">
      <c r="A102" s="84">
        <f>EXP(2*LN(A104/A100)/4+LN(A100))</f>
        <v>0.56568542494923801</v>
      </c>
      <c r="B102" s="84">
        <f t="shared" si="2"/>
        <v>0.61688433016317634</v>
      </c>
      <c r="C102" s="84">
        <f t="shared" si="3"/>
        <v>1.5807319603985841E-2</v>
      </c>
      <c r="D102"/>
      <c r="E102"/>
      <c r="F102"/>
      <c r="J102" s="17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</row>
    <row r="103" spans="1:31" x14ac:dyDescent="0.25">
      <c r="A103" s="84">
        <f>EXP(3*LN(A104/A100)/4+LN(A100))</f>
        <v>0.67271713220297169</v>
      </c>
      <c r="B103" s="84">
        <f t="shared" si="2"/>
        <v>0.73360323456373699</v>
      </c>
      <c r="C103" s="84">
        <f t="shared" si="3"/>
        <v>3.1411789569369651E-2</v>
      </c>
      <c r="D103"/>
      <c r="E103"/>
      <c r="F103"/>
      <c r="J103" s="17"/>
      <c r="K103" s="90"/>
      <c r="L103" s="90"/>
      <c r="M103" s="91"/>
      <c r="N103" s="91"/>
      <c r="O103" s="91"/>
      <c r="P103" s="91"/>
      <c r="Q103" s="91"/>
      <c r="R103" s="91"/>
      <c r="S103" s="91"/>
      <c r="T103" s="91"/>
      <c r="U103" s="92"/>
      <c r="AE103" s="17"/>
    </row>
    <row r="104" spans="1:31" x14ac:dyDescent="0.25">
      <c r="A104" s="84">
        <v>0.8</v>
      </c>
      <c r="B104" s="84">
        <f t="shared" si="2"/>
        <v>0.84159160440691538</v>
      </c>
      <c r="C104" s="84">
        <f t="shared" si="3"/>
        <v>5.1386056281393755E-2</v>
      </c>
      <c r="D104"/>
      <c r="E104"/>
      <c r="F104"/>
      <c r="J104" s="17"/>
      <c r="K104" s="82"/>
      <c r="L104" s="81"/>
      <c r="M104" s="93"/>
      <c r="N104" s="93"/>
      <c r="O104" s="93"/>
      <c r="P104" s="93"/>
      <c r="Q104" s="93"/>
      <c r="R104" s="93"/>
      <c r="S104" s="93"/>
      <c r="T104" s="93"/>
      <c r="U104" s="93"/>
    </row>
    <row r="105" spans="1:31" x14ac:dyDescent="0.25">
      <c r="A105" s="84">
        <f>EXP(LN(A108/A104)/4+LN(A104))</f>
        <v>0.88534553576025732</v>
      </c>
      <c r="B105" s="84">
        <f t="shared" si="2"/>
        <v>0.93137421236871865</v>
      </c>
      <c r="C105" s="84">
        <f t="shared" si="3"/>
        <v>7.1786149694018073E-2</v>
      </c>
      <c r="D105"/>
      <c r="E105"/>
      <c r="F105"/>
      <c r="J105" s="17"/>
      <c r="K105" s="82"/>
      <c r="L105" s="81"/>
      <c r="M105" s="93"/>
      <c r="N105" s="93"/>
      <c r="O105" s="93"/>
      <c r="P105" s="93"/>
      <c r="Q105" s="93"/>
      <c r="R105" s="93"/>
      <c r="S105" s="93"/>
      <c r="T105" s="93"/>
      <c r="U105" s="93"/>
    </row>
    <row r="106" spans="1:31" x14ac:dyDescent="0.25">
      <c r="A106" s="84">
        <f>EXP(2*LN(A108/A104)/4+LN(A104))</f>
        <v>0.9797958971132712</v>
      </c>
      <c r="B106" s="84">
        <f t="shared" si="2"/>
        <v>1.0307350013035885</v>
      </c>
      <c r="C106" s="84">
        <f t="shared" si="3"/>
        <v>9.788921937675657E-2</v>
      </c>
      <c r="D106"/>
      <c r="E106"/>
      <c r="F106"/>
      <c r="J106" s="17"/>
      <c r="K106" s="82"/>
      <c r="L106" s="81"/>
      <c r="M106" s="93"/>
      <c r="N106" s="93"/>
      <c r="O106" s="93"/>
      <c r="P106" s="93"/>
      <c r="Q106" s="93"/>
      <c r="R106" s="93"/>
      <c r="S106" s="93"/>
      <c r="T106" s="93"/>
      <c r="U106" s="93"/>
    </row>
    <row r="107" spans="1:31" x14ac:dyDescent="0.25">
      <c r="A107" s="84">
        <f>EXP(3*LN(A108/A104)/4+LN(A104))</f>
        <v>1.0843224043318138</v>
      </c>
      <c r="B107" s="84">
        <f t="shared" si="2"/>
        <v>1.1406957899449688</v>
      </c>
      <c r="C107" s="84">
        <f t="shared" si="3"/>
        <v>0.13035192765150305</v>
      </c>
      <c r="D107"/>
      <c r="E107" t="s">
        <v>285</v>
      </c>
      <c r="F107"/>
      <c r="J107" s="17"/>
      <c r="K107" s="82"/>
      <c r="L107" s="81"/>
      <c r="M107" s="93"/>
      <c r="N107" s="93"/>
      <c r="O107" s="93"/>
      <c r="P107" s="93"/>
      <c r="Q107" s="93"/>
      <c r="R107" s="93"/>
      <c r="S107" s="93"/>
      <c r="T107" s="93"/>
      <c r="U107" s="93"/>
    </row>
    <row r="108" spans="1:31" x14ac:dyDescent="0.25">
      <c r="A108" s="84">
        <v>1.2</v>
      </c>
      <c r="B108" s="84">
        <f t="shared" si="2"/>
        <v>1.2439375795536929</v>
      </c>
      <c r="C108" s="84">
        <f t="shared" si="3"/>
        <v>0.16346324966798531</v>
      </c>
      <c r="D108"/>
      <c r="E108" t="s">
        <v>286</v>
      </c>
      <c r="F108"/>
      <c r="J108" s="15"/>
      <c r="K108" s="82"/>
      <c r="L108" s="81"/>
      <c r="M108" s="93"/>
      <c r="N108" s="93"/>
      <c r="O108" s="93"/>
      <c r="P108" s="93"/>
      <c r="Q108" s="93"/>
      <c r="R108" s="93"/>
      <c r="S108" s="93"/>
      <c r="T108" s="93"/>
      <c r="U108" s="93"/>
    </row>
    <row r="109" spans="1:31" x14ac:dyDescent="0.25">
      <c r="A109" s="84">
        <f>EXP(LN(A112/A108)/4+LN(A108))</f>
        <v>1.2894839181882503</v>
      </c>
      <c r="B109" s="84">
        <f t="shared" si="2"/>
        <v>1.3366979200537537</v>
      </c>
      <c r="C109" s="84">
        <f t="shared" si="3"/>
        <v>0.19476889524471244</v>
      </c>
      <c r="D109"/>
      <c r="E109"/>
      <c r="F109"/>
      <c r="K109" s="82"/>
      <c r="L109" s="81"/>
      <c r="M109" s="93"/>
      <c r="N109" s="93"/>
      <c r="O109" s="93"/>
      <c r="P109" s="93"/>
      <c r="Q109" s="93"/>
      <c r="R109" s="93"/>
      <c r="S109" s="93"/>
      <c r="T109" s="93"/>
      <c r="U109" s="93"/>
    </row>
    <row r="110" spans="1:31" x14ac:dyDescent="0.25">
      <c r="A110" s="84">
        <f>EXP(2*LN(A112/A108)/4+LN(A108))</f>
        <v>1.3856406460551018</v>
      </c>
      <c r="B110" s="84">
        <f t="shared" si="2"/>
        <v>1.4363753928208323</v>
      </c>
      <c r="C110" s="84">
        <f t="shared" si="3"/>
        <v>0.22947153502583181</v>
      </c>
      <c r="D110"/>
      <c r="E110"/>
      <c r="F110"/>
      <c r="K110" s="82"/>
      <c r="L110" s="81"/>
      <c r="M110" s="93"/>
      <c r="N110" s="93"/>
      <c r="O110" s="93"/>
      <c r="P110" s="93"/>
      <c r="Q110" s="93"/>
      <c r="R110" s="93"/>
      <c r="S110" s="93"/>
      <c r="T110" s="93"/>
      <c r="U110" s="93"/>
    </row>
    <row r="111" spans="1:31" x14ac:dyDescent="0.25">
      <c r="A111" s="84">
        <f>EXP(3*LN(A112/A108)/4+LN(A108))</f>
        <v>1.4889677745633594</v>
      </c>
      <c r="B111" s="84">
        <f t="shared" si="2"/>
        <v>1.5434858079364953</v>
      </c>
      <c r="C111" s="84">
        <f t="shared" si="3"/>
        <v>0.26739166210394538</v>
      </c>
      <c r="D111"/>
      <c r="E111"/>
      <c r="F111"/>
      <c r="K111" s="82"/>
      <c r="L111" s="81"/>
      <c r="M111" s="93"/>
      <c r="N111" s="93"/>
      <c r="O111" s="93"/>
      <c r="P111" s="93"/>
      <c r="Q111" s="93"/>
      <c r="R111" s="93"/>
      <c r="S111" s="93"/>
      <c r="T111" s="93"/>
      <c r="U111" s="93"/>
    </row>
    <row r="112" spans="1:31" x14ac:dyDescent="0.25">
      <c r="A112" s="84">
        <v>1.6</v>
      </c>
      <c r="B112" s="84">
        <f t="shared" si="2"/>
        <v>1.6742525317171835</v>
      </c>
      <c r="C112" s="84">
        <f t="shared" si="3"/>
        <v>0.31377371331755766</v>
      </c>
      <c r="D112"/>
      <c r="E112"/>
      <c r="F112"/>
      <c r="K112" s="82"/>
      <c r="L112" s="81"/>
      <c r="M112" s="93"/>
      <c r="N112" s="93"/>
      <c r="O112" s="93"/>
      <c r="P112" s="93"/>
      <c r="Q112" s="93"/>
      <c r="R112" s="93"/>
      <c r="S112" s="93"/>
      <c r="T112" s="93"/>
      <c r="U112" s="93"/>
    </row>
    <row r="113" spans="1:21" x14ac:dyDescent="0.25">
      <c r="A113" s="84">
        <f>EXP(LN(A116/A112)/4+LN(A112))</f>
        <v>1.7519509624758738</v>
      </c>
      <c r="B113" s="84">
        <f t="shared" si="2"/>
        <v>1.8332552089809921</v>
      </c>
      <c r="C113" s="84">
        <f t="shared" si="3"/>
        <v>0.36920067296819342</v>
      </c>
      <c r="D113"/>
      <c r="E113"/>
      <c r="F113"/>
      <c r="K113" s="82"/>
      <c r="L113" s="81"/>
      <c r="M113" s="93"/>
      <c r="N113" s="93"/>
      <c r="O113" s="93"/>
      <c r="P113" s="93"/>
      <c r="Q113" s="93"/>
      <c r="R113" s="93"/>
      <c r="S113" s="93"/>
      <c r="T113" s="93"/>
      <c r="U113" s="93"/>
    </row>
    <row r="114" spans="1:21" x14ac:dyDescent="0.25">
      <c r="A114" s="84">
        <f>EXP(2*LN(A116/A112)/4+LN(A112))</f>
        <v>1.9183326093250876</v>
      </c>
      <c r="B114" s="84">
        <f t="shared" si="2"/>
        <v>2.0073582673988493</v>
      </c>
      <c r="C114" s="84">
        <f t="shared" si="3"/>
        <v>0.42749296947746895</v>
      </c>
      <c r="D114"/>
      <c r="E114"/>
      <c r="F114"/>
      <c r="K114" s="82"/>
      <c r="L114" s="81"/>
      <c r="M114" s="93"/>
      <c r="N114" s="93"/>
      <c r="O114" s="93"/>
      <c r="P114" s="93"/>
      <c r="Q114" s="93"/>
      <c r="R114" s="93"/>
      <c r="S114" s="93"/>
      <c r="T114" s="93"/>
      <c r="U114" s="93"/>
    </row>
    <row r="115" spans="1:21" x14ac:dyDescent="0.25">
      <c r="A115" s="84">
        <f>EXP(3*LN(A116/A112)/4+LN(A112))</f>
        <v>2.1005154132849637</v>
      </c>
      <c r="B115" s="84">
        <f t="shared" si="2"/>
        <v>2.1979957803770724</v>
      </c>
      <c r="C115" s="84">
        <f t="shared" si="3"/>
        <v>0.48741550562592878</v>
      </c>
      <c r="D115"/>
      <c r="E115"/>
      <c r="F115"/>
      <c r="K115" s="82"/>
      <c r="L115" s="81"/>
      <c r="M115" s="93"/>
      <c r="N115" s="93"/>
      <c r="O115" s="93"/>
      <c r="P115" s="93"/>
      <c r="Q115" s="93"/>
      <c r="R115" s="93"/>
      <c r="S115" s="93"/>
      <c r="T115" s="93"/>
      <c r="U115" s="93"/>
    </row>
    <row r="116" spans="1:21" x14ac:dyDescent="0.25">
      <c r="A116" s="84">
        <v>2.2999999999999998</v>
      </c>
      <c r="B116" s="84">
        <f t="shared" si="2"/>
        <v>2.377672382641121</v>
      </c>
      <c r="C116" s="84">
        <f t="shared" si="3"/>
        <v>0.53959372946496931</v>
      </c>
      <c r="D116"/>
      <c r="E116"/>
      <c r="F116"/>
      <c r="K116" s="82"/>
      <c r="L116" s="81"/>
      <c r="M116" s="93"/>
      <c r="N116" s="93"/>
      <c r="O116" s="93"/>
      <c r="P116" s="93"/>
      <c r="Q116" s="93"/>
      <c r="R116" s="93"/>
      <c r="S116" s="93"/>
      <c r="T116" s="93"/>
      <c r="U116" s="93"/>
    </row>
    <row r="117" spans="1:21" x14ac:dyDescent="0.25">
      <c r="A117" s="84">
        <f>EXP(LN(A120/A116)/4+LN(A116))</f>
        <v>2.457967808336655</v>
      </c>
      <c r="B117" s="84">
        <f t="shared" si="2"/>
        <v>2.5409748588273868</v>
      </c>
      <c r="C117" s="84">
        <f t="shared" si="3"/>
        <v>0.58321295563774544</v>
      </c>
      <c r="D117"/>
      <c r="E117"/>
      <c r="F117"/>
      <c r="K117" s="82"/>
      <c r="L117" s="81"/>
      <c r="M117" s="93"/>
      <c r="N117" s="93"/>
      <c r="O117" s="93"/>
      <c r="P117" s="93"/>
      <c r="Q117" s="93"/>
      <c r="R117" s="93"/>
      <c r="S117" s="93"/>
      <c r="T117" s="93"/>
      <c r="U117" s="93"/>
    </row>
    <row r="118" spans="1:21" x14ac:dyDescent="0.25">
      <c r="A118" s="84">
        <f>EXP(2*LN(A120/A116)/4+LN(A116))</f>
        <v>2.6267851073127391</v>
      </c>
      <c r="B118" s="84">
        <f t="shared" si="2"/>
        <v>2.7154932194741281</v>
      </c>
      <c r="C118" s="84">
        <f t="shared" si="3"/>
        <v>0.62583022130002286</v>
      </c>
      <c r="D118"/>
      <c r="E118"/>
      <c r="F118"/>
      <c r="K118" s="82"/>
      <c r="L118" s="81"/>
      <c r="M118" s="93"/>
      <c r="N118" s="93"/>
      <c r="O118" s="93"/>
      <c r="P118" s="93"/>
      <c r="Q118" s="93"/>
      <c r="R118" s="93"/>
      <c r="S118" s="93"/>
      <c r="T118" s="93"/>
      <c r="U118" s="93"/>
    </row>
    <row r="119" spans="1:21" x14ac:dyDescent="0.25">
      <c r="A119" s="84">
        <f>EXP(3*LN(A120/A116)/4+LN(A116))</f>
        <v>2.807197057909939</v>
      </c>
      <c r="B119" s="84">
        <f t="shared" si="2"/>
        <v>2.9019977900973353</v>
      </c>
      <c r="C119" s="84">
        <f t="shared" si="3"/>
        <v>0.66696182622713318</v>
      </c>
      <c r="D119"/>
      <c r="E119"/>
      <c r="F119"/>
      <c r="K119" s="82"/>
      <c r="L119" s="81"/>
      <c r="M119" s="93"/>
      <c r="N119" s="93"/>
      <c r="O119" s="93"/>
      <c r="P119" s="93"/>
      <c r="Q119" s="93"/>
      <c r="R119" s="93"/>
      <c r="S119" s="93"/>
      <c r="T119" s="93"/>
      <c r="U119" s="93"/>
    </row>
    <row r="120" spans="1:21" ht="15.75" x14ac:dyDescent="0.25">
      <c r="A120" s="84">
        <v>3</v>
      </c>
      <c r="B120" s="84">
        <f t="shared" si="2"/>
        <v>3.1978077331521191</v>
      </c>
      <c r="C120" s="84">
        <f t="shared" si="3"/>
        <v>0.7235151679039008</v>
      </c>
      <c r="D120"/>
      <c r="E120"/>
      <c r="F120"/>
      <c r="K120" s="82"/>
      <c r="L120" s="94"/>
      <c r="M120" s="95"/>
      <c r="N120" s="95"/>
      <c r="O120" s="95"/>
      <c r="P120" s="95"/>
      <c r="Q120" s="95"/>
      <c r="R120" s="95"/>
      <c r="S120" s="95"/>
      <c r="T120" s="95"/>
      <c r="U120" s="95"/>
    </row>
    <row r="121" spans="1:21" x14ac:dyDescent="0.25">
      <c r="A121" s="84">
        <f>EXP(LN(A124/A120)/4+LN(A120))</f>
        <v>3.4086580994024982</v>
      </c>
      <c r="B121" s="84">
        <f t="shared" si="2"/>
        <v>3.6334110766469716</v>
      </c>
      <c r="C121" s="84">
        <f t="shared" si="3"/>
        <v>0.78992471557995225</v>
      </c>
      <c r="D121"/>
      <c r="E121"/>
      <c r="F121"/>
      <c r="K121" s="82"/>
      <c r="L121" s="81"/>
      <c r="M121" s="93"/>
      <c r="N121" s="93"/>
      <c r="O121" s="93"/>
      <c r="P121" s="93"/>
      <c r="Q121" s="93"/>
      <c r="R121" s="93"/>
      <c r="S121" s="93"/>
      <c r="T121" s="93"/>
      <c r="U121" s="93"/>
    </row>
    <row r="122" spans="1:21" x14ac:dyDescent="0.25">
      <c r="A122" s="84">
        <f>EXP(2*LN(A124/A120)/4+LN(A120))</f>
        <v>3.8729833462074179</v>
      </c>
      <c r="B122" s="84">
        <f t="shared" si="2"/>
        <v>4.1283520316238169</v>
      </c>
      <c r="C122" s="84">
        <f t="shared" si="3"/>
        <v>0.84589948112685109</v>
      </c>
      <c r="D122"/>
      <c r="E122"/>
      <c r="F122"/>
      <c r="K122" s="82"/>
      <c r="L122" s="81"/>
      <c r="M122" s="93"/>
      <c r="N122" s="93"/>
      <c r="O122" s="93"/>
      <c r="P122" s="93"/>
      <c r="Q122" s="93"/>
      <c r="R122" s="93"/>
      <c r="S122" s="93"/>
      <c r="T122" s="93"/>
      <c r="U122" s="93"/>
    </row>
    <row r="123" spans="1:21" x14ac:dyDescent="0.25">
      <c r="A123" s="84">
        <f>EXP(3*LN(A124/A120)/4+LN(A120))</f>
        <v>4.4005586839669677</v>
      </c>
      <c r="B123" s="84">
        <f t="shared" si="2"/>
        <v>4.6907135299264269</v>
      </c>
      <c r="C123" s="84">
        <f t="shared" si="3"/>
        <v>0.89099707905352354</v>
      </c>
      <c r="D123"/>
      <c r="E123"/>
      <c r="F123"/>
      <c r="K123" s="82"/>
      <c r="L123" s="81"/>
      <c r="M123" s="93"/>
      <c r="N123" s="93"/>
      <c r="O123" s="93"/>
      <c r="P123" s="93"/>
      <c r="Q123" s="93"/>
      <c r="R123" s="93"/>
      <c r="S123" s="93"/>
      <c r="T123" s="93"/>
      <c r="U123" s="93"/>
    </row>
    <row r="124" spans="1:21" x14ac:dyDescent="0.25">
      <c r="A124" s="84">
        <v>5</v>
      </c>
      <c r="B124" s="84">
        <f t="shared" si="2"/>
        <v>5.4525386633262878</v>
      </c>
      <c r="C124" s="84">
        <f t="shared" si="3"/>
        <v>0.93091970843214933</v>
      </c>
      <c r="D124"/>
      <c r="E124"/>
      <c r="F124"/>
      <c r="K124" s="82"/>
      <c r="L124" s="81"/>
      <c r="M124" s="93"/>
      <c r="N124" s="93"/>
      <c r="O124" s="93"/>
      <c r="P124" s="93"/>
      <c r="Q124" s="93"/>
      <c r="R124" s="93"/>
      <c r="S124" s="93"/>
      <c r="T124" s="93"/>
      <c r="U124" s="93"/>
    </row>
    <row r="125" spans="1:21" x14ac:dyDescent="0.25">
      <c r="A125" s="84">
        <f>EXP(LN(A128/A124)/4+LN(A124))</f>
        <v>5.9460355750136049</v>
      </c>
      <c r="B125" s="84">
        <f t="shared" si="2"/>
        <v>6.4841977732550484</v>
      </c>
      <c r="C125" s="84">
        <f t="shared" si="3"/>
        <v>0.96176012914518594</v>
      </c>
      <c r="D125"/>
      <c r="E125"/>
      <c r="F125"/>
      <c r="K125" s="82"/>
      <c r="L125" s="81"/>
      <c r="M125" s="93"/>
      <c r="N125" s="93"/>
      <c r="O125" s="93"/>
      <c r="P125" s="93"/>
      <c r="Q125" s="93"/>
      <c r="R125" s="93"/>
      <c r="S125" s="93"/>
      <c r="T125" s="93"/>
      <c r="U125" s="93"/>
    </row>
    <row r="126" spans="1:21" x14ac:dyDescent="0.25">
      <c r="A126" s="84">
        <f>EXP(2*LN(A128/A124)/4+LN(A124))</f>
        <v>7.0710678118654746</v>
      </c>
      <c r="B126" s="84">
        <f t="shared" si="2"/>
        <v>7.7110541270397031</v>
      </c>
      <c r="C126" s="84">
        <f t="shared" si="3"/>
        <v>0.98031498815607976</v>
      </c>
      <c r="D126"/>
      <c r="E126"/>
      <c r="F126"/>
      <c r="K126" s="82"/>
      <c r="L126" s="81"/>
      <c r="M126" s="93"/>
      <c r="N126" s="93"/>
      <c r="O126" s="93"/>
      <c r="P126" s="93"/>
      <c r="Q126" s="93"/>
      <c r="R126" s="93"/>
      <c r="S126" s="93"/>
      <c r="T126" s="93"/>
      <c r="U126" s="93"/>
    </row>
    <row r="127" spans="1:21" x14ac:dyDescent="0.25">
      <c r="A127" s="84">
        <f>EXP(3*LN(A128/A124)/4+LN(A124))</f>
        <v>8.408964152537143</v>
      </c>
      <c r="B127" s="84">
        <f t="shared" si="2"/>
        <v>9.1700404320467115</v>
      </c>
      <c r="C127" s="84">
        <f t="shared" si="3"/>
        <v>0.99059081958621853</v>
      </c>
      <c r="D127"/>
      <c r="E127"/>
      <c r="F127"/>
      <c r="K127" s="82"/>
      <c r="L127" s="81"/>
      <c r="M127" s="93"/>
      <c r="N127" s="93"/>
      <c r="O127" s="93"/>
      <c r="P127" s="93"/>
      <c r="Q127" s="93"/>
      <c r="R127" s="93"/>
      <c r="S127" s="93"/>
      <c r="T127" s="93"/>
      <c r="U127" s="93"/>
    </row>
    <row r="128" spans="1:21" x14ac:dyDescent="0.25">
      <c r="A128" s="84">
        <v>10</v>
      </c>
      <c r="B128" s="84">
        <v>10</v>
      </c>
      <c r="C128" s="84">
        <f t="shared" si="3"/>
        <v>0.99367574474989995</v>
      </c>
      <c r="D128"/>
      <c r="E128"/>
      <c r="F128"/>
      <c r="K128" s="82"/>
      <c r="L128" s="81"/>
      <c r="M128" s="93"/>
      <c r="N128" s="93"/>
      <c r="O128" s="93"/>
      <c r="P128" s="93"/>
      <c r="Q128" s="93"/>
      <c r="R128" s="93"/>
      <c r="S128" s="93"/>
      <c r="T128" s="93"/>
      <c r="U128" s="93"/>
    </row>
    <row r="129" spans="11:21" x14ac:dyDescent="0.25">
      <c r="K129" s="82"/>
      <c r="L129" s="81"/>
      <c r="M129" s="93"/>
      <c r="N129" s="93"/>
      <c r="O129" s="93"/>
      <c r="P129" s="93"/>
      <c r="Q129" s="93"/>
      <c r="R129" s="93"/>
      <c r="S129" s="93"/>
      <c r="T129" s="93"/>
      <c r="U129" s="3"/>
    </row>
    <row r="130" spans="11:21" x14ac:dyDescent="0.25">
      <c r="K130" s="82"/>
      <c r="L130" s="81"/>
      <c r="M130" s="93"/>
      <c r="N130" s="93"/>
      <c r="O130" s="93"/>
      <c r="P130" s="93"/>
      <c r="Q130" s="93"/>
      <c r="R130" s="93"/>
      <c r="S130" s="93"/>
      <c r="T130" s="93"/>
      <c r="U130" s="3"/>
    </row>
  </sheetData>
  <mergeCells count="8">
    <mergeCell ref="M6:N6"/>
    <mergeCell ref="O6:O7"/>
    <mergeCell ref="A7:H7"/>
    <mergeCell ref="A22:H22"/>
    <mergeCell ref="E83:F83"/>
    <mergeCell ref="J6:J7"/>
    <mergeCell ref="K6:K7"/>
    <mergeCell ref="L6:L7"/>
  </mergeCells>
  <dataValidations count="4">
    <dataValidation type="list" allowBlank="1" showInputMessage="1" showErrorMessage="1" sqref="B13" xr:uid="{DDB745FE-BAAE-48A3-A380-3F3FF7F13EFB}">
      <formula1>"Grade-B,X-42,X-52,X-60,X-70,X-80"</formula1>
    </dataValidation>
    <dataValidation type="list" allowBlank="1" showInputMessage="1" showErrorMessage="1" sqref="B26" xr:uid="{C01A3391-16AD-4B01-B906-87E57E01EF4B}">
      <formula1>"Medium Dense (Sand),Dense (Sand),Very Dense (Sand),Soft (Clay),Medium (Clay),Stiff (Clay)"</formula1>
    </dataValidation>
    <dataValidation type="list" allowBlank="1" showInputMessage="1" showErrorMessage="1" sqref="B25" xr:uid="{2E430B46-2F23-429A-96C9-9028B486C296}">
      <formula1>"Cohesionless (Sand),Cohesive (Clay)"</formula1>
    </dataValidation>
    <dataValidation type="list" allowBlank="1" showInputMessage="1" showErrorMessage="1" sqref="G24 G32:G36 G9:G10 G12:G19" xr:uid="{773FB462-77F6-4B6C-94D2-8BB7FF3ED14B}">
      <formula1>"normal, lognormal"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4E6E-67E1-4616-9992-789E98870F67}">
  <dimension ref="A1:T48"/>
  <sheetViews>
    <sheetView topLeftCell="A7" zoomScaleNormal="100" workbookViewId="0">
      <selection activeCell="T34" sqref="T34:T48"/>
    </sheetView>
  </sheetViews>
  <sheetFormatPr defaultRowHeight="15" x14ac:dyDescent="0.25"/>
  <cols>
    <col min="5" max="7" width="11.5703125" customWidth="1"/>
    <col min="9" max="9" width="12.5703125" customWidth="1"/>
    <col min="11" max="11" width="12" bestFit="1" customWidth="1"/>
    <col min="12" max="12" width="30" customWidth="1"/>
  </cols>
  <sheetData>
    <row r="1" spans="1:16" x14ac:dyDescent="0.25">
      <c r="A1" s="135" t="s">
        <v>195</v>
      </c>
      <c r="B1" s="135"/>
      <c r="C1" s="135"/>
      <c r="D1" s="135"/>
      <c r="E1" s="135"/>
      <c r="F1" s="135"/>
      <c r="G1" s="135"/>
      <c r="H1" s="135"/>
    </row>
    <row r="2" spans="1:16" ht="18" x14ac:dyDescent="0.25">
      <c r="A2" s="36" t="s">
        <v>73</v>
      </c>
      <c r="B2" s="31" t="s">
        <v>161</v>
      </c>
      <c r="C2" s="31" t="s">
        <v>162</v>
      </c>
      <c r="D2" s="31" t="s">
        <v>163</v>
      </c>
      <c r="E2" s="31" t="s">
        <v>164</v>
      </c>
      <c r="F2" s="31" t="s">
        <v>165</v>
      </c>
      <c r="G2" s="31" t="s">
        <v>166</v>
      </c>
      <c r="H2" s="31" t="s">
        <v>167</v>
      </c>
    </row>
    <row r="3" spans="1:16" x14ac:dyDescent="0.25">
      <c r="A3" s="32">
        <v>30</v>
      </c>
      <c r="B3" s="33">
        <v>3.9632999999999998</v>
      </c>
      <c r="C3" s="33">
        <v>0.29370000000000002</v>
      </c>
      <c r="D3" s="33">
        <v>1.2438</v>
      </c>
      <c r="E3" s="33">
        <v>-0.70199999999999996</v>
      </c>
      <c r="F3" s="33">
        <v>-0.3957</v>
      </c>
      <c r="G3" s="33">
        <v>-0.40510000000000002</v>
      </c>
      <c r="H3" s="33">
        <v>1E-4</v>
      </c>
    </row>
    <row r="4" spans="1:16" x14ac:dyDescent="0.25">
      <c r="A4" s="32">
        <v>45</v>
      </c>
      <c r="B4" s="33">
        <v>3.7532999999999999</v>
      </c>
      <c r="C4" s="33">
        <v>0.14510000000000001</v>
      </c>
      <c r="D4" s="33">
        <v>1.2497</v>
      </c>
      <c r="E4" s="33">
        <v>-0.46100000000000002</v>
      </c>
      <c r="F4" s="33">
        <v>0.39140000000000003</v>
      </c>
      <c r="G4" s="33">
        <v>-0.21310000000000001</v>
      </c>
      <c r="H4" s="33">
        <v>-0.34139999999999998</v>
      </c>
    </row>
    <row r="5" spans="1:16" x14ac:dyDescent="0.25">
      <c r="A5" s="32">
        <v>60</v>
      </c>
      <c r="B5" s="33">
        <v>4.3182999999999998</v>
      </c>
      <c r="C5" s="33">
        <v>-2.7900000000000001E-2</v>
      </c>
      <c r="D5" s="33">
        <v>1.0497000000000001</v>
      </c>
      <c r="E5" s="33">
        <v>-0.46910000000000002</v>
      </c>
      <c r="F5" s="33">
        <v>0.29149999999999998</v>
      </c>
      <c r="G5" s="33">
        <v>-0.28610000000000002</v>
      </c>
      <c r="H5" s="33">
        <v>-0.1348</v>
      </c>
    </row>
    <row r="6" spans="1:16" x14ac:dyDescent="0.25">
      <c r="A6" s="32">
        <v>75</v>
      </c>
      <c r="B6" s="33">
        <v>5.5951000000000004</v>
      </c>
      <c r="C6" s="33">
        <v>1.6E-2</v>
      </c>
      <c r="D6" s="33">
        <v>1.2641</v>
      </c>
      <c r="E6" s="33">
        <v>-0.52429999999999999</v>
      </c>
      <c r="F6" s="33">
        <v>0.35830000000000001</v>
      </c>
      <c r="G6" s="33">
        <v>-0.35920000000000002</v>
      </c>
      <c r="H6" s="33">
        <v>-0.2482</v>
      </c>
    </row>
    <row r="7" spans="1:16" x14ac:dyDescent="0.25">
      <c r="A7" s="32">
        <v>90</v>
      </c>
      <c r="B7" s="33">
        <v>14.575100000000001</v>
      </c>
      <c r="C7" s="33">
        <v>0.1356</v>
      </c>
      <c r="D7" s="33">
        <v>2.9990000000000001</v>
      </c>
      <c r="E7" s="33">
        <v>-0.94710000000000005</v>
      </c>
      <c r="F7" s="33">
        <v>0.6603</v>
      </c>
      <c r="G7" s="33">
        <v>-1.2488999999999999</v>
      </c>
      <c r="H7" s="33">
        <v>-0.44140000000000001</v>
      </c>
    </row>
    <row r="8" spans="1:16" ht="18" x14ac:dyDescent="0.25">
      <c r="A8" s="136" t="s">
        <v>196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</row>
    <row r="9" spans="1:16" ht="18" x14ac:dyDescent="0.25">
      <c r="A9" s="36" t="s">
        <v>73</v>
      </c>
      <c r="B9" s="31" t="s">
        <v>169</v>
      </c>
      <c r="C9" s="31" t="s">
        <v>170</v>
      </c>
      <c r="D9" s="31" t="s">
        <v>171</v>
      </c>
      <c r="E9" s="31" t="s">
        <v>172</v>
      </c>
      <c r="F9" s="31" t="s">
        <v>173</v>
      </c>
      <c r="G9" s="31" t="s">
        <v>174</v>
      </c>
      <c r="H9" s="31" t="s">
        <v>175</v>
      </c>
      <c r="I9" s="31" t="s">
        <v>176</v>
      </c>
      <c r="J9" s="31" t="s">
        <v>177</v>
      </c>
      <c r="K9" s="31" t="s">
        <v>178</v>
      </c>
      <c r="L9" s="31" t="s">
        <v>179</v>
      </c>
      <c r="M9" s="31" t="s">
        <v>180</v>
      </c>
      <c r="N9" s="31" t="s">
        <v>181</v>
      </c>
      <c r="O9" s="31" t="s">
        <v>182</v>
      </c>
      <c r="P9" s="31" t="s">
        <v>197</v>
      </c>
    </row>
    <row r="10" spans="1:16" x14ac:dyDescent="0.25">
      <c r="A10" s="32">
        <v>30</v>
      </c>
      <c r="B10" s="33">
        <v>0.80179999999999996</v>
      </c>
      <c r="C10" s="33">
        <v>2.6499999999999999E-2</v>
      </c>
      <c r="D10" s="33">
        <v>0</v>
      </c>
      <c r="E10" s="33">
        <v>1.7999999999999999E-2</v>
      </c>
      <c r="F10" s="33">
        <v>0.14169999999999999</v>
      </c>
      <c r="G10" s="33">
        <v>1.1363000000000001</v>
      </c>
      <c r="H10" s="33">
        <v>1.1999999999999999E-3</v>
      </c>
      <c r="I10" s="33">
        <v>3.8E-3</v>
      </c>
      <c r="J10" s="33">
        <v>0</v>
      </c>
      <c r="K10" s="33">
        <v>3.2000000000000002E-3</v>
      </c>
      <c r="L10" s="33">
        <v>2.1297000000000001</v>
      </c>
      <c r="M10" s="33">
        <v>1E-3</v>
      </c>
      <c r="N10" s="33">
        <v>0</v>
      </c>
      <c r="O10" s="33">
        <v>-0.38669999999999999</v>
      </c>
      <c r="P10" s="33">
        <v>0.34899999999999998</v>
      </c>
    </row>
    <row r="11" spans="1:16" x14ac:dyDescent="0.25">
      <c r="A11" s="32">
        <v>45</v>
      </c>
      <c r="B11" s="33">
        <v>-1.1082000000000001</v>
      </c>
      <c r="C11" s="33">
        <v>0.10630000000000001</v>
      </c>
      <c r="D11" s="33">
        <v>-0.1439</v>
      </c>
      <c r="E11" s="33">
        <v>0.27879999999999999</v>
      </c>
      <c r="F11" s="33">
        <v>-0.31030000000000002</v>
      </c>
      <c r="G11" s="33">
        <v>1.2553000000000001</v>
      </c>
      <c r="H11" s="33">
        <v>2.9999999999999997E-4</v>
      </c>
      <c r="I11" s="33">
        <v>5.1999999999999998E-3</v>
      </c>
      <c r="J11" s="33">
        <v>-8.5900000000000004E-2</v>
      </c>
      <c r="K11" s="33">
        <v>5.9999999999999995E-4</v>
      </c>
      <c r="L11" s="33">
        <v>-0.21759999999999999</v>
      </c>
      <c r="M11" s="33">
        <v>-2.69E-2</v>
      </c>
      <c r="N11" s="33">
        <v>0.57389999999999997</v>
      </c>
      <c r="O11" s="33">
        <v>0.34460000000000002</v>
      </c>
      <c r="P11" s="33">
        <v>0.3997</v>
      </c>
    </row>
    <row r="12" spans="1:16" x14ac:dyDescent="0.25">
      <c r="A12" s="32">
        <v>60</v>
      </c>
      <c r="B12" s="33">
        <v>-2.1276999999999999</v>
      </c>
      <c r="C12" s="33">
        <v>0.14760000000000001</v>
      </c>
      <c r="D12" s="33">
        <v>-0.21829999999999999</v>
      </c>
      <c r="E12" s="33">
        <v>0.42270000000000002</v>
      </c>
      <c r="F12" s="33">
        <v>-0.53720000000000001</v>
      </c>
      <c r="G12" s="33">
        <v>1.252</v>
      </c>
      <c r="H12" s="33">
        <v>-5.9999999999999995E-4</v>
      </c>
      <c r="I12" s="33">
        <v>5.3E-3</v>
      </c>
      <c r="J12" s="33">
        <v>-4.8500000000000001E-2</v>
      </c>
      <c r="K12" s="33">
        <v>1.2999999999999999E-3</v>
      </c>
      <c r="L12" s="33">
        <v>-0.56599999999999995</v>
      </c>
      <c r="M12" s="33">
        <v>-3.2099999999999997E-2</v>
      </c>
      <c r="N12" s="33">
        <v>0.84970000000000001</v>
      </c>
      <c r="O12" s="33">
        <v>9.01E-2</v>
      </c>
      <c r="P12" s="33">
        <v>0.50170000000000003</v>
      </c>
    </row>
    <row r="13" spans="1:16" x14ac:dyDescent="0.25">
      <c r="A13" s="32">
        <v>75</v>
      </c>
      <c r="B13" s="33">
        <v>-2.3450000000000002</v>
      </c>
      <c r="C13" s="33">
        <v>0.19470000000000001</v>
      </c>
      <c r="D13" s="33">
        <v>-0.2044</v>
      </c>
      <c r="E13" s="33">
        <v>0.4143</v>
      </c>
      <c r="F13" s="33">
        <v>-0.55710000000000004</v>
      </c>
      <c r="G13" s="33">
        <v>1.0931</v>
      </c>
      <c r="H13" s="33">
        <v>1E-4</v>
      </c>
      <c r="I13" s="33">
        <v>3.5000000000000001E-3</v>
      </c>
      <c r="J13" s="33">
        <v>-4.07E-2</v>
      </c>
      <c r="K13" s="33">
        <v>1.6000000000000001E-3</v>
      </c>
      <c r="L13" s="33">
        <v>-0.65949999999999998</v>
      </c>
      <c r="M13" s="33">
        <v>-3.0099999999999998E-2</v>
      </c>
      <c r="N13" s="33">
        <v>0.84219999999999995</v>
      </c>
      <c r="O13" s="33">
        <v>0.50680000000000003</v>
      </c>
      <c r="P13" s="33">
        <v>0.43780000000000002</v>
      </c>
    </row>
    <row r="14" spans="1:16" x14ac:dyDescent="0.25">
      <c r="A14" s="32">
        <v>90</v>
      </c>
      <c r="B14" s="33">
        <v>5.1353999999999997</v>
      </c>
      <c r="C14" s="33">
        <v>-4.9599999999999998E-2</v>
      </c>
      <c r="D14" s="33">
        <v>0.44590000000000002</v>
      </c>
      <c r="E14" s="33">
        <v>-0.83709999999999996</v>
      </c>
      <c r="F14" s="33">
        <v>0.63090000000000002</v>
      </c>
      <c r="G14" s="33">
        <v>0.91390000000000005</v>
      </c>
      <c r="H14" s="33">
        <v>2.5000000000000001E-3</v>
      </c>
      <c r="I14" s="33">
        <v>1.6000000000000001E-3</v>
      </c>
      <c r="J14" s="33">
        <v>-9.7500000000000003E-2</v>
      </c>
      <c r="K14" s="33">
        <v>1.1999999999999999E-3</v>
      </c>
      <c r="L14" s="33">
        <v>0.46479999999999999</v>
      </c>
      <c r="M14" s="33">
        <v>8.0000000000000004E-4</v>
      </c>
      <c r="N14" s="33">
        <v>6.7900000000000002E-2</v>
      </c>
      <c r="O14" s="33">
        <v>0.58979999999999999</v>
      </c>
      <c r="P14" s="33">
        <v>0.34749999999999998</v>
      </c>
    </row>
    <row r="16" spans="1:16" ht="18" x14ac:dyDescent="0.35">
      <c r="D16" s="135" t="s">
        <v>198</v>
      </c>
      <c r="E16" s="135"/>
      <c r="F16" s="135"/>
      <c r="G16" s="135"/>
    </row>
    <row r="17" spans="4:20" x14ac:dyDescent="0.25">
      <c r="D17" s="33"/>
      <c r="E17" s="33" t="s">
        <v>199</v>
      </c>
      <c r="F17" s="33" t="s">
        <v>200</v>
      </c>
      <c r="G17" s="33" t="s">
        <v>201</v>
      </c>
    </row>
    <row r="18" spans="4:20" x14ac:dyDescent="0.25">
      <c r="D18" s="33" t="s">
        <v>38</v>
      </c>
      <c r="E18" s="37">
        <v>13.08197373</v>
      </c>
      <c r="F18" s="37">
        <v>17.16864833</v>
      </c>
      <c r="G18" s="37">
        <v>22.265246900000001</v>
      </c>
    </row>
    <row r="19" spans="4:20" x14ac:dyDescent="0.25">
      <c r="D19" s="33" t="s">
        <v>39</v>
      </c>
      <c r="E19" s="37">
        <v>-1.03819712</v>
      </c>
      <c r="F19" s="37">
        <v>-1.57125015</v>
      </c>
      <c r="G19" s="37">
        <v>-3.5677026399999998</v>
      </c>
    </row>
    <row r="20" spans="4:20" x14ac:dyDescent="0.25">
      <c r="D20" s="33" t="s">
        <v>126</v>
      </c>
      <c r="E20" s="37">
        <v>0.57950358000000002</v>
      </c>
      <c r="F20" s="37">
        <v>0.58594570999999995</v>
      </c>
      <c r="G20" s="37">
        <v>1.08316196</v>
      </c>
    </row>
    <row r="21" spans="4:20" x14ac:dyDescent="0.25">
      <c r="D21" s="33" t="s">
        <v>127</v>
      </c>
      <c r="E21" s="37">
        <v>-7.2290160000000006E-2</v>
      </c>
      <c r="F21" s="37">
        <v>-6.3292440000000005E-2</v>
      </c>
      <c r="G21" s="37">
        <v>-0.10313583</v>
      </c>
    </row>
    <row r="22" spans="4:20" x14ac:dyDescent="0.25">
      <c r="D22" s="33" t="s">
        <v>128</v>
      </c>
      <c r="E22" s="37">
        <v>2.77969E-3</v>
      </c>
      <c r="F22" s="37">
        <v>2.2038600000000002E-3</v>
      </c>
      <c r="G22" s="37">
        <v>3.18987E-3</v>
      </c>
    </row>
    <row r="24" spans="4:20" x14ac:dyDescent="0.25">
      <c r="O24" s="36" t="s">
        <v>73</v>
      </c>
      <c r="P24" s="32">
        <v>30</v>
      </c>
      <c r="Q24" s="32">
        <v>45</v>
      </c>
      <c r="R24" s="32">
        <v>60</v>
      </c>
      <c r="S24" s="32">
        <v>75</v>
      </c>
      <c r="T24" s="32">
        <v>90</v>
      </c>
    </row>
    <row r="25" spans="4:20" ht="18" x14ac:dyDescent="0.25">
      <c r="O25" s="31" t="s">
        <v>161</v>
      </c>
      <c r="P25" s="33">
        <v>3.9632999999999998</v>
      </c>
      <c r="Q25" s="33">
        <v>3.7532999999999999</v>
      </c>
      <c r="R25" s="33">
        <v>4.3182999999999998</v>
      </c>
      <c r="S25" s="33">
        <v>5.5951000000000004</v>
      </c>
      <c r="T25" s="33">
        <v>14.575100000000001</v>
      </c>
    </row>
    <row r="26" spans="4:20" ht="18" x14ac:dyDescent="0.25">
      <c r="O26" s="31" t="s">
        <v>162</v>
      </c>
      <c r="P26" s="33">
        <v>0.29370000000000002</v>
      </c>
      <c r="Q26" s="33">
        <v>0.14510000000000001</v>
      </c>
      <c r="R26" s="33">
        <v>-2.7900000000000001E-2</v>
      </c>
      <c r="S26" s="33">
        <v>1.6E-2</v>
      </c>
      <c r="T26" s="33">
        <v>0.1356</v>
      </c>
    </row>
    <row r="27" spans="4:20" ht="18" x14ac:dyDescent="0.25">
      <c r="O27" s="31" t="s">
        <v>163</v>
      </c>
      <c r="P27" s="33">
        <v>1.2438</v>
      </c>
      <c r="Q27" s="33">
        <v>1.2497</v>
      </c>
      <c r="R27" s="33">
        <v>1.0497000000000001</v>
      </c>
      <c r="S27" s="33">
        <v>1.2641</v>
      </c>
      <c r="T27" s="33">
        <v>2.9990000000000001</v>
      </c>
    </row>
    <row r="28" spans="4:20" ht="18" x14ac:dyDescent="0.25">
      <c r="D28" s="133" t="s">
        <v>202</v>
      </c>
      <c r="E28" s="133" t="s">
        <v>203</v>
      </c>
      <c r="F28" s="133" t="s">
        <v>204</v>
      </c>
      <c r="G28" s="129" t="s">
        <v>205</v>
      </c>
      <c r="H28" s="129"/>
      <c r="I28" s="132" t="s">
        <v>206</v>
      </c>
      <c r="O28" s="31" t="s">
        <v>164</v>
      </c>
      <c r="P28" s="33">
        <v>-0.70199999999999996</v>
      </c>
      <c r="Q28" s="33">
        <v>-0.46100000000000002</v>
      </c>
      <c r="R28" s="33">
        <v>-0.46910000000000002</v>
      </c>
      <c r="S28" s="33">
        <v>-0.52429999999999999</v>
      </c>
      <c r="T28" s="33">
        <v>-0.94710000000000005</v>
      </c>
    </row>
    <row r="29" spans="4:20" ht="18" x14ac:dyDescent="0.25">
      <c r="D29" s="134"/>
      <c r="E29" s="134"/>
      <c r="F29" s="134"/>
      <c r="G29" s="1" t="s">
        <v>69</v>
      </c>
      <c r="H29" s="1" t="s">
        <v>207</v>
      </c>
      <c r="I29" s="133"/>
      <c r="O29" s="31" t="s">
        <v>165</v>
      </c>
      <c r="P29" s="33">
        <v>-0.3957</v>
      </c>
      <c r="Q29" s="33">
        <v>0.39140000000000003</v>
      </c>
      <c r="R29" s="33">
        <v>0.29149999999999998</v>
      </c>
      <c r="S29" s="33">
        <v>0.35830000000000001</v>
      </c>
      <c r="T29" s="33">
        <v>0.6603</v>
      </c>
    </row>
    <row r="30" spans="4:20" ht="18" x14ac:dyDescent="0.25">
      <c r="D30" s="44" t="s">
        <v>208</v>
      </c>
      <c r="E30" s="44">
        <v>241</v>
      </c>
      <c r="F30" s="45">
        <f>E30*J30</f>
        <v>343.78650000000005</v>
      </c>
      <c r="G30" s="1">
        <v>3</v>
      </c>
      <c r="H30" s="1">
        <v>8</v>
      </c>
      <c r="I30" s="46">
        <f>(F30/210000) * (1+(((G30/(1+H30))*((F30/E30)^H30))))</f>
        <v>1.0993773658472166E-2</v>
      </c>
      <c r="J30">
        <v>1.4265000000000001</v>
      </c>
      <c r="K30">
        <f>I30*100</f>
        <v>1.0993773658472166</v>
      </c>
      <c r="L30" s="96">
        <v>1.0993773658472166</v>
      </c>
      <c r="O30" s="31" t="s">
        <v>166</v>
      </c>
      <c r="P30" s="33">
        <v>-0.40510000000000002</v>
      </c>
      <c r="Q30" s="33">
        <v>-0.21310000000000001</v>
      </c>
      <c r="R30" s="33">
        <v>-0.28610000000000002</v>
      </c>
      <c r="S30" s="33">
        <v>-0.35920000000000002</v>
      </c>
      <c r="T30" s="33">
        <v>-1.2488999999999999</v>
      </c>
    </row>
    <row r="31" spans="4:20" ht="18" x14ac:dyDescent="0.25">
      <c r="D31" s="32" t="s">
        <v>209</v>
      </c>
      <c r="E31" s="32">
        <v>290</v>
      </c>
      <c r="F31" s="45">
        <f t="shared" ref="F31:F35" si="0">E31*J31</f>
        <v>413.685</v>
      </c>
      <c r="G31" s="1">
        <v>3</v>
      </c>
      <c r="H31" s="1">
        <v>9</v>
      </c>
      <c r="I31" s="46">
        <f t="shared" ref="I31:I35" si="1">(F31/210000) * (1+(((G31/(1+H31))*((F31/E31)^H31))))</f>
        <v>1.6424915983774071E-2</v>
      </c>
      <c r="J31">
        <v>1.4265000000000001</v>
      </c>
      <c r="K31">
        <f t="shared" ref="K31:K35" si="2">I31*100</f>
        <v>1.6424915983774071</v>
      </c>
      <c r="L31" s="96">
        <v>1.6424915983774071</v>
      </c>
      <c r="O31" s="31" t="s">
        <v>167</v>
      </c>
      <c r="P31" s="33">
        <v>1E-4</v>
      </c>
      <c r="Q31" s="33">
        <v>-0.34139999999999998</v>
      </c>
      <c r="R31" s="33">
        <v>-0.1348</v>
      </c>
      <c r="S31" s="33">
        <v>-0.2482</v>
      </c>
      <c r="T31" s="33">
        <v>-0.44140000000000001</v>
      </c>
    </row>
    <row r="32" spans="4:20" x14ac:dyDescent="0.25">
      <c r="D32" s="44" t="s">
        <v>139</v>
      </c>
      <c r="E32" s="44">
        <v>359</v>
      </c>
      <c r="F32" s="45">
        <f t="shared" si="0"/>
        <v>455.05403999999999</v>
      </c>
      <c r="G32" s="1">
        <v>8</v>
      </c>
      <c r="H32" s="1">
        <v>10</v>
      </c>
      <c r="I32" s="46">
        <f t="shared" si="1"/>
        <v>1.9041242414694345E-2</v>
      </c>
      <c r="J32">
        <v>1.26756</v>
      </c>
      <c r="K32">
        <f t="shared" si="2"/>
        <v>1.9041242414694344</v>
      </c>
      <c r="L32" s="96">
        <v>1.9041242414694344</v>
      </c>
    </row>
    <row r="33" spans="4:20" x14ac:dyDescent="0.25">
      <c r="D33" s="32" t="s">
        <v>140</v>
      </c>
      <c r="E33" s="32">
        <v>414</v>
      </c>
      <c r="F33" s="45">
        <f t="shared" si="0"/>
        <v>517.10711399999991</v>
      </c>
      <c r="G33" s="1">
        <v>8</v>
      </c>
      <c r="H33" s="1">
        <v>12</v>
      </c>
      <c r="I33" s="46">
        <f t="shared" si="1"/>
        <v>2.4313344008036558E-2</v>
      </c>
      <c r="J33">
        <v>1.2490509999999999</v>
      </c>
      <c r="K33">
        <f t="shared" si="2"/>
        <v>2.4313344008036557</v>
      </c>
      <c r="L33" s="96">
        <v>2.4313344008036557</v>
      </c>
      <c r="O33" s="36" t="s">
        <v>73</v>
      </c>
      <c r="P33" s="32">
        <v>30</v>
      </c>
      <c r="Q33" s="32">
        <v>45</v>
      </c>
      <c r="R33" s="32">
        <v>60</v>
      </c>
      <c r="S33" s="32">
        <v>75</v>
      </c>
      <c r="T33" s="32">
        <v>90</v>
      </c>
    </row>
    <row r="34" spans="4:20" ht="18" x14ac:dyDescent="0.25">
      <c r="D34" s="32" t="s">
        <v>141</v>
      </c>
      <c r="E34" s="32">
        <v>483</v>
      </c>
      <c r="F34" s="45">
        <f t="shared" si="0"/>
        <v>565.37033699999995</v>
      </c>
      <c r="G34" s="1">
        <v>14</v>
      </c>
      <c r="H34" s="1">
        <v>15</v>
      </c>
      <c r="I34" s="46">
        <f t="shared" si="1"/>
        <v>2.7690517990613433E-2</v>
      </c>
      <c r="J34">
        <v>1.170539</v>
      </c>
      <c r="K34">
        <f t="shared" si="2"/>
        <v>2.7690517990613435</v>
      </c>
      <c r="L34" s="96">
        <v>2.7690517990613435</v>
      </c>
      <c r="O34" s="31" t="s">
        <v>169</v>
      </c>
      <c r="P34" s="33">
        <v>0.80179999999999996</v>
      </c>
      <c r="Q34" s="33">
        <v>-1.1082000000000001</v>
      </c>
      <c r="R34" s="33">
        <v>-2.1276999999999999</v>
      </c>
      <c r="S34" s="33">
        <v>-2.3450000000000002</v>
      </c>
      <c r="T34" s="33">
        <v>5.1353999999999997</v>
      </c>
    </row>
    <row r="35" spans="4:20" ht="18" x14ac:dyDescent="0.25">
      <c r="D35" s="44" t="s">
        <v>142</v>
      </c>
      <c r="E35" s="44">
        <v>552</v>
      </c>
      <c r="F35" s="45">
        <f t="shared" si="0"/>
        <v>624.99979200000007</v>
      </c>
      <c r="G35" s="1">
        <v>15</v>
      </c>
      <c r="H35" s="1">
        <v>20</v>
      </c>
      <c r="I35" s="46">
        <f t="shared" si="1"/>
        <v>2.8464933991254465E-2</v>
      </c>
      <c r="J35">
        <v>1.1322460000000001</v>
      </c>
      <c r="K35">
        <f t="shared" si="2"/>
        <v>2.8464933991254466</v>
      </c>
      <c r="L35" s="96">
        <v>2.8464933991254466</v>
      </c>
      <c r="O35" s="31" t="s">
        <v>170</v>
      </c>
      <c r="P35" s="33">
        <v>2.6499999999999999E-2</v>
      </c>
      <c r="Q35" s="33">
        <v>0.10630000000000001</v>
      </c>
      <c r="R35" s="33">
        <v>0.14760000000000001</v>
      </c>
      <c r="S35" s="33">
        <v>0.19470000000000001</v>
      </c>
      <c r="T35" s="33">
        <v>-4.9599999999999998E-2</v>
      </c>
    </row>
    <row r="36" spans="4:20" ht="18" x14ac:dyDescent="0.25">
      <c r="O36" s="31" t="s">
        <v>171</v>
      </c>
      <c r="P36" s="33">
        <v>0</v>
      </c>
      <c r="Q36" s="33">
        <v>-0.1439</v>
      </c>
      <c r="R36" s="33">
        <v>-0.21829999999999999</v>
      </c>
      <c r="S36" s="33">
        <v>-0.2044</v>
      </c>
      <c r="T36" s="33">
        <v>0.44590000000000002</v>
      </c>
    </row>
    <row r="37" spans="4:20" ht="18" x14ac:dyDescent="0.25">
      <c r="O37" s="31" t="s">
        <v>172</v>
      </c>
      <c r="P37" s="33">
        <v>1.7999999999999999E-2</v>
      </c>
      <c r="Q37" s="33">
        <v>0.27879999999999999</v>
      </c>
      <c r="R37" s="33">
        <v>0.42270000000000002</v>
      </c>
      <c r="S37" s="33">
        <v>0.4143</v>
      </c>
      <c r="T37" s="33">
        <v>-0.83709999999999996</v>
      </c>
    </row>
    <row r="38" spans="4:20" ht="18" x14ac:dyDescent="0.25">
      <c r="O38" s="31" t="s">
        <v>173</v>
      </c>
      <c r="P38" s="33">
        <v>0.14169999999999999</v>
      </c>
      <c r="Q38" s="33">
        <v>-0.31030000000000002</v>
      </c>
      <c r="R38" s="33">
        <v>-0.53720000000000001</v>
      </c>
      <c r="S38" s="33">
        <v>-0.55710000000000004</v>
      </c>
      <c r="T38" s="33">
        <v>0.63090000000000002</v>
      </c>
    </row>
    <row r="39" spans="4:20" ht="18" x14ac:dyDescent="0.25">
      <c r="O39" s="31" t="s">
        <v>174</v>
      </c>
      <c r="P39" s="33">
        <v>1.1363000000000001</v>
      </c>
      <c r="Q39" s="33">
        <v>1.2553000000000001</v>
      </c>
      <c r="R39" s="33">
        <v>1.252</v>
      </c>
      <c r="S39" s="33">
        <v>1.0931</v>
      </c>
      <c r="T39" s="33">
        <v>0.91390000000000005</v>
      </c>
    </row>
    <row r="40" spans="4:20" ht="18" x14ac:dyDescent="0.25">
      <c r="O40" s="31" t="s">
        <v>175</v>
      </c>
      <c r="P40" s="33">
        <v>1.1999999999999999E-3</v>
      </c>
      <c r="Q40" s="33">
        <v>2.9999999999999997E-4</v>
      </c>
      <c r="R40" s="33">
        <v>-5.9999999999999995E-4</v>
      </c>
      <c r="S40" s="33">
        <v>1E-4</v>
      </c>
      <c r="T40" s="33">
        <v>2.5000000000000001E-3</v>
      </c>
    </row>
    <row r="41" spans="4:20" ht="18" x14ac:dyDescent="0.25">
      <c r="O41" s="31" t="s">
        <v>176</v>
      </c>
      <c r="P41" s="33">
        <v>3.8E-3</v>
      </c>
      <c r="Q41" s="33">
        <v>5.1999999999999998E-3</v>
      </c>
      <c r="R41" s="33">
        <v>5.3E-3</v>
      </c>
      <c r="S41" s="33">
        <v>3.5000000000000001E-3</v>
      </c>
      <c r="T41" s="33">
        <v>1.6000000000000001E-3</v>
      </c>
    </row>
    <row r="42" spans="4:20" ht="18" x14ac:dyDescent="0.25">
      <c r="O42" s="31" t="s">
        <v>177</v>
      </c>
      <c r="P42" s="33">
        <v>0</v>
      </c>
      <c r="Q42" s="33">
        <v>-8.5900000000000004E-2</v>
      </c>
      <c r="R42" s="33">
        <v>-4.8500000000000001E-2</v>
      </c>
      <c r="S42" s="33">
        <v>-4.07E-2</v>
      </c>
      <c r="T42" s="33">
        <v>-9.7500000000000003E-2</v>
      </c>
    </row>
    <row r="43" spans="4:20" ht="18" x14ac:dyDescent="0.25">
      <c r="O43" s="31" t="s">
        <v>178</v>
      </c>
      <c r="P43" s="33">
        <v>3.2000000000000002E-3</v>
      </c>
      <c r="Q43" s="33">
        <v>5.9999999999999995E-4</v>
      </c>
      <c r="R43" s="33">
        <v>1.2999999999999999E-3</v>
      </c>
      <c r="S43" s="33">
        <v>1.6000000000000001E-3</v>
      </c>
      <c r="T43" s="33">
        <v>1.1999999999999999E-3</v>
      </c>
    </row>
    <row r="44" spans="4:20" ht="18" x14ac:dyDescent="0.25">
      <c r="O44" s="31" t="s">
        <v>179</v>
      </c>
      <c r="P44" s="33">
        <v>2.1297000000000001</v>
      </c>
      <c r="Q44" s="33">
        <v>-0.21759999999999999</v>
      </c>
      <c r="R44" s="33">
        <v>-0.56599999999999995</v>
      </c>
      <c r="S44" s="33">
        <v>-0.65949999999999998</v>
      </c>
      <c r="T44" s="33">
        <v>0.46479999999999999</v>
      </c>
    </row>
    <row r="45" spans="4:20" ht="18" x14ac:dyDescent="0.25">
      <c r="O45" s="31" t="s">
        <v>180</v>
      </c>
      <c r="P45" s="33">
        <v>1E-3</v>
      </c>
      <c r="Q45" s="33">
        <v>-2.69E-2</v>
      </c>
      <c r="R45" s="33">
        <v>-3.2099999999999997E-2</v>
      </c>
      <c r="S45" s="33">
        <v>-3.0099999999999998E-2</v>
      </c>
      <c r="T45" s="33">
        <v>8.0000000000000004E-4</v>
      </c>
    </row>
    <row r="46" spans="4:20" ht="18" x14ac:dyDescent="0.25">
      <c r="O46" s="31" t="s">
        <v>181</v>
      </c>
      <c r="P46" s="33">
        <v>0</v>
      </c>
      <c r="Q46" s="33">
        <v>0.57389999999999997</v>
      </c>
      <c r="R46" s="33">
        <v>0.84970000000000001</v>
      </c>
      <c r="S46" s="33">
        <v>0.84219999999999995</v>
      </c>
      <c r="T46" s="33">
        <v>6.7900000000000002E-2</v>
      </c>
    </row>
    <row r="47" spans="4:20" ht="18" x14ac:dyDescent="0.25">
      <c r="O47" s="31" t="s">
        <v>182</v>
      </c>
      <c r="P47" s="33">
        <v>-0.38669999999999999</v>
      </c>
      <c r="Q47" s="33">
        <v>0.34460000000000002</v>
      </c>
      <c r="R47" s="33">
        <v>9.01E-2</v>
      </c>
      <c r="S47" s="33">
        <v>0.50680000000000003</v>
      </c>
      <c r="T47" s="33">
        <v>0.58979999999999999</v>
      </c>
    </row>
    <row r="48" spans="4:20" x14ac:dyDescent="0.25">
      <c r="O48" s="31" t="s">
        <v>197</v>
      </c>
      <c r="P48" s="33">
        <v>0.34899999999999998</v>
      </c>
      <c r="Q48" s="33">
        <v>0.3997</v>
      </c>
      <c r="R48" s="33">
        <v>0.50170000000000003</v>
      </c>
      <c r="S48" s="33">
        <v>0.43780000000000002</v>
      </c>
      <c r="T48" s="33">
        <v>0.34749999999999998</v>
      </c>
    </row>
  </sheetData>
  <mergeCells count="8">
    <mergeCell ref="A1:H1"/>
    <mergeCell ref="A8:P8"/>
    <mergeCell ref="D16:G16"/>
    <mergeCell ref="D28:D29"/>
    <mergeCell ref="E28:E29"/>
    <mergeCell ref="F28:F29"/>
    <mergeCell ref="G28:H28"/>
    <mergeCell ref="I28:I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F4E-5DC5-49E0-845E-52E5E9FE45A7}">
  <dimension ref="A3:I38"/>
  <sheetViews>
    <sheetView workbookViewId="0">
      <selection activeCell="B5" sqref="B5:D30"/>
    </sheetView>
  </sheetViews>
  <sheetFormatPr defaultRowHeight="15" x14ac:dyDescent="0.25"/>
  <cols>
    <col min="1" max="1" width="20.140625" style="12" customWidth="1"/>
    <col min="2" max="2" width="25.28515625" style="12" customWidth="1"/>
    <col min="3" max="3" width="37.5703125" style="1" customWidth="1"/>
    <col min="4" max="4" width="30.28515625" style="1" customWidth="1"/>
    <col min="5" max="9" width="21" customWidth="1"/>
  </cols>
  <sheetData>
    <row r="3" spans="1:9" x14ac:dyDescent="0.25">
      <c r="D3" s="9" t="s">
        <v>79</v>
      </c>
      <c r="E3" s="25"/>
      <c r="F3" s="10"/>
      <c r="G3" s="10"/>
      <c r="H3" s="10"/>
      <c r="I3" s="10"/>
    </row>
    <row r="4" spans="1:9" x14ac:dyDescent="0.25">
      <c r="E4" s="25"/>
      <c r="F4" s="10"/>
      <c r="G4" s="10"/>
      <c r="H4" s="10"/>
      <c r="I4" s="10"/>
    </row>
    <row r="5" spans="1:9" s="23" customFormat="1" x14ac:dyDescent="0.25">
      <c r="A5" s="123"/>
      <c r="B5" s="139" t="s">
        <v>357</v>
      </c>
      <c r="C5" s="139"/>
      <c r="D5" s="140"/>
      <c r="E5" s="137" t="s">
        <v>81</v>
      </c>
      <c r="F5" s="138"/>
      <c r="G5" s="138"/>
      <c r="H5" s="138"/>
      <c r="I5" s="138"/>
    </row>
    <row r="6" spans="1:9" s="20" customFormat="1" x14ac:dyDescent="0.25">
      <c r="A6" s="19" t="s">
        <v>70</v>
      </c>
      <c r="B6" s="21" t="s">
        <v>53</v>
      </c>
      <c r="C6" s="22"/>
      <c r="D6" s="19" t="s">
        <v>62</v>
      </c>
      <c r="E6" s="26" t="s">
        <v>82</v>
      </c>
      <c r="F6" s="19" t="s">
        <v>83</v>
      </c>
      <c r="G6" s="19" t="s">
        <v>84</v>
      </c>
      <c r="H6" s="19" t="s">
        <v>85</v>
      </c>
      <c r="I6" s="19" t="s">
        <v>86</v>
      </c>
    </row>
    <row r="7" spans="1:9" ht="31.5" customHeight="1" x14ac:dyDescent="0.25">
      <c r="A7" s="10">
        <v>1</v>
      </c>
      <c r="B7" s="14" t="s">
        <v>75</v>
      </c>
      <c r="D7" s="24" t="s">
        <v>103</v>
      </c>
      <c r="E7" s="25"/>
      <c r="F7" s="27"/>
      <c r="G7" s="27"/>
      <c r="H7" s="27" t="s">
        <v>87</v>
      </c>
      <c r="I7" s="27" t="s">
        <v>87</v>
      </c>
    </row>
    <row r="8" spans="1:9" ht="31.5" customHeight="1" x14ac:dyDescent="0.25">
      <c r="A8" s="10">
        <v>2</v>
      </c>
      <c r="B8" s="10" t="s">
        <v>74</v>
      </c>
      <c r="D8" s="24" t="s">
        <v>90</v>
      </c>
      <c r="E8" s="25"/>
      <c r="F8" s="27" t="s">
        <v>87</v>
      </c>
      <c r="G8" s="27" t="s">
        <v>87</v>
      </c>
      <c r="H8" s="27"/>
      <c r="I8" s="27"/>
    </row>
    <row r="9" spans="1:9" x14ac:dyDescent="0.25">
      <c r="A9" s="10"/>
      <c r="E9" s="25"/>
      <c r="F9" s="27"/>
      <c r="G9" s="27"/>
      <c r="H9" s="27"/>
      <c r="I9" s="27"/>
    </row>
    <row r="10" spans="1:9" s="23" customFormat="1" x14ac:dyDescent="0.25">
      <c r="A10" s="123"/>
      <c r="B10" s="139" t="s">
        <v>76</v>
      </c>
      <c r="C10" s="139"/>
      <c r="D10" s="140"/>
      <c r="E10" s="28"/>
      <c r="F10" s="29"/>
      <c r="G10" s="29"/>
      <c r="H10" s="29"/>
      <c r="I10" s="29"/>
    </row>
    <row r="11" spans="1:9" s="20" customFormat="1" x14ac:dyDescent="0.25">
      <c r="A11" s="19" t="s">
        <v>70</v>
      </c>
      <c r="B11" s="21" t="s">
        <v>53</v>
      </c>
      <c r="C11" s="22"/>
      <c r="D11" s="19" t="s">
        <v>62</v>
      </c>
      <c r="E11" s="26"/>
      <c r="F11" s="30"/>
      <c r="G11" s="30"/>
      <c r="H11" s="30"/>
      <c r="I11" s="30"/>
    </row>
    <row r="12" spans="1:9" x14ac:dyDescent="0.25">
      <c r="A12" s="10">
        <v>1</v>
      </c>
      <c r="B12" s="14" t="s">
        <v>75</v>
      </c>
      <c r="D12" s="10" t="s">
        <v>78</v>
      </c>
      <c r="E12" s="25" t="s">
        <v>87</v>
      </c>
      <c r="F12" s="27"/>
      <c r="G12" s="27"/>
      <c r="H12" s="27"/>
      <c r="I12" s="27"/>
    </row>
    <row r="13" spans="1:9" ht="31.5" customHeight="1" x14ac:dyDescent="0.25">
      <c r="A13" s="10">
        <v>2</v>
      </c>
      <c r="B13" s="10" t="s">
        <v>74</v>
      </c>
      <c r="D13" s="24" t="s">
        <v>89</v>
      </c>
      <c r="E13" s="25"/>
      <c r="F13" s="27" t="s">
        <v>87</v>
      </c>
      <c r="G13" s="27" t="s">
        <v>87</v>
      </c>
      <c r="H13" s="27"/>
      <c r="I13" s="27"/>
    </row>
    <row r="14" spans="1:9" x14ac:dyDescent="0.25">
      <c r="A14" s="10"/>
      <c r="D14" s="10"/>
      <c r="E14" s="25"/>
      <c r="F14" s="27"/>
      <c r="G14" s="27"/>
      <c r="H14" s="27"/>
      <c r="I14" s="27"/>
    </row>
    <row r="15" spans="1:9" s="23" customFormat="1" x14ac:dyDescent="0.25">
      <c r="A15" s="123"/>
      <c r="B15" s="139" t="s">
        <v>77</v>
      </c>
      <c r="C15" s="139"/>
      <c r="D15" s="140"/>
      <c r="E15" s="28"/>
      <c r="F15" s="29"/>
      <c r="G15" s="29"/>
      <c r="H15" s="29"/>
      <c r="I15" s="29"/>
    </row>
    <row r="16" spans="1:9" s="20" customFormat="1" ht="15.75" customHeight="1" x14ac:dyDescent="0.25">
      <c r="A16" s="19" t="s">
        <v>70</v>
      </c>
      <c r="B16" s="21" t="s">
        <v>53</v>
      </c>
      <c r="C16" s="22"/>
      <c r="D16" s="19" t="s">
        <v>62</v>
      </c>
      <c r="E16" s="26"/>
      <c r="F16" s="30"/>
      <c r="G16" s="30"/>
      <c r="H16" s="30"/>
      <c r="I16" s="30"/>
    </row>
    <row r="17" spans="1:9" x14ac:dyDescent="0.25">
      <c r="A17" s="10">
        <v>1</v>
      </c>
      <c r="B17" s="10" t="s">
        <v>71</v>
      </c>
      <c r="D17" s="10" t="s">
        <v>58</v>
      </c>
      <c r="E17" s="25"/>
      <c r="F17" s="27"/>
      <c r="G17" s="27"/>
      <c r="H17" s="27" t="s">
        <v>87</v>
      </c>
      <c r="I17" s="27"/>
    </row>
    <row r="18" spans="1:9" x14ac:dyDescent="0.25">
      <c r="E18" s="25"/>
      <c r="F18" s="27"/>
      <c r="G18" s="27"/>
      <c r="H18" s="27"/>
      <c r="I18" s="27"/>
    </row>
    <row r="19" spans="1:9" s="23" customFormat="1" x14ac:dyDescent="0.25">
      <c r="A19" s="123"/>
      <c r="B19" s="139" t="s">
        <v>72</v>
      </c>
      <c r="C19" s="139"/>
      <c r="D19" s="140"/>
      <c r="E19" s="28"/>
      <c r="F19" s="29"/>
      <c r="G19" s="29"/>
      <c r="H19" s="29"/>
      <c r="I19" s="29"/>
    </row>
    <row r="20" spans="1:9" s="20" customFormat="1" x14ac:dyDescent="0.25">
      <c r="A20" s="22" t="s">
        <v>70</v>
      </c>
      <c r="B20" s="22" t="s">
        <v>53</v>
      </c>
      <c r="C20" s="22" t="s">
        <v>54</v>
      </c>
      <c r="D20" s="22" t="s">
        <v>62</v>
      </c>
      <c r="E20" s="26"/>
      <c r="F20" s="30"/>
      <c r="G20" s="30"/>
      <c r="H20" s="30"/>
      <c r="I20" s="30"/>
    </row>
    <row r="21" spans="1:9" s="20" customFormat="1" x14ac:dyDescent="0.25">
      <c r="A21" s="1">
        <v>1</v>
      </c>
      <c r="B21" s="9" t="s">
        <v>55</v>
      </c>
      <c r="C21" s="9" t="s">
        <v>60</v>
      </c>
      <c r="D21" s="7" t="s">
        <v>88</v>
      </c>
      <c r="E21" s="25"/>
      <c r="F21" s="27" t="s">
        <v>87</v>
      </c>
      <c r="G21" s="27"/>
      <c r="H21" s="27"/>
      <c r="I21" s="27"/>
    </row>
    <row r="22" spans="1:9" x14ac:dyDescent="0.25">
      <c r="A22" s="1">
        <v>2</v>
      </c>
      <c r="B22" s="9" t="s">
        <v>55</v>
      </c>
      <c r="C22" s="1" t="s">
        <v>63</v>
      </c>
      <c r="D22" s="7" t="s">
        <v>91</v>
      </c>
      <c r="E22" s="25"/>
      <c r="F22" s="27" t="s">
        <v>87</v>
      </c>
      <c r="G22" s="27"/>
      <c r="H22" s="27" t="s">
        <v>87</v>
      </c>
      <c r="I22" s="27"/>
    </row>
    <row r="23" spans="1:9" x14ac:dyDescent="0.25">
      <c r="A23" s="1">
        <v>3</v>
      </c>
      <c r="B23" s="9" t="s">
        <v>55</v>
      </c>
      <c r="C23" s="9" t="s">
        <v>59</v>
      </c>
      <c r="D23" s="1" t="s">
        <v>58</v>
      </c>
      <c r="E23" s="25"/>
      <c r="F23" s="27"/>
      <c r="G23" s="27"/>
      <c r="H23" s="27" t="s">
        <v>87</v>
      </c>
      <c r="I23" s="27"/>
    </row>
    <row r="24" spans="1:9" x14ac:dyDescent="0.25">
      <c r="A24" s="1">
        <v>4</v>
      </c>
      <c r="B24" s="9" t="s">
        <v>55</v>
      </c>
      <c r="C24" s="1" t="s">
        <v>64</v>
      </c>
      <c r="D24" s="7" t="s">
        <v>92</v>
      </c>
      <c r="E24" s="25"/>
      <c r="F24" s="27"/>
      <c r="G24" s="27" t="s">
        <v>87</v>
      </c>
      <c r="H24" s="27" t="s">
        <v>87</v>
      </c>
      <c r="I24" s="27"/>
    </row>
    <row r="25" spans="1:9" x14ac:dyDescent="0.25">
      <c r="A25" s="1">
        <v>5</v>
      </c>
      <c r="B25" s="9" t="s">
        <v>55</v>
      </c>
      <c r="C25" s="6" t="s">
        <v>57</v>
      </c>
      <c r="D25" s="1" t="s">
        <v>93</v>
      </c>
      <c r="E25" s="25"/>
      <c r="F25" s="27"/>
      <c r="G25" s="27" t="s">
        <v>87</v>
      </c>
      <c r="H25" s="27"/>
      <c r="I25" s="27"/>
    </row>
    <row r="26" spans="1:9" x14ac:dyDescent="0.25">
      <c r="A26" s="1">
        <v>6</v>
      </c>
      <c r="B26" s="9" t="s">
        <v>56</v>
      </c>
      <c r="C26" s="6" t="s">
        <v>57</v>
      </c>
      <c r="D26" s="1" t="s">
        <v>93</v>
      </c>
      <c r="E26" s="25"/>
      <c r="F26" s="27"/>
      <c r="G26" s="27" t="s">
        <v>87</v>
      </c>
      <c r="H26" s="27"/>
      <c r="I26" s="27"/>
    </row>
    <row r="27" spans="1:9" x14ac:dyDescent="0.25">
      <c r="A27" s="1">
        <v>7</v>
      </c>
      <c r="B27" s="9" t="s">
        <v>56</v>
      </c>
      <c r="C27" s="1" t="s">
        <v>67</v>
      </c>
      <c r="D27" s="7" t="s">
        <v>94</v>
      </c>
      <c r="E27" s="25"/>
      <c r="F27" s="27"/>
      <c r="G27" s="27" t="s">
        <v>87</v>
      </c>
      <c r="H27" s="27"/>
      <c r="I27" s="27" t="s">
        <v>87</v>
      </c>
    </row>
    <row r="28" spans="1:9" x14ac:dyDescent="0.25">
      <c r="A28" s="1">
        <v>8</v>
      </c>
      <c r="B28" s="9" t="s">
        <v>56</v>
      </c>
      <c r="C28" s="9" t="s">
        <v>65</v>
      </c>
      <c r="D28" s="1" t="s">
        <v>66</v>
      </c>
      <c r="E28" s="25"/>
      <c r="F28" s="27"/>
      <c r="G28" s="27"/>
      <c r="H28" s="27"/>
      <c r="I28" s="27" t="s">
        <v>87</v>
      </c>
    </row>
    <row r="29" spans="1:9" x14ac:dyDescent="0.25">
      <c r="A29" s="1">
        <v>9</v>
      </c>
      <c r="B29" s="9" t="s">
        <v>56</v>
      </c>
      <c r="C29" s="1" t="s">
        <v>68</v>
      </c>
      <c r="D29" s="7" t="s">
        <v>95</v>
      </c>
      <c r="E29" s="25"/>
      <c r="F29" s="27" t="s">
        <v>87</v>
      </c>
      <c r="G29" s="27"/>
      <c r="H29" s="27"/>
      <c r="I29" s="27" t="s">
        <v>87</v>
      </c>
    </row>
    <row r="30" spans="1:9" x14ac:dyDescent="0.25">
      <c r="A30" s="1">
        <v>10</v>
      </c>
      <c r="B30" s="9" t="s">
        <v>56</v>
      </c>
      <c r="C30" s="9" t="s">
        <v>80</v>
      </c>
      <c r="D30" s="7" t="s">
        <v>88</v>
      </c>
      <c r="E30" s="25"/>
      <c r="F30" s="27" t="s">
        <v>87</v>
      </c>
      <c r="G30" s="27"/>
      <c r="H30" s="27"/>
      <c r="I30" s="27"/>
    </row>
    <row r="33" spans="1:3" x14ac:dyDescent="0.25">
      <c r="A33" s="34" t="s">
        <v>102</v>
      </c>
      <c r="B33" s="34"/>
      <c r="C33" s="35"/>
    </row>
    <row r="34" spans="1:3" x14ac:dyDescent="0.25">
      <c r="B34" s="12" t="s">
        <v>97</v>
      </c>
      <c r="C34" s="1" t="s">
        <v>96</v>
      </c>
    </row>
    <row r="35" spans="1:3" x14ac:dyDescent="0.25">
      <c r="B35" s="12" t="s">
        <v>74</v>
      </c>
      <c r="C35" s="1" t="s">
        <v>98</v>
      </c>
    </row>
    <row r="37" spans="1:3" x14ac:dyDescent="0.25">
      <c r="B37" s="12" t="s">
        <v>101</v>
      </c>
      <c r="C37" s="1" t="s">
        <v>99</v>
      </c>
    </row>
    <row r="38" spans="1:3" x14ac:dyDescent="0.25">
      <c r="B38" s="12" t="s">
        <v>74</v>
      </c>
      <c r="C38" s="1" t="s">
        <v>100</v>
      </c>
    </row>
  </sheetData>
  <mergeCells count="5">
    <mergeCell ref="E5:I5"/>
    <mergeCell ref="B5:D5"/>
    <mergeCell ref="B10:D10"/>
    <mergeCell ref="B15:D15"/>
    <mergeCell ref="B19:D19"/>
  </mergeCells>
  <conditionalFormatting sqref="E7:I8">
    <cfRule type="containsText" dxfId="3" priority="4" operator="containsText" text="x">
      <formula>NOT(ISERROR(SEARCH("x",E7)))</formula>
    </cfRule>
  </conditionalFormatting>
  <conditionalFormatting sqref="E12:I13">
    <cfRule type="containsText" dxfId="2" priority="3" operator="containsText" text="x">
      <formula>NOT(ISERROR(SEARCH("x",E12)))</formula>
    </cfRule>
  </conditionalFormatting>
  <conditionalFormatting sqref="E17:I17">
    <cfRule type="containsText" dxfId="1" priority="2" operator="containsText" text="x">
      <formula>NOT(ISERROR(SEARCH("x",E17)))</formula>
    </cfRule>
  </conditionalFormatting>
  <conditionalFormatting sqref="E21:I30">
    <cfRule type="containsText" dxfId="0" priority="1" operator="containsText" text="x">
      <formula>NOT(ISERROR(SEARCH("x",E21)))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Estimation Model Reverse-Slip</vt:lpstr>
      <vt:lpstr>HutabaratEtal2022_reverse</vt:lpstr>
      <vt:lpstr>HutabaratEtal2022_ss_old</vt:lpstr>
      <vt:lpstr>HutabaratEtal2022_normal</vt:lpstr>
      <vt:lpstr>Estimation Model Normal-Slip</vt:lpstr>
      <vt:lpstr>Coefficient Normal</vt:lpstr>
      <vt:lpstr>case_to_run</vt:lpstr>
      <vt:lpstr>'Estimation Model Reverse-Slip'!_Ref100818699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2022-06-07T20:04:58Z</dcterms:created>
  <dcterms:modified xsi:type="dcterms:W3CDTF">2022-08-23T17:18:11Z</dcterms:modified>
</cp:coreProperties>
</file>