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.sharepoint.com/sites/SlateDrive/Shared Documents/_Projects/18-020.00_CEC_Seismic_Risk/04_Eval_Analysis/04 - Research/Task 4b/"/>
    </mc:Choice>
  </mc:AlternateContent>
  <xr:revisionPtr revIDLastSave="1654" documentId="13_ncr:40009_{17A712BA-3D20-4FC7-9574-FDD8E5CF450C}" xr6:coauthVersionLast="47" xr6:coauthVersionMax="47" xr10:uidLastSave="{17A54352-2932-4430-99E4-B4D1BE37D044}"/>
  <bookViews>
    <workbookView xWindow="1275" yWindow="-120" windowWidth="27645" windowHeight="16440" tabRatio="773" activeTab="2" xr2:uid="{57DCE46C-28C7-4783-9818-12A1DF920DBC}"/>
  </bookViews>
  <sheets>
    <sheet name="Estimation Model SSC Level 3" sheetId="18" r:id="rId1"/>
    <sheet name="HutabaratEtal2022_ss_comp" sheetId="19" r:id="rId2"/>
    <sheet name="HutabaratEtal2022_ss_tens" sheetId="21" r:id="rId3"/>
    <sheet name="HutabaratEtal2022_ss_tens(5-85)" sheetId="20" r:id="rId4"/>
    <sheet name="Estimation Model SST (85-90)" sheetId="10" r:id="rId5"/>
    <sheet name="HutabaratEtal2022_ss_tens(85-90" sheetId="11" r:id="rId6"/>
    <sheet name="Estimation Model Reverse-Slip" sheetId="8" r:id="rId7"/>
    <sheet name="HutabaratEtal2022_reverse" sheetId="9" r:id="rId8"/>
    <sheet name="Estimation Model Normal-Slip" sheetId="7" r:id="rId9"/>
    <sheet name="HutabaratEtal2022_normal" sheetId="5" r:id="rId10"/>
    <sheet name="Coefficient Normal" sheetId="6" r:id="rId11"/>
    <sheet name="case_to_run" sheetId="4" r:id="rId12"/>
  </sheets>
  <definedNames>
    <definedName name="_Ref100818699" localSheetId="6">'Estimation Model Reverse-Slip'!$P$11</definedName>
    <definedName name="_Ref100818699" localSheetId="0">'Estimation Model SSC Level 3'!$P$11</definedName>
    <definedName name="_Ref100818699" localSheetId="4">'Estimation Model SST (85-90)'!$P$11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4" i="20" l="1"/>
  <c r="BD5" i="20"/>
  <c r="BD6" i="20"/>
  <c r="BD7" i="20"/>
  <c r="BD8" i="20"/>
  <c r="BD9" i="20"/>
  <c r="BD10" i="20"/>
  <c r="BD11" i="20"/>
  <c r="BD12" i="20"/>
  <c r="BD13" i="20"/>
  <c r="BD14" i="20"/>
  <c r="BD15" i="20"/>
  <c r="BD16" i="20"/>
  <c r="BD17" i="20"/>
  <c r="BD18" i="20"/>
  <c r="BD19" i="20"/>
  <c r="BD20" i="20"/>
  <c r="BD21" i="20"/>
  <c r="BD22" i="20"/>
  <c r="BD3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Z4" i="20"/>
  <c r="AA4" i="20"/>
  <c r="AB4" i="20"/>
  <c r="AC4" i="20"/>
  <c r="AD4" i="20"/>
  <c r="AE4" i="20"/>
  <c r="AF4" i="20"/>
  <c r="Z5" i="20"/>
  <c r="AA5" i="20"/>
  <c r="AB5" i="20"/>
  <c r="AC5" i="20"/>
  <c r="AD5" i="20"/>
  <c r="AE5" i="20"/>
  <c r="AF5" i="20"/>
  <c r="Z6" i="20"/>
  <c r="AA6" i="20"/>
  <c r="AB6" i="20"/>
  <c r="AC6" i="20"/>
  <c r="AD6" i="20"/>
  <c r="AE6" i="20"/>
  <c r="AF6" i="20"/>
  <c r="Z7" i="20"/>
  <c r="AA7" i="20"/>
  <c r="AB7" i="20"/>
  <c r="AC7" i="20"/>
  <c r="AD7" i="20"/>
  <c r="AE7" i="20"/>
  <c r="AF7" i="20"/>
  <c r="Z8" i="20"/>
  <c r="AA8" i="20"/>
  <c r="AB8" i="20"/>
  <c r="AC8" i="20"/>
  <c r="AD8" i="20"/>
  <c r="AE8" i="20"/>
  <c r="AF8" i="20"/>
  <c r="Z9" i="20"/>
  <c r="AA9" i="20"/>
  <c r="AB9" i="20"/>
  <c r="AC9" i="20"/>
  <c r="AD9" i="20"/>
  <c r="AE9" i="20"/>
  <c r="AF9" i="20"/>
  <c r="Z10" i="20"/>
  <c r="AA10" i="20"/>
  <c r="AB10" i="20"/>
  <c r="AC10" i="20"/>
  <c r="AD10" i="20"/>
  <c r="AE10" i="20"/>
  <c r="AF10" i="20"/>
  <c r="Z11" i="20"/>
  <c r="AA11" i="20"/>
  <c r="AB11" i="20"/>
  <c r="AC11" i="20"/>
  <c r="AD11" i="20"/>
  <c r="AE11" i="20"/>
  <c r="AF11" i="20"/>
  <c r="Z12" i="20"/>
  <c r="AA12" i="20"/>
  <c r="AB12" i="20"/>
  <c r="AC12" i="20"/>
  <c r="AD12" i="20"/>
  <c r="AE12" i="20"/>
  <c r="AF12" i="20"/>
  <c r="Z13" i="20"/>
  <c r="AA13" i="20"/>
  <c r="AB13" i="20"/>
  <c r="AC13" i="20"/>
  <c r="AD13" i="20"/>
  <c r="AE13" i="20"/>
  <c r="AF13" i="20"/>
  <c r="Z14" i="20"/>
  <c r="AA14" i="20"/>
  <c r="AB14" i="20"/>
  <c r="AC14" i="20"/>
  <c r="AD14" i="20"/>
  <c r="AE14" i="20"/>
  <c r="AF14" i="20"/>
  <c r="Z15" i="20"/>
  <c r="AA15" i="20"/>
  <c r="AB15" i="20"/>
  <c r="AC15" i="20"/>
  <c r="AD15" i="20"/>
  <c r="AE15" i="20"/>
  <c r="AF15" i="20"/>
  <c r="Z16" i="20"/>
  <c r="AA16" i="20"/>
  <c r="AB16" i="20"/>
  <c r="AC16" i="20"/>
  <c r="AD16" i="20"/>
  <c r="AE16" i="20"/>
  <c r="AF16" i="20"/>
  <c r="Z17" i="20"/>
  <c r="AA17" i="20"/>
  <c r="AB17" i="20"/>
  <c r="AC17" i="20"/>
  <c r="AD17" i="20"/>
  <c r="AE17" i="20"/>
  <c r="AF17" i="20"/>
  <c r="Z18" i="20"/>
  <c r="AA18" i="20"/>
  <c r="AB18" i="20"/>
  <c r="AC18" i="20"/>
  <c r="AD18" i="20"/>
  <c r="AE18" i="20"/>
  <c r="AF18" i="20"/>
  <c r="Z19" i="20"/>
  <c r="AA19" i="20"/>
  <c r="AB19" i="20"/>
  <c r="AC19" i="20"/>
  <c r="AD19" i="20"/>
  <c r="AE19" i="20"/>
  <c r="AF19" i="20"/>
  <c r="Z20" i="20"/>
  <c r="AA20" i="20"/>
  <c r="AB20" i="20"/>
  <c r="AC20" i="20"/>
  <c r="AD20" i="20"/>
  <c r="AE20" i="20"/>
  <c r="AF20" i="20"/>
  <c r="Z21" i="20"/>
  <c r="AA21" i="20"/>
  <c r="AB21" i="20"/>
  <c r="AC21" i="20"/>
  <c r="AD21" i="20"/>
  <c r="AE21" i="20"/>
  <c r="AF21" i="20"/>
  <c r="Z22" i="20"/>
  <c r="AA22" i="20"/>
  <c r="AB22" i="20"/>
  <c r="AC22" i="20"/>
  <c r="AD22" i="20"/>
  <c r="AE22" i="20"/>
  <c r="AF22" i="20"/>
  <c r="AF3" i="20"/>
  <c r="AE3" i="20"/>
  <c r="AD3" i="20"/>
  <c r="AC3" i="20"/>
  <c r="AB3" i="20"/>
  <c r="AA3" i="20"/>
  <c r="Z3" i="20"/>
  <c r="AL22" i="20"/>
  <c r="AK22" i="20"/>
  <c r="T22" i="20"/>
  <c r="S22" i="20"/>
  <c r="R22" i="20"/>
  <c r="Q22" i="20"/>
  <c r="M22" i="20"/>
  <c r="L22" i="20"/>
  <c r="K22" i="20"/>
  <c r="J22" i="20"/>
  <c r="G22" i="20"/>
  <c r="Y22" i="20" s="1"/>
  <c r="F22" i="20"/>
  <c r="D22" i="20"/>
  <c r="AL21" i="20"/>
  <c r="AK21" i="20"/>
  <c r="T21" i="20"/>
  <c r="W21" i="20" s="1"/>
  <c r="X21" i="20" s="1"/>
  <c r="S21" i="20"/>
  <c r="R21" i="20"/>
  <c r="Q21" i="20"/>
  <c r="M21" i="20"/>
  <c r="L21" i="20"/>
  <c r="K21" i="20"/>
  <c r="J21" i="20"/>
  <c r="G21" i="20"/>
  <c r="Y21" i="20" s="1"/>
  <c r="F21" i="20"/>
  <c r="D21" i="20"/>
  <c r="AL20" i="20"/>
  <c r="AK20" i="20"/>
  <c r="T20" i="20"/>
  <c r="S20" i="20"/>
  <c r="R20" i="20"/>
  <c r="Q20" i="20"/>
  <c r="M20" i="20"/>
  <c r="L20" i="20"/>
  <c r="K20" i="20"/>
  <c r="J20" i="20"/>
  <c r="G20" i="20"/>
  <c r="Y20" i="20" s="1"/>
  <c r="F20" i="20"/>
  <c r="D20" i="20"/>
  <c r="AL19" i="20"/>
  <c r="AK19" i="20"/>
  <c r="T19" i="20"/>
  <c r="S19" i="20"/>
  <c r="R19" i="20"/>
  <c r="Q19" i="20"/>
  <c r="M19" i="20"/>
  <c r="L19" i="20"/>
  <c r="K19" i="20"/>
  <c r="J19" i="20"/>
  <c r="G19" i="20"/>
  <c r="Y19" i="20" s="1"/>
  <c r="F19" i="20"/>
  <c r="D19" i="20"/>
  <c r="AL18" i="20"/>
  <c r="AK18" i="20"/>
  <c r="T18" i="20"/>
  <c r="S18" i="20"/>
  <c r="R18" i="20"/>
  <c r="Q18" i="20"/>
  <c r="M18" i="20"/>
  <c r="L18" i="20"/>
  <c r="K18" i="20"/>
  <c r="J18" i="20"/>
  <c r="G18" i="20"/>
  <c r="Y18" i="20" s="1"/>
  <c r="F18" i="20"/>
  <c r="D18" i="20"/>
  <c r="AL17" i="20"/>
  <c r="AK17" i="20"/>
  <c r="T17" i="20"/>
  <c r="S17" i="20"/>
  <c r="R17" i="20"/>
  <c r="Q17" i="20"/>
  <c r="M17" i="20"/>
  <c r="N17" i="20" s="1"/>
  <c r="L17" i="20"/>
  <c r="K17" i="20"/>
  <c r="J17" i="20"/>
  <c r="G17" i="20"/>
  <c r="Y17" i="20" s="1"/>
  <c r="F17" i="20"/>
  <c r="D17" i="20"/>
  <c r="AL16" i="20"/>
  <c r="AK16" i="20"/>
  <c r="T16" i="20"/>
  <c r="S16" i="20"/>
  <c r="R16" i="20"/>
  <c r="Q16" i="20"/>
  <c r="M16" i="20"/>
  <c r="L16" i="20"/>
  <c r="K16" i="20"/>
  <c r="J16" i="20"/>
  <c r="G16" i="20"/>
  <c r="Y16" i="20" s="1"/>
  <c r="F16" i="20"/>
  <c r="D16" i="20"/>
  <c r="AL15" i="20"/>
  <c r="AK15" i="20"/>
  <c r="T15" i="20"/>
  <c r="S15" i="20"/>
  <c r="R15" i="20"/>
  <c r="Q15" i="20"/>
  <c r="M15" i="20"/>
  <c r="L15" i="20"/>
  <c r="K15" i="20"/>
  <c r="J15" i="20"/>
  <c r="G15" i="20"/>
  <c r="Y15" i="20" s="1"/>
  <c r="F15" i="20"/>
  <c r="D15" i="20"/>
  <c r="AL14" i="20"/>
  <c r="AK14" i="20"/>
  <c r="T14" i="20"/>
  <c r="S14" i="20"/>
  <c r="R14" i="20"/>
  <c r="Q14" i="20"/>
  <c r="M14" i="20"/>
  <c r="L14" i="20"/>
  <c r="K14" i="20"/>
  <c r="J14" i="20"/>
  <c r="G14" i="20"/>
  <c r="Y14" i="20" s="1"/>
  <c r="F14" i="20"/>
  <c r="D14" i="20"/>
  <c r="AL13" i="20"/>
  <c r="AK13" i="20"/>
  <c r="T13" i="20"/>
  <c r="S13" i="20"/>
  <c r="R13" i="20"/>
  <c r="Q13" i="20"/>
  <c r="M13" i="20"/>
  <c r="L13" i="20"/>
  <c r="K13" i="20"/>
  <c r="J13" i="20"/>
  <c r="G13" i="20"/>
  <c r="Y13" i="20" s="1"/>
  <c r="F13" i="20"/>
  <c r="D13" i="20"/>
  <c r="AL12" i="20"/>
  <c r="AK12" i="20"/>
  <c r="T12" i="20"/>
  <c r="S12" i="20"/>
  <c r="R12" i="20"/>
  <c r="Q12" i="20"/>
  <c r="W12" i="20" s="1"/>
  <c r="X12" i="20" s="1"/>
  <c r="M12" i="20"/>
  <c r="L12" i="20"/>
  <c r="K12" i="20"/>
  <c r="J12" i="20"/>
  <c r="G12" i="20"/>
  <c r="Y12" i="20" s="1"/>
  <c r="F12" i="20"/>
  <c r="D12" i="20"/>
  <c r="AL11" i="20"/>
  <c r="AK11" i="20"/>
  <c r="T11" i="20"/>
  <c r="S11" i="20"/>
  <c r="R11" i="20"/>
  <c r="W11" i="20" s="1"/>
  <c r="X11" i="20" s="1"/>
  <c r="Q11" i="20"/>
  <c r="M11" i="20"/>
  <c r="L11" i="20"/>
  <c r="K11" i="20"/>
  <c r="J11" i="20"/>
  <c r="G11" i="20"/>
  <c r="Y11" i="20" s="1"/>
  <c r="F11" i="20"/>
  <c r="D11" i="20"/>
  <c r="AL10" i="20"/>
  <c r="AK10" i="20"/>
  <c r="T10" i="20"/>
  <c r="S10" i="20"/>
  <c r="R10" i="20"/>
  <c r="Q10" i="20"/>
  <c r="W10" i="20" s="1"/>
  <c r="X10" i="20" s="1"/>
  <c r="M10" i="20"/>
  <c r="L10" i="20"/>
  <c r="K10" i="20"/>
  <c r="J10" i="20"/>
  <c r="G10" i="20"/>
  <c r="Y10" i="20" s="1"/>
  <c r="F10" i="20"/>
  <c r="D10" i="20"/>
  <c r="AL9" i="20"/>
  <c r="AK9" i="20"/>
  <c r="Y9" i="20"/>
  <c r="T9" i="20"/>
  <c r="S9" i="20"/>
  <c r="R9" i="20"/>
  <c r="Q9" i="20"/>
  <c r="M9" i="20"/>
  <c r="L9" i="20"/>
  <c r="K9" i="20"/>
  <c r="J9" i="20"/>
  <c r="G9" i="20"/>
  <c r="F9" i="20"/>
  <c r="D9" i="20"/>
  <c r="AL8" i="20"/>
  <c r="AK8" i="20"/>
  <c r="T8" i="20"/>
  <c r="S8" i="20"/>
  <c r="R8" i="20"/>
  <c r="Q8" i="20"/>
  <c r="M8" i="20"/>
  <c r="L8" i="20"/>
  <c r="K8" i="20"/>
  <c r="J8" i="20"/>
  <c r="G8" i="20"/>
  <c r="Y8" i="20" s="1"/>
  <c r="F8" i="20"/>
  <c r="D8" i="20"/>
  <c r="AL7" i="20"/>
  <c r="AK7" i="20"/>
  <c r="T7" i="20"/>
  <c r="S7" i="20"/>
  <c r="R7" i="20"/>
  <c r="Q7" i="20"/>
  <c r="M7" i="20"/>
  <c r="L7" i="20"/>
  <c r="K7" i="20"/>
  <c r="J7" i="20"/>
  <c r="G7" i="20"/>
  <c r="Y7" i="20" s="1"/>
  <c r="F7" i="20"/>
  <c r="D7" i="20"/>
  <c r="AL6" i="20"/>
  <c r="AK6" i="20"/>
  <c r="T6" i="20"/>
  <c r="S6" i="20"/>
  <c r="R6" i="20"/>
  <c r="Q6" i="20"/>
  <c r="W6" i="20" s="1"/>
  <c r="X6" i="20" s="1"/>
  <c r="M6" i="20"/>
  <c r="L6" i="20"/>
  <c r="K6" i="20"/>
  <c r="J6" i="20"/>
  <c r="G6" i="20"/>
  <c r="Y6" i="20" s="1"/>
  <c r="F6" i="20"/>
  <c r="D6" i="20"/>
  <c r="AL5" i="20"/>
  <c r="AK5" i="20"/>
  <c r="T5" i="20"/>
  <c r="S5" i="20"/>
  <c r="R5" i="20"/>
  <c r="Q5" i="20"/>
  <c r="M5" i="20"/>
  <c r="L5" i="20"/>
  <c r="K5" i="20"/>
  <c r="J5" i="20"/>
  <c r="G5" i="20"/>
  <c r="Y5" i="20" s="1"/>
  <c r="F5" i="20"/>
  <c r="D5" i="20"/>
  <c r="AL4" i="20"/>
  <c r="AK4" i="20"/>
  <c r="T4" i="20"/>
  <c r="S4" i="20"/>
  <c r="R4" i="20"/>
  <c r="Q4" i="20"/>
  <c r="W4" i="20" s="1"/>
  <c r="X4" i="20" s="1"/>
  <c r="M4" i="20"/>
  <c r="N4" i="20" s="1"/>
  <c r="L4" i="20"/>
  <c r="K4" i="20"/>
  <c r="J4" i="20"/>
  <c r="G4" i="20"/>
  <c r="Y4" i="20" s="1"/>
  <c r="F4" i="20"/>
  <c r="D4" i="20"/>
  <c r="AL3" i="20"/>
  <c r="AK3" i="20"/>
  <c r="T3" i="20"/>
  <c r="S3" i="20"/>
  <c r="R3" i="20"/>
  <c r="Q3" i="20"/>
  <c r="W3" i="20" s="1"/>
  <c r="X3" i="20" s="1"/>
  <c r="M3" i="20"/>
  <c r="L3" i="20"/>
  <c r="K3" i="20"/>
  <c r="J3" i="20"/>
  <c r="G3" i="20"/>
  <c r="Y3" i="20" s="1"/>
  <c r="F3" i="20"/>
  <c r="D3" i="20"/>
  <c r="AP44" i="21"/>
  <c r="U44" i="21"/>
  <c r="T44" i="21"/>
  <c r="S44" i="21"/>
  <c r="R44" i="21"/>
  <c r="N44" i="21"/>
  <c r="M44" i="21"/>
  <c r="L44" i="21"/>
  <c r="K44" i="21"/>
  <c r="H44" i="21"/>
  <c r="G44" i="21"/>
  <c r="E44" i="21"/>
  <c r="AP43" i="21"/>
  <c r="U43" i="21"/>
  <c r="T43" i="21"/>
  <c r="S43" i="21"/>
  <c r="R43" i="21"/>
  <c r="N43" i="21"/>
  <c r="M43" i="21"/>
  <c r="L43" i="21"/>
  <c r="K43" i="21"/>
  <c r="H43" i="21"/>
  <c r="G43" i="21"/>
  <c r="E43" i="21"/>
  <c r="AP42" i="21"/>
  <c r="U42" i="21"/>
  <c r="T42" i="21"/>
  <c r="S42" i="21"/>
  <c r="R42" i="21"/>
  <c r="N42" i="21"/>
  <c r="M42" i="21"/>
  <c r="L42" i="21"/>
  <c r="K42" i="21"/>
  <c r="H42" i="21"/>
  <c r="G42" i="21"/>
  <c r="E42" i="21"/>
  <c r="AP41" i="21"/>
  <c r="U41" i="21"/>
  <c r="T41" i="21"/>
  <c r="S41" i="21"/>
  <c r="R41" i="21"/>
  <c r="N41" i="21"/>
  <c r="M41" i="21"/>
  <c r="L41" i="21"/>
  <c r="K41" i="21"/>
  <c r="H41" i="21"/>
  <c r="G41" i="21"/>
  <c r="E41" i="21"/>
  <c r="AP40" i="21"/>
  <c r="U40" i="21"/>
  <c r="T40" i="21"/>
  <c r="S40" i="21"/>
  <c r="R40" i="21"/>
  <c r="N40" i="21"/>
  <c r="M40" i="21"/>
  <c r="L40" i="21"/>
  <c r="K40" i="21"/>
  <c r="H40" i="21"/>
  <c r="G40" i="21"/>
  <c r="E40" i="21"/>
  <c r="AP39" i="21"/>
  <c r="U39" i="21"/>
  <c r="T39" i="21"/>
  <c r="S39" i="21"/>
  <c r="R39" i="21"/>
  <c r="N39" i="21"/>
  <c r="M39" i="21"/>
  <c r="L39" i="21"/>
  <c r="K39" i="21"/>
  <c r="H39" i="21"/>
  <c r="G39" i="21"/>
  <c r="E39" i="21"/>
  <c r="AP38" i="21"/>
  <c r="U38" i="21"/>
  <c r="T38" i="21"/>
  <c r="S38" i="21"/>
  <c r="R38" i="21"/>
  <c r="N38" i="21"/>
  <c r="M38" i="21"/>
  <c r="L38" i="21"/>
  <c r="K38" i="21"/>
  <c r="H38" i="21"/>
  <c r="G38" i="21"/>
  <c r="E38" i="21"/>
  <c r="AP37" i="21"/>
  <c r="U37" i="21"/>
  <c r="T37" i="21"/>
  <c r="S37" i="21"/>
  <c r="R37" i="21"/>
  <c r="N37" i="21"/>
  <c r="M37" i="21"/>
  <c r="L37" i="21"/>
  <c r="K37" i="21"/>
  <c r="H37" i="21"/>
  <c r="G37" i="21"/>
  <c r="E37" i="21"/>
  <c r="AP36" i="21"/>
  <c r="U36" i="21"/>
  <c r="T36" i="21"/>
  <c r="S36" i="21"/>
  <c r="R36" i="21"/>
  <c r="N36" i="21"/>
  <c r="M36" i="21"/>
  <c r="L36" i="21"/>
  <c r="K36" i="21"/>
  <c r="H36" i="21"/>
  <c r="G36" i="21"/>
  <c r="E36" i="21"/>
  <c r="AP35" i="21"/>
  <c r="U35" i="21"/>
  <c r="T35" i="21"/>
  <c r="S35" i="21"/>
  <c r="R35" i="21"/>
  <c r="N35" i="21"/>
  <c r="M35" i="21"/>
  <c r="L35" i="21"/>
  <c r="K35" i="21"/>
  <c r="H35" i="21"/>
  <c r="G35" i="21"/>
  <c r="E35" i="21"/>
  <c r="AP34" i="21"/>
  <c r="U34" i="21"/>
  <c r="T34" i="21"/>
  <c r="S34" i="21"/>
  <c r="R34" i="21"/>
  <c r="X34" i="21" s="1"/>
  <c r="N34" i="21"/>
  <c r="M34" i="21"/>
  <c r="L34" i="21"/>
  <c r="K34" i="21"/>
  <c r="H34" i="21"/>
  <c r="G34" i="21"/>
  <c r="E34" i="21"/>
  <c r="AP33" i="21"/>
  <c r="U33" i="21"/>
  <c r="T33" i="21"/>
  <c r="S33" i="21"/>
  <c r="R33" i="21"/>
  <c r="N33" i="21"/>
  <c r="M33" i="21"/>
  <c r="L33" i="21"/>
  <c r="K33" i="21"/>
  <c r="H33" i="21"/>
  <c r="G33" i="21"/>
  <c r="E33" i="21"/>
  <c r="AP32" i="21"/>
  <c r="U32" i="21"/>
  <c r="T32" i="21"/>
  <c r="S32" i="21"/>
  <c r="R32" i="21"/>
  <c r="X32" i="21" s="1"/>
  <c r="N32" i="21"/>
  <c r="M32" i="21"/>
  <c r="L32" i="21"/>
  <c r="K32" i="21"/>
  <c r="H32" i="21"/>
  <c r="G32" i="21"/>
  <c r="E32" i="21"/>
  <c r="AP31" i="21"/>
  <c r="U31" i="21"/>
  <c r="T31" i="21"/>
  <c r="S31" i="21"/>
  <c r="R31" i="21"/>
  <c r="N31" i="21"/>
  <c r="M31" i="21"/>
  <c r="L31" i="21"/>
  <c r="K31" i="21"/>
  <c r="H31" i="21"/>
  <c r="G31" i="21"/>
  <c r="E31" i="21"/>
  <c r="AP30" i="21"/>
  <c r="U30" i="21"/>
  <c r="T30" i="21"/>
  <c r="S30" i="21"/>
  <c r="R30" i="21"/>
  <c r="X30" i="21" s="1"/>
  <c r="N30" i="21"/>
  <c r="M30" i="21"/>
  <c r="L30" i="21"/>
  <c r="K30" i="21"/>
  <c r="H30" i="21"/>
  <c r="G30" i="21"/>
  <c r="E30" i="21"/>
  <c r="AP29" i="21"/>
  <c r="U29" i="21"/>
  <c r="T29" i="21"/>
  <c r="S29" i="21"/>
  <c r="R29" i="21"/>
  <c r="N29" i="21"/>
  <c r="M29" i="21"/>
  <c r="L29" i="21"/>
  <c r="K29" i="21"/>
  <c r="H29" i="21"/>
  <c r="G29" i="21"/>
  <c r="E29" i="21"/>
  <c r="AP28" i="21"/>
  <c r="U28" i="21"/>
  <c r="T28" i="21"/>
  <c r="S28" i="21"/>
  <c r="R28" i="21"/>
  <c r="X28" i="21" s="1"/>
  <c r="N28" i="21"/>
  <c r="M28" i="21"/>
  <c r="L28" i="21"/>
  <c r="K28" i="21"/>
  <c r="H28" i="21"/>
  <c r="G28" i="21"/>
  <c r="E28" i="21"/>
  <c r="AP27" i="21"/>
  <c r="U27" i="21"/>
  <c r="T27" i="21"/>
  <c r="S27" i="21"/>
  <c r="R27" i="21"/>
  <c r="N27" i="21"/>
  <c r="M27" i="21"/>
  <c r="L27" i="21"/>
  <c r="K27" i="21"/>
  <c r="H27" i="21"/>
  <c r="G27" i="21"/>
  <c r="E27" i="21"/>
  <c r="AP26" i="21"/>
  <c r="U26" i="21"/>
  <c r="T26" i="21"/>
  <c r="S26" i="21"/>
  <c r="R26" i="21"/>
  <c r="X26" i="21" s="1"/>
  <c r="N26" i="21"/>
  <c r="M26" i="21"/>
  <c r="L26" i="21"/>
  <c r="K26" i="21"/>
  <c r="H26" i="21"/>
  <c r="G26" i="21"/>
  <c r="E26" i="21"/>
  <c r="AP25" i="21"/>
  <c r="U25" i="21"/>
  <c r="T25" i="21"/>
  <c r="S25" i="21"/>
  <c r="R25" i="21"/>
  <c r="N25" i="21"/>
  <c r="M25" i="21"/>
  <c r="L25" i="21"/>
  <c r="K25" i="21"/>
  <c r="H25" i="21"/>
  <c r="G25" i="21"/>
  <c r="E2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3" i="21"/>
  <c r="BP22" i="21"/>
  <c r="AP22" i="21"/>
  <c r="AO22" i="21"/>
  <c r="U22" i="21"/>
  <c r="T22" i="21"/>
  <c r="S22" i="21"/>
  <c r="R22" i="21"/>
  <c r="N22" i="21"/>
  <c r="M22" i="21"/>
  <c r="L22" i="21"/>
  <c r="K22" i="21"/>
  <c r="H22" i="21"/>
  <c r="Z22" i="21" s="1"/>
  <c r="G22" i="21"/>
  <c r="E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G22" i="21"/>
  <c r="AF22" i="21"/>
  <c r="AE22" i="21"/>
  <c r="AD22" i="21"/>
  <c r="AC22" i="21"/>
  <c r="AB22" i="21"/>
  <c r="AA22" i="21"/>
  <c r="BP21" i="21"/>
  <c r="AP21" i="21"/>
  <c r="AO21" i="21"/>
  <c r="U21" i="21"/>
  <c r="T21" i="21"/>
  <c r="S21" i="21"/>
  <c r="R21" i="21"/>
  <c r="N21" i="21"/>
  <c r="M21" i="21"/>
  <c r="L21" i="21"/>
  <c r="K21" i="21"/>
  <c r="H21" i="21"/>
  <c r="Z21" i="21" s="1"/>
  <c r="G21" i="21"/>
  <c r="E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G21" i="21"/>
  <c r="AF21" i="21"/>
  <c r="AE21" i="21"/>
  <c r="AD21" i="21"/>
  <c r="AC21" i="21"/>
  <c r="AB21" i="21"/>
  <c r="AA21" i="21"/>
  <c r="BP20" i="21"/>
  <c r="AP20" i="21"/>
  <c r="AO20" i="21"/>
  <c r="U20" i="21"/>
  <c r="T20" i="21"/>
  <c r="S20" i="21"/>
  <c r="R20" i="21"/>
  <c r="N20" i="21"/>
  <c r="M20" i="21"/>
  <c r="L20" i="21"/>
  <c r="K20" i="21"/>
  <c r="H20" i="21"/>
  <c r="Z20" i="21" s="1"/>
  <c r="G20" i="21"/>
  <c r="E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G20" i="21"/>
  <c r="AF20" i="21"/>
  <c r="AE20" i="21"/>
  <c r="AD20" i="21"/>
  <c r="AC20" i="21"/>
  <c r="AB20" i="21"/>
  <c r="AA20" i="21"/>
  <c r="BP19" i="21"/>
  <c r="AP19" i="21"/>
  <c r="AO19" i="21"/>
  <c r="U19" i="21"/>
  <c r="T19" i="21"/>
  <c r="S19" i="21"/>
  <c r="R19" i="21"/>
  <c r="N19" i="21"/>
  <c r="M19" i="21"/>
  <c r="L19" i="21"/>
  <c r="K19" i="21"/>
  <c r="H19" i="21"/>
  <c r="Z19" i="21" s="1"/>
  <c r="G19" i="21"/>
  <c r="E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G19" i="21"/>
  <c r="AF19" i="21"/>
  <c r="AE19" i="21"/>
  <c r="AD19" i="21"/>
  <c r="AC19" i="21"/>
  <c r="AB19" i="21"/>
  <c r="AA19" i="21"/>
  <c r="BP18" i="21"/>
  <c r="AP18" i="21"/>
  <c r="AO18" i="21"/>
  <c r="U18" i="21"/>
  <c r="T18" i="21"/>
  <c r="S18" i="21"/>
  <c r="R18" i="21"/>
  <c r="N18" i="21"/>
  <c r="M18" i="21"/>
  <c r="L18" i="21"/>
  <c r="K18" i="21"/>
  <c r="H18" i="21"/>
  <c r="Z18" i="21" s="1"/>
  <c r="G18" i="21"/>
  <c r="E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G18" i="21"/>
  <c r="AF18" i="21"/>
  <c r="AE18" i="21"/>
  <c r="AD18" i="21"/>
  <c r="AC18" i="21"/>
  <c r="AB18" i="21"/>
  <c r="AA18" i="21"/>
  <c r="BP17" i="21"/>
  <c r="AP17" i="21"/>
  <c r="AO17" i="21"/>
  <c r="U17" i="21"/>
  <c r="T17" i="21"/>
  <c r="S17" i="21"/>
  <c r="R17" i="21"/>
  <c r="N17" i="21"/>
  <c r="M17" i="21"/>
  <c r="L17" i="21"/>
  <c r="K17" i="21"/>
  <c r="H17" i="21"/>
  <c r="Z17" i="21" s="1"/>
  <c r="G17" i="21"/>
  <c r="E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G17" i="21"/>
  <c r="AF17" i="21"/>
  <c r="AE17" i="21"/>
  <c r="AD17" i="21"/>
  <c r="AC17" i="21"/>
  <c r="AB17" i="21"/>
  <c r="AA17" i="21"/>
  <c r="BP16" i="21"/>
  <c r="AP16" i="21"/>
  <c r="AO16" i="21"/>
  <c r="U16" i="21"/>
  <c r="T16" i="21"/>
  <c r="S16" i="21"/>
  <c r="R16" i="21"/>
  <c r="N16" i="21"/>
  <c r="M16" i="21"/>
  <c r="L16" i="21"/>
  <c r="K16" i="21"/>
  <c r="H16" i="21"/>
  <c r="Z16" i="21" s="1"/>
  <c r="G16" i="21"/>
  <c r="E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G16" i="21"/>
  <c r="AF16" i="21"/>
  <c r="AE16" i="21"/>
  <c r="AD16" i="21"/>
  <c r="AC16" i="21"/>
  <c r="AB16" i="21"/>
  <c r="AA16" i="21"/>
  <c r="BP15" i="21"/>
  <c r="AP15" i="21"/>
  <c r="AO15" i="21"/>
  <c r="U15" i="21"/>
  <c r="T15" i="21"/>
  <c r="S15" i="21"/>
  <c r="R15" i="21"/>
  <c r="N15" i="21"/>
  <c r="M15" i="21"/>
  <c r="L15" i="21"/>
  <c r="K15" i="21"/>
  <c r="H15" i="21"/>
  <c r="Z15" i="21" s="1"/>
  <c r="G15" i="21"/>
  <c r="E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G15" i="21"/>
  <c r="AF15" i="21"/>
  <c r="AE15" i="21"/>
  <c r="AD15" i="21"/>
  <c r="AC15" i="21"/>
  <c r="AB15" i="21"/>
  <c r="AA15" i="21"/>
  <c r="BP14" i="21"/>
  <c r="AP14" i="21"/>
  <c r="AO14" i="21"/>
  <c r="U14" i="21"/>
  <c r="T14" i="21"/>
  <c r="S14" i="21"/>
  <c r="R14" i="21"/>
  <c r="N14" i="21"/>
  <c r="M14" i="21"/>
  <c r="L14" i="21"/>
  <c r="K14" i="21"/>
  <c r="H14" i="21"/>
  <c r="Z14" i="21" s="1"/>
  <c r="G14" i="21"/>
  <c r="E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G14" i="21"/>
  <c r="AF14" i="21"/>
  <c r="AE14" i="21"/>
  <c r="AD14" i="21"/>
  <c r="AC14" i="21"/>
  <c r="AB14" i="21"/>
  <c r="AA14" i="21"/>
  <c r="BP13" i="21"/>
  <c r="AP13" i="21"/>
  <c r="AO13" i="21"/>
  <c r="U13" i="21"/>
  <c r="T13" i="21"/>
  <c r="S13" i="21"/>
  <c r="R13" i="21"/>
  <c r="N13" i="21"/>
  <c r="M13" i="21"/>
  <c r="L13" i="21"/>
  <c r="K13" i="21"/>
  <c r="H13" i="21"/>
  <c r="Z13" i="21" s="1"/>
  <c r="G13" i="21"/>
  <c r="E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G13" i="21"/>
  <c r="AF13" i="21"/>
  <c r="AE13" i="21"/>
  <c r="AD13" i="21"/>
  <c r="AC13" i="21"/>
  <c r="AB13" i="21"/>
  <c r="AA13" i="21"/>
  <c r="BP12" i="21"/>
  <c r="AP12" i="21"/>
  <c r="AO12" i="21"/>
  <c r="U12" i="21"/>
  <c r="T12" i="21"/>
  <c r="S12" i="21"/>
  <c r="R12" i="21"/>
  <c r="N12" i="21"/>
  <c r="M12" i="21"/>
  <c r="L12" i="21"/>
  <c r="K12" i="21"/>
  <c r="H12" i="21"/>
  <c r="Z12" i="21" s="1"/>
  <c r="G12" i="21"/>
  <c r="E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G12" i="21"/>
  <c r="AF12" i="21"/>
  <c r="AE12" i="21"/>
  <c r="AD12" i="21"/>
  <c r="AC12" i="21"/>
  <c r="AB12" i="21"/>
  <c r="AA12" i="21"/>
  <c r="BP11" i="21"/>
  <c r="AP11" i="21"/>
  <c r="AO11" i="21"/>
  <c r="U11" i="21"/>
  <c r="T11" i="21"/>
  <c r="S11" i="21"/>
  <c r="R11" i="21"/>
  <c r="N11" i="21"/>
  <c r="M11" i="21"/>
  <c r="L11" i="21"/>
  <c r="K11" i="21"/>
  <c r="H11" i="21"/>
  <c r="Z11" i="21" s="1"/>
  <c r="G11" i="21"/>
  <c r="E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G11" i="21"/>
  <c r="AF11" i="21"/>
  <c r="AE11" i="21"/>
  <c r="AD11" i="21"/>
  <c r="AC11" i="21"/>
  <c r="AB11" i="21"/>
  <c r="AA11" i="21"/>
  <c r="BP10" i="21"/>
  <c r="AP10" i="21"/>
  <c r="AO10" i="21"/>
  <c r="U10" i="21"/>
  <c r="T10" i="21"/>
  <c r="S10" i="21"/>
  <c r="R10" i="21"/>
  <c r="N10" i="21"/>
  <c r="M10" i="21"/>
  <c r="L10" i="21"/>
  <c r="K10" i="21"/>
  <c r="H10" i="21"/>
  <c r="Z10" i="21" s="1"/>
  <c r="G10" i="21"/>
  <c r="E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G10" i="21"/>
  <c r="AF10" i="21"/>
  <c r="AE10" i="21"/>
  <c r="AD10" i="21"/>
  <c r="AC10" i="21"/>
  <c r="AB10" i="21"/>
  <c r="AA10" i="21"/>
  <c r="BP9" i="21"/>
  <c r="AP9" i="21"/>
  <c r="AO9" i="21"/>
  <c r="U9" i="21"/>
  <c r="T9" i="21"/>
  <c r="S9" i="21"/>
  <c r="R9" i="21"/>
  <c r="N9" i="21"/>
  <c r="M9" i="21"/>
  <c r="L9" i="21"/>
  <c r="K9" i="21"/>
  <c r="H9" i="21"/>
  <c r="Z9" i="21" s="1"/>
  <c r="G9" i="21"/>
  <c r="E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G9" i="21"/>
  <c r="AF9" i="21"/>
  <c r="AE9" i="21"/>
  <c r="AD9" i="21"/>
  <c r="AC9" i="21"/>
  <c r="AB9" i="21"/>
  <c r="AA9" i="21"/>
  <c r="BP8" i="21"/>
  <c r="AP8" i="21"/>
  <c r="AO8" i="21"/>
  <c r="U8" i="21"/>
  <c r="T8" i="21"/>
  <c r="S8" i="21"/>
  <c r="R8" i="21"/>
  <c r="X8" i="21" s="1"/>
  <c r="Y8" i="21" s="1"/>
  <c r="N8" i="21"/>
  <c r="M8" i="21"/>
  <c r="L8" i="21"/>
  <c r="K8" i="21"/>
  <c r="H8" i="21"/>
  <c r="Z8" i="21" s="1"/>
  <c r="G8" i="21"/>
  <c r="E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G8" i="21"/>
  <c r="AF8" i="21"/>
  <c r="AE8" i="21"/>
  <c r="AD8" i="21"/>
  <c r="AC8" i="21"/>
  <c r="AB8" i="21"/>
  <c r="AA8" i="21"/>
  <c r="BP7" i="21"/>
  <c r="AP7" i="21"/>
  <c r="AO7" i="21"/>
  <c r="U7" i="21"/>
  <c r="T7" i="21"/>
  <c r="S7" i="21"/>
  <c r="R7" i="21"/>
  <c r="N7" i="21"/>
  <c r="M7" i="21"/>
  <c r="L7" i="21"/>
  <c r="K7" i="21"/>
  <c r="H7" i="21"/>
  <c r="Z7" i="21" s="1"/>
  <c r="G7" i="21"/>
  <c r="E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G7" i="21"/>
  <c r="AF7" i="21"/>
  <c r="AE7" i="21"/>
  <c r="AD7" i="21"/>
  <c r="AC7" i="21"/>
  <c r="AB7" i="21"/>
  <c r="AA7" i="21"/>
  <c r="BP6" i="21"/>
  <c r="AP6" i="21"/>
  <c r="AO6" i="21"/>
  <c r="U6" i="21"/>
  <c r="T6" i="21"/>
  <c r="S6" i="21"/>
  <c r="R6" i="21"/>
  <c r="N6" i="21"/>
  <c r="M6" i="21"/>
  <c r="L6" i="21"/>
  <c r="K6" i="21"/>
  <c r="H6" i="21"/>
  <c r="Z6" i="21" s="1"/>
  <c r="G6" i="21"/>
  <c r="E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G6" i="21"/>
  <c r="AF6" i="21"/>
  <c r="AE6" i="21"/>
  <c r="AD6" i="21"/>
  <c r="AC6" i="21"/>
  <c r="AB6" i="21"/>
  <c r="AA6" i="21"/>
  <c r="BP5" i="21"/>
  <c r="AP5" i="21"/>
  <c r="AO5" i="21"/>
  <c r="U5" i="21"/>
  <c r="T5" i="21"/>
  <c r="S5" i="21"/>
  <c r="R5" i="21"/>
  <c r="N5" i="21"/>
  <c r="M5" i="21"/>
  <c r="L5" i="21"/>
  <c r="K5" i="21"/>
  <c r="H5" i="21"/>
  <c r="Z5" i="21" s="1"/>
  <c r="G5" i="21"/>
  <c r="E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G5" i="21"/>
  <c r="AF5" i="21"/>
  <c r="AE5" i="21"/>
  <c r="AD5" i="21"/>
  <c r="AC5" i="21"/>
  <c r="AB5" i="21"/>
  <c r="AA5" i="21"/>
  <c r="BP4" i="21"/>
  <c r="AP4" i="21"/>
  <c r="AO4" i="21"/>
  <c r="U4" i="21"/>
  <c r="T4" i="21"/>
  <c r="S4" i="21"/>
  <c r="R4" i="21"/>
  <c r="N4" i="21"/>
  <c r="M4" i="21"/>
  <c r="L4" i="21"/>
  <c r="K4" i="21"/>
  <c r="H4" i="21"/>
  <c r="Z4" i="21" s="1"/>
  <c r="G4" i="21"/>
  <c r="E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G4" i="21"/>
  <c r="AF4" i="21"/>
  <c r="AE4" i="21"/>
  <c r="AD4" i="21"/>
  <c r="AC4" i="21"/>
  <c r="AB4" i="21"/>
  <c r="AA4" i="21"/>
  <c r="BP3" i="21"/>
  <c r="AP3" i="21"/>
  <c r="AO3" i="21"/>
  <c r="U3" i="21"/>
  <c r="T3" i="21"/>
  <c r="S3" i="21"/>
  <c r="R3" i="21"/>
  <c r="N3" i="21"/>
  <c r="M3" i="21"/>
  <c r="L3" i="21"/>
  <c r="K3" i="21"/>
  <c r="H3" i="21"/>
  <c r="Z3" i="21" s="1"/>
  <c r="G3" i="21"/>
  <c r="E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G3" i="21"/>
  <c r="AF3" i="21"/>
  <c r="AE3" i="21"/>
  <c r="AD3" i="21"/>
  <c r="AC3" i="21"/>
  <c r="AB3" i="21"/>
  <c r="AA3" i="2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3" i="11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I3" i="9"/>
  <c r="AR13" i="9"/>
  <c r="AR12" i="9"/>
  <c r="AR11" i="9"/>
  <c r="W14" i="20" l="1"/>
  <c r="X14" i="20" s="1"/>
  <c r="AG6" i="20"/>
  <c r="W19" i="20"/>
  <c r="X19" i="20" s="1"/>
  <c r="W8" i="20"/>
  <c r="X8" i="20" s="1"/>
  <c r="W15" i="20"/>
  <c r="X15" i="20" s="1"/>
  <c r="W22" i="20"/>
  <c r="X22" i="20" s="1"/>
  <c r="AG22" i="20" s="1"/>
  <c r="AH22" i="20" s="1"/>
  <c r="AJ22" i="20" s="1"/>
  <c r="W5" i="20"/>
  <c r="X5" i="20" s="1"/>
  <c r="N7" i="20"/>
  <c r="N20" i="20"/>
  <c r="W18" i="20"/>
  <c r="X18" i="20" s="1"/>
  <c r="N15" i="20"/>
  <c r="N12" i="20"/>
  <c r="W20" i="20"/>
  <c r="X20" i="20" s="1"/>
  <c r="AG11" i="20"/>
  <c r="AH11" i="20" s="1"/>
  <c r="AJ11" i="20" s="1"/>
  <c r="AG4" i="20"/>
  <c r="AH4" i="20" s="1"/>
  <c r="AJ4" i="20" s="1"/>
  <c r="AZ4" i="20" s="1"/>
  <c r="N11" i="20"/>
  <c r="N21" i="20"/>
  <c r="N5" i="20"/>
  <c r="W13" i="20"/>
  <c r="X13" i="20" s="1"/>
  <c r="N16" i="20"/>
  <c r="AG20" i="20"/>
  <c r="AH20" i="20" s="1"/>
  <c r="AJ20" i="20" s="1"/>
  <c r="AG3" i="20"/>
  <c r="W7" i="20"/>
  <c r="X7" i="20" s="1"/>
  <c r="AG7" i="20" s="1"/>
  <c r="AH7" i="20" s="1"/>
  <c r="AJ7" i="20" s="1"/>
  <c r="N8" i="20"/>
  <c r="AG14" i="20"/>
  <c r="N18" i="20"/>
  <c r="N22" i="20"/>
  <c r="N9" i="20"/>
  <c r="N13" i="20"/>
  <c r="W16" i="20"/>
  <c r="X16" i="20" s="1"/>
  <c r="AG16" i="20" s="1"/>
  <c r="AH16" i="20" s="1"/>
  <c r="AJ16" i="20" s="1"/>
  <c r="N19" i="20"/>
  <c r="AH19" i="20" s="1"/>
  <c r="AJ19" i="20" s="1"/>
  <c r="N3" i="20"/>
  <c r="N6" i="20"/>
  <c r="W9" i="20"/>
  <c r="X9" i="20" s="1"/>
  <c r="AG9" i="20" s="1"/>
  <c r="AH9" i="20" s="1"/>
  <c r="AJ9" i="20" s="1"/>
  <c r="N14" i="20"/>
  <c r="W17" i="20"/>
  <c r="X17" i="20" s="1"/>
  <c r="AG17" i="20" s="1"/>
  <c r="AH17" i="20" s="1"/>
  <c r="AJ17" i="20" s="1"/>
  <c r="AG19" i="20"/>
  <c r="N10" i="20"/>
  <c r="AG15" i="20"/>
  <c r="AH15" i="20" s="1"/>
  <c r="AJ15" i="20" s="1"/>
  <c r="AG21" i="20"/>
  <c r="AH21" i="20" s="1"/>
  <c r="AJ21" i="20" s="1"/>
  <c r="AG8" i="20"/>
  <c r="AH8" i="20" s="1"/>
  <c r="AJ8" i="20" s="1"/>
  <c r="AG12" i="20"/>
  <c r="AG18" i="20"/>
  <c r="AG5" i="20"/>
  <c r="AG13" i="20"/>
  <c r="AH6" i="20"/>
  <c r="AJ6" i="20" s="1"/>
  <c r="AG10" i="20"/>
  <c r="X4" i="21"/>
  <c r="Y4" i="21" s="1"/>
  <c r="X13" i="21"/>
  <c r="Y13" i="21" s="1"/>
  <c r="O35" i="21"/>
  <c r="X36" i="21"/>
  <c r="O37" i="21"/>
  <c r="X38" i="21"/>
  <c r="O39" i="21"/>
  <c r="X40" i="21"/>
  <c r="O41" i="21"/>
  <c r="X42" i="21"/>
  <c r="O43" i="21"/>
  <c r="X44" i="21"/>
  <c r="X25" i="21"/>
  <c r="X27" i="21"/>
  <c r="X20" i="21"/>
  <c r="Y20" i="21" s="1"/>
  <c r="AH20" i="21" s="1"/>
  <c r="O17" i="21"/>
  <c r="O20" i="21"/>
  <c r="X11" i="21"/>
  <c r="Y11" i="21" s="1"/>
  <c r="AH11" i="21" s="1"/>
  <c r="X29" i="21"/>
  <c r="X15" i="21"/>
  <c r="Y15" i="21" s="1"/>
  <c r="X35" i="21"/>
  <c r="AH35" i="21" s="1"/>
  <c r="AI35" i="21" s="1"/>
  <c r="X17" i="21"/>
  <c r="Y17" i="21" s="1"/>
  <c r="AH17" i="21" s="1"/>
  <c r="O27" i="21"/>
  <c r="X18" i="21"/>
  <c r="Y18" i="21" s="1"/>
  <c r="AH18" i="21" s="1"/>
  <c r="O22" i="21"/>
  <c r="O29" i="21"/>
  <c r="AH29" i="21" s="1"/>
  <c r="AI29" i="21" s="1"/>
  <c r="X19" i="21"/>
  <c r="Y19" i="21" s="1"/>
  <c r="X31" i="21"/>
  <c r="X33" i="21"/>
  <c r="O18" i="21"/>
  <c r="X21" i="21"/>
  <c r="Y21" i="21" s="1"/>
  <c r="AH21" i="21" s="1"/>
  <c r="O26" i="21"/>
  <c r="AH26" i="21" s="1"/>
  <c r="AI26" i="21" s="1"/>
  <c r="AJ26" i="21" s="1"/>
  <c r="AM26" i="21" s="1"/>
  <c r="BL26" i="21" s="1"/>
  <c r="O34" i="21"/>
  <c r="AH34" i="21" s="1"/>
  <c r="AI34" i="21" s="1"/>
  <c r="X22" i="21"/>
  <c r="Y22" i="21" s="1"/>
  <c r="AH22" i="21" s="1"/>
  <c r="O31" i="21"/>
  <c r="O36" i="21"/>
  <c r="AH36" i="21" s="1"/>
  <c r="AI36" i="21" s="1"/>
  <c r="X37" i="21"/>
  <c r="AH37" i="21" s="1"/>
  <c r="AI37" i="21" s="1"/>
  <c r="AJ37" i="21" s="1"/>
  <c r="AM37" i="21" s="1"/>
  <c r="BL37" i="21" s="1"/>
  <c r="O38" i="21"/>
  <c r="AH38" i="21" s="1"/>
  <c r="AI38" i="21" s="1"/>
  <c r="X39" i="21"/>
  <c r="AH39" i="21" s="1"/>
  <c r="AI39" i="21" s="1"/>
  <c r="AJ39" i="21" s="1"/>
  <c r="AM39" i="21" s="1"/>
  <c r="BL39" i="21" s="1"/>
  <c r="O40" i="21"/>
  <c r="AH40" i="21" s="1"/>
  <c r="AI40" i="21" s="1"/>
  <c r="X41" i="21"/>
  <c r="AH41" i="21" s="1"/>
  <c r="AI41" i="21" s="1"/>
  <c r="AJ41" i="21" s="1"/>
  <c r="AM41" i="21" s="1"/>
  <c r="BL41" i="21" s="1"/>
  <c r="O42" i="21"/>
  <c r="AH42" i="21" s="1"/>
  <c r="AI42" i="21" s="1"/>
  <c r="X43" i="21"/>
  <c r="AH43" i="21" s="1"/>
  <c r="AI43" i="21" s="1"/>
  <c r="AJ43" i="21" s="1"/>
  <c r="AM43" i="21" s="1"/>
  <c r="BL43" i="21" s="1"/>
  <c r="O44" i="21"/>
  <c r="AH44" i="21" s="1"/>
  <c r="AI44" i="21" s="1"/>
  <c r="X12" i="21"/>
  <c r="Y12" i="21" s="1"/>
  <c r="AH12" i="21" s="1"/>
  <c r="O13" i="21"/>
  <c r="O21" i="21"/>
  <c r="O28" i="21"/>
  <c r="AH28" i="21" s="1"/>
  <c r="AI28" i="21" s="1"/>
  <c r="O25" i="21"/>
  <c r="O33" i="21"/>
  <c r="X7" i="21"/>
  <c r="Y7" i="21" s="1"/>
  <c r="AH7" i="21" s="1"/>
  <c r="O30" i="21"/>
  <c r="AH30" i="21" s="1"/>
  <c r="AI30" i="21" s="1"/>
  <c r="O5" i="21"/>
  <c r="X14" i="21"/>
  <c r="Y14" i="21" s="1"/>
  <c r="AH14" i="21" s="1"/>
  <c r="O32" i="21"/>
  <c r="AH32" i="21" s="1"/>
  <c r="AI32" i="21" s="1"/>
  <c r="AL43" i="21"/>
  <c r="BK43" i="21" s="1"/>
  <c r="X3" i="21"/>
  <c r="Y3" i="21" s="1"/>
  <c r="AH3" i="21" s="1"/>
  <c r="X9" i="21"/>
  <c r="Y9" i="21" s="1"/>
  <c r="AH9" i="21" s="1"/>
  <c r="O10" i="21"/>
  <c r="O12" i="21"/>
  <c r="O14" i="21"/>
  <c r="X16" i="21"/>
  <c r="Y16" i="21" s="1"/>
  <c r="AH16" i="21" s="1"/>
  <c r="O19" i="21"/>
  <c r="AH8" i="21"/>
  <c r="O15" i="21"/>
  <c r="X10" i="21"/>
  <c r="Y10" i="21" s="1"/>
  <c r="AH10" i="21" s="1"/>
  <c r="AJ10" i="21" s="1"/>
  <c r="AN10" i="21" s="1"/>
  <c r="O16" i="21"/>
  <c r="O7" i="21"/>
  <c r="O11" i="21"/>
  <c r="O3" i="21"/>
  <c r="O9" i="21"/>
  <c r="O8" i="21"/>
  <c r="X5" i="21"/>
  <c r="Y5" i="21" s="1"/>
  <c r="AH5" i="21" s="1"/>
  <c r="O6" i="21"/>
  <c r="O4" i="21"/>
  <c r="X6" i="21"/>
  <c r="Y6" i="21" s="1"/>
  <c r="AH6" i="21" s="1"/>
  <c r="AH13" i="21"/>
  <c r="AH4" i="21"/>
  <c r="AH19" i="21"/>
  <c r="AH15" i="2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M19" i="5" s="1"/>
  <c r="O19" i="5" s="1"/>
  <c r="K19" i="5"/>
  <c r="J19" i="5"/>
  <c r="I19" i="5"/>
  <c r="L18" i="5"/>
  <c r="M18" i="5" s="1"/>
  <c r="O18" i="5" s="1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M14" i="5" s="1"/>
  <c r="O14" i="5" s="1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M10" i="5" s="1"/>
  <c r="O10" i="5" s="1"/>
  <c r="K10" i="5"/>
  <c r="J10" i="5"/>
  <c r="I10" i="5"/>
  <c r="L9" i="5"/>
  <c r="K9" i="5"/>
  <c r="J9" i="5"/>
  <c r="I9" i="5"/>
  <c r="M9" i="5" s="1"/>
  <c r="O9" i="5" s="1"/>
  <c r="L8" i="5"/>
  <c r="K8" i="5"/>
  <c r="J8" i="5"/>
  <c r="I8" i="5"/>
  <c r="L7" i="5"/>
  <c r="K7" i="5"/>
  <c r="J7" i="5"/>
  <c r="I7" i="5"/>
  <c r="L6" i="5"/>
  <c r="M6" i="5" s="1"/>
  <c r="O6" i="5" s="1"/>
  <c r="K6" i="5"/>
  <c r="J6" i="5"/>
  <c r="I6" i="5"/>
  <c r="L5" i="5"/>
  <c r="K5" i="5"/>
  <c r="J5" i="5"/>
  <c r="I5" i="5"/>
  <c r="M5" i="5" s="1"/>
  <c r="O5" i="5" s="1"/>
  <c r="L4" i="5"/>
  <c r="K4" i="5"/>
  <c r="J4" i="5"/>
  <c r="I4" i="5"/>
  <c r="L3" i="5"/>
  <c r="M3" i="5" s="1"/>
  <c r="O3" i="5" s="1"/>
  <c r="K3" i="5"/>
  <c r="J3" i="5"/>
  <c r="I3" i="5"/>
  <c r="C3" i="9"/>
  <c r="E3" i="9"/>
  <c r="F3" i="9"/>
  <c r="K3" i="9"/>
  <c r="L3" i="9"/>
  <c r="M3" i="9"/>
  <c r="N3" i="9"/>
  <c r="R3" i="9"/>
  <c r="V3" i="9" s="1"/>
  <c r="S3" i="9"/>
  <c r="T3" i="9"/>
  <c r="X3" i="9"/>
  <c r="Y3" i="9"/>
  <c r="AB3" i="9"/>
  <c r="C4" i="9"/>
  <c r="E4" i="9"/>
  <c r="F4" i="9"/>
  <c r="T4" i="9" s="1"/>
  <c r="Z4" i="9" s="1"/>
  <c r="K4" i="9"/>
  <c r="L4" i="9"/>
  <c r="M4" i="9"/>
  <c r="N4" i="9"/>
  <c r="R4" i="9"/>
  <c r="V4" i="9" s="1"/>
  <c r="S4" i="9"/>
  <c r="Y4" i="9"/>
  <c r="AB4" i="9"/>
  <c r="AC4" i="9" s="1"/>
  <c r="C5" i="9"/>
  <c r="E5" i="9"/>
  <c r="F5" i="9"/>
  <c r="K5" i="9"/>
  <c r="L5" i="9"/>
  <c r="M5" i="9"/>
  <c r="N5" i="9"/>
  <c r="R5" i="9"/>
  <c r="V5" i="9" s="1"/>
  <c r="S5" i="9"/>
  <c r="T5" i="9"/>
  <c r="AB5" i="9"/>
  <c r="C6" i="9"/>
  <c r="E6" i="9"/>
  <c r="F6" i="9"/>
  <c r="K6" i="9"/>
  <c r="L6" i="9"/>
  <c r="M6" i="9"/>
  <c r="N6" i="9"/>
  <c r="R6" i="9"/>
  <c r="V6" i="9" s="1"/>
  <c r="S6" i="9"/>
  <c r="T6" i="9"/>
  <c r="AB6" i="9"/>
  <c r="AC6" i="9" s="1"/>
  <c r="C7" i="9"/>
  <c r="E7" i="9"/>
  <c r="F7" i="9"/>
  <c r="K7" i="9"/>
  <c r="L7" i="9"/>
  <c r="M7" i="9"/>
  <c r="N7" i="9"/>
  <c r="R7" i="9"/>
  <c r="W7" i="9" s="1"/>
  <c r="S7" i="9"/>
  <c r="T7" i="9"/>
  <c r="Z7" i="9" s="1"/>
  <c r="U7" i="9"/>
  <c r="AB7" i="9"/>
  <c r="C8" i="9"/>
  <c r="E8" i="9"/>
  <c r="F8" i="9"/>
  <c r="T8" i="9" s="1"/>
  <c r="K8" i="9"/>
  <c r="Q8" i="9" s="1"/>
  <c r="U8" i="9" s="1"/>
  <c r="L8" i="9"/>
  <c r="M8" i="9"/>
  <c r="N8" i="9"/>
  <c r="R8" i="9"/>
  <c r="Y8" i="9" s="1"/>
  <c r="S8" i="9"/>
  <c r="V8" i="9"/>
  <c r="W8" i="9"/>
  <c r="X8" i="9"/>
  <c r="AB8" i="9"/>
  <c r="AC8" i="9" s="1"/>
  <c r="AD8" i="9" s="1"/>
  <c r="AE8" i="9" s="1"/>
  <c r="AF8" i="9" s="1"/>
  <c r="C9" i="9"/>
  <c r="E9" i="9"/>
  <c r="F9" i="9"/>
  <c r="K9" i="9"/>
  <c r="Q9" i="9" s="1"/>
  <c r="U9" i="9" s="1"/>
  <c r="L9" i="9"/>
  <c r="M9" i="9"/>
  <c r="N9" i="9"/>
  <c r="R9" i="9"/>
  <c r="S9" i="9"/>
  <c r="T9" i="9"/>
  <c r="V9" i="9"/>
  <c r="AC9" i="9" s="1"/>
  <c r="AD9" i="9" s="1"/>
  <c r="AE9" i="9" s="1"/>
  <c r="AF9" i="9" s="1"/>
  <c r="W9" i="9"/>
  <c r="X9" i="9"/>
  <c r="Y9" i="9"/>
  <c r="AB9" i="9"/>
  <c r="C10" i="9"/>
  <c r="E10" i="9"/>
  <c r="F10" i="9"/>
  <c r="T10" i="9" s="1"/>
  <c r="K10" i="9"/>
  <c r="L10" i="9"/>
  <c r="M10" i="9"/>
  <c r="N10" i="9"/>
  <c r="R10" i="9"/>
  <c r="S10" i="9"/>
  <c r="V10" i="9"/>
  <c r="W10" i="9"/>
  <c r="X10" i="9"/>
  <c r="Y10" i="9"/>
  <c r="AB10" i="9"/>
  <c r="AC10" i="9" s="1"/>
  <c r="AD10" i="9" s="1"/>
  <c r="AE10" i="9" s="1"/>
  <c r="AF10" i="9" s="1"/>
  <c r="C11" i="9"/>
  <c r="E11" i="9"/>
  <c r="F11" i="9"/>
  <c r="K11" i="9"/>
  <c r="L11" i="9"/>
  <c r="M11" i="9"/>
  <c r="N11" i="9"/>
  <c r="R11" i="9"/>
  <c r="W11" i="9" s="1"/>
  <c r="S11" i="9"/>
  <c r="T11" i="9"/>
  <c r="V11" i="9"/>
  <c r="X11" i="9"/>
  <c r="Y11" i="9"/>
  <c r="AB11" i="9"/>
  <c r="AC11" i="9" s="1"/>
  <c r="C12" i="9"/>
  <c r="E12" i="9"/>
  <c r="F12" i="9"/>
  <c r="K12" i="9"/>
  <c r="L12" i="9"/>
  <c r="M12" i="9"/>
  <c r="N12" i="9"/>
  <c r="R12" i="9"/>
  <c r="V12" i="9" s="1"/>
  <c r="S12" i="9"/>
  <c r="T12" i="9"/>
  <c r="AB12" i="9"/>
  <c r="C13" i="9"/>
  <c r="E13" i="9"/>
  <c r="F13" i="9"/>
  <c r="K13" i="9"/>
  <c r="L13" i="9"/>
  <c r="M13" i="9"/>
  <c r="N13" i="9"/>
  <c r="R13" i="9"/>
  <c r="V13" i="9" s="1"/>
  <c r="S13" i="9"/>
  <c r="T13" i="9"/>
  <c r="AB13" i="9"/>
  <c r="AC13" i="9" s="1"/>
  <c r="C14" i="9"/>
  <c r="E14" i="9"/>
  <c r="F14" i="9"/>
  <c r="K14" i="9"/>
  <c r="L14" i="9"/>
  <c r="M14" i="9"/>
  <c r="N14" i="9"/>
  <c r="R14" i="9"/>
  <c r="V14" i="9" s="1"/>
  <c r="AC14" i="9" s="1"/>
  <c r="S14" i="9"/>
  <c r="T14" i="9"/>
  <c r="Y14" i="9"/>
  <c r="AB14" i="9"/>
  <c r="C15" i="9"/>
  <c r="E15" i="9"/>
  <c r="F15" i="9"/>
  <c r="T15" i="9" s="1"/>
  <c r="K15" i="9"/>
  <c r="L15" i="9"/>
  <c r="M15" i="9"/>
  <c r="N15" i="9"/>
  <c r="R15" i="9"/>
  <c r="W15" i="9" s="1"/>
  <c r="S15" i="9"/>
  <c r="AB15" i="9"/>
  <c r="C16" i="9"/>
  <c r="E16" i="9"/>
  <c r="F16" i="9"/>
  <c r="T16" i="9" s="1"/>
  <c r="K16" i="9"/>
  <c r="L16" i="9"/>
  <c r="M16" i="9"/>
  <c r="N16" i="9"/>
  <c r="R16" i="9"/>
  <c r="Y16" i="9" s="1"/>
  <c r="S16" i="9"/>
  <c r="V16" i="9"/>
  <c r="W16" i="9"/>
  <c r="X16" i="9"/>
  <c r="AB16" i="9"/>
  <c r="AC16" i="9" s="1"/>
  <c r="AD16" i="9" s="1"/>
  <c r="AE16" i="9" s="1"/>
  <c r="AF16" i="9" s="1"/>
  <c r="C17" i="9"/>
  <c r="E17" i="9"/>
  <c r="F17" i="9"/>
  <c r="K17" i="9"/>
  <c r="L17" i="9"/>
  <c r="M17" i="9"/>
  <c r="N17" i="9"/>
  <c r="R17" i="9"/>
  <c r="S17" i="9"/>
  <c r="T17" i="9"/>
  <c r="V17" i="9"/>
  <c r="AC17" i="9" s="1"/>
  <c r="AD17" i="9" s="1"/>
  <c r="AE17" i="9" s="1"/>
  <c r="AF17" i="9" s="1"/>
  <c r="W17" i="9"/>
  <c r="X17" i="9"/>
  <c r="Y17" i="9"/>
  <c r="AB17" i="9"/>
  <c r="C18" i="9"/>
  <c r="E18" i="9"/>
  <c r="F18" i="9"/>
  <c r="T18" i="9" s="1"/>
  <c r="K18" i="9"/>
  <c r="L18" i="9"/>
  <c r="M18" i="9"/>
  <c r="Q18" i="9" s="1"/>
  <c r="U18" i="9" s="1"/>
  <c r="N18" i="9"/>
  <c r="R18" i="9"/>
  <c r="S18" i="9"/>
  <c r="V18" i="9"/>
  <c r="W18" i="9"/>
  <c r="X18" i="9"/>
  <c r="Y18" i="9"/>
  <c r="AB18" i="9"/>
  <c r="AC18" i="9" s="1"/>
  <c r="AD18" i="9" s="1"/>
  <c r="AE18" i="9" s="1"/>
  <c r="AF18" i="9" s="1"/>
  <c r="C19" i="9"/>
  <c r="E19" i="9"/>
  <c r="F19" i="9"/>
  <c r="K19" i="9"/>
  <c r="L19" i="9"/>
  <c r="M19" i="9"/>
  <c r="N19" i="9"/>
  <c r="R19" i="9"/>
  <c r="V19" i="9" s="1"/>
  <c r="S19" i="9"/>
  <c r="T19" i="9"/>
  <c r="X19" i="9"/>
  <c r="Y19" i="9"/>
  <c r="AB19" i="9"/>
  <c r="C20" i="9"/>
  <c r="E20" i="9"/>
  <c r="F20" i="9"/>
  <c r="K20" i="9"/>
  <c r="L20" i="9"/>
  <c r="M20" i="9"/>
  <c r="N20" i="9"/>
  <c r="R20" i="9"/>
  <c r="Y20" i="9" s="1"/>
  <c r="S20" i="9"/>
  <c r="T20" i="9"/>
  <c r="AB20" i="9"/>
  <c r="C21" i="9"/>
  <c r="E21" i="9"/>
  <c r="F21" i="9"/>
  <c r="K21" i="9"/>
  <c r="L21" i="9"/>
  <c r="M21" i="9"/>
  <c r="N21" i="9"/>
  <c r="R21" i="9"/>
  <c r="V21" i="9" s="1"/>
  <c r="S21" i="9"/>
  <c r="T21" i="9"/>
  <c r="AB21" i="9"/>
  <c r="C22" i="9"/>
  <c r="E22" i="9"/>
  <c r="F22" i="9"/>
  <c r="K22" i="9"/>
  <c r="L22" i="9"/>
  <c r="M22" i="9"/>
  <c r="N22" i="9"/>
  <c r="R22" i="9"/>
  <c r="V22" i="9" s="1"/>
  <c r="AC22" i="9" s="1"/>
  <c r="S22" i="9"/>
  <c r="T22" i="9"/>
  <c r="Y22" i="9"/>
  <c r="AB22" i="9"/>
  <c r="Q21" i="9"/>
  <c r="U21" i="9" s="1"/>
  <c r="Z21" i="9" s="1"/>
  <c r="Q20" i="9"/>
  <c r="U20" i="9" s="1"/>
  <c r="Z20" i="9" s="1"/>
  <c r="Q19" i="9"/>
  <c r="U19" i="9" s="1"/>
  <c r="Z19" i="9" s="1"/>
  <c r="Q17" i="9"/>
  <c r="U17" i="9" s="1"/>
  <c r="Q16" i="9"/>
  <c r="U16" i="9" s="1"/>
  <c r="Q15" i="9"/>
  <c r="U15" i="9" s="1"/>
  <c r="Q13" i="9"/>
  <c r="U13" i="9" s="1"/>
  <c r="Z13" i="9" s="1"/>
  <c r="Q12" i="9"/>
  <c r="U12" i="9" s="1"/>
  <c r="Z12" i="9" s="1"/>
  <c r="Q11" i="9"/>
  <c r="U11" i="9" s="1"/>
  <c r="Z11" i="9" s="1"/>
  <c r="Q10" i="9"/>
  <c r="U10" i="9" s="1"/>
  <c r="Q7" i="9"/>
  <c r="Q5" i="9"/>
  <c r="U5" i="9" s="1"/>
  <c r="Z5" i="9" s="1"/>
  <c r="Q4" i="9"/>
  <c r="U4" i="9" s="1"/>
  <c r="Q3" i="9"/>
  <c r="U3" i="9" s="1"/>
  <c r="Z3" i="9" s="1"/>
  <c r="Q6" i="9"/>
  <c r="U6" i="9" s="1"/>
  <c r="Q14" i="9"/>
  <c r="U14" i="9" s="1"/>
  <c r="Q22" i="9"/>
  <c r="U22" i="9" s="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3" i="11"/>
  <c r="AR8" i="10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S22" i="11"/>
  <c r="R22" i="11"/>
  <c r="Q22" i="11"/>
  <c r="P22" i="11"/>
  <c r="S21" i="11"/>
  <c r="R21" i="11"/>
  <c r="Q21" i="11"/>
  <c r="P21" i="11"/>
  <c r="S20" i="11"/>
  <c r="R20" i="11"/>
  <c r="Q20" i="11"/>
  <c r="P20" i="11"/>
  <c r="S19" i="11"/>
  <c r="R19" i="11"/>
  <c r="Q19" i="11"/>
  <c r="P19" i="11"/>
  <c r="S18" i="11"/>
  <c r="R18" i="11"/>
  <c r="Q18" i="11"/>
  <c r="P18" i="11"/>
  <c r="S17" i="11"/>
  <c r="R17" i="11"/>
  <c r="Q17" i="11"/>
  <c r="P17" i="11"/>
  <c r="S16" i="11"/>
  <c r="R16" i="11"/>
  <c r="Q16" i="11"/>
  <c r="P16" i="11"/>
  <c r="S15" i="11"/>
  <c r="R15" i="11"/>
  <c r="Q15" i="11"/>
  <c r="P15" i="11"/>
  <c r="S14" i="11"/>
  <c r="R14" i="11"/>
  <c r="Q14" i="11"/>
  <c r="P14" i="11"/>
  <c r="S13" i="11"/>
  <c r="R13" i="11"/>
  <c r="Q13" i="11"/>
  <c r="P13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AH13" i="20" l="1"/>
  <c r="AJ13" i="20" s="1"/>
  <c r="AH14" i="20"/>
  <c r="AJ14" i="20" s="1"/>
  <c r="AH3" i="20"/>
  <c r="AJ3" i="20" s="1"/>
  <c r="AY3" i="20" s="1"/>
  <c r="AH18" i="20"/>
  <c r="AJ18" i="20" s="1"/>
  <c r="AH12" i="20"/>
  <c r="AJ12" i="20" s="1"/>
  <c r="AY17" i="20"/>
  <c r="AZ17" i="20"/>
  <c r="AZ7" i="20"/>
  <c r="AY7" i="20"/>
  <c r="AH10" i="20"/>
  <c r="AJ10" i="20" s="1"/>
  <c r="AZ10" i="20" s="1"/>
  <c r="AH5" i="20"/>
  <c r="AJ5" i="20" s="1"/>
  <c r="AY4" i="20"/>
  <c r="BA4" i="20" s="1"/>
  <c r="BB4" i="20" s="1"/>
  <c r="BC4" i="20" s="1"/>
  <c r="AZ21" i="20"/>
  <c r="AY21" i="20"/>
  <c r="AZ8" i="20"/>
  <c r="AY8" i="20"/>
  <c r="BA8" i="20" s="1"/>
  <c r="BB8" i="20" s="1"/>
  <c r="BC8" i="20" s="1"/>
  <c r="AY10" i="20"/>
  <c r="AZ5" i="20"/>
  <c r="AY5" i="20"/>
  <c r="AZ12" i="20"/>
  <c r="AY12" i="20"/>
  <c r="AZ13" i="20"/>
  <c r="AY13" i="20"/>
  <c r="BA13" i="20" s="1"/>
  <c r="BB13" i="20" s="1"/>
  <c r="BC13" i="20" s="1"/>
  <c r="AZ18" i="20"/>
  <c r="AY18" i="20"/>
  <c r="AZ16" i="20"/>
  <c r="AY16" i="20"/>
  <c r="BA16" i="20" s="1"/>
  <c r="BB16" i="20" s="1"/>
  <c r="BC16" i="20" s="1"/>
  <c r="AZ22" i="20"/>
  <c r="AY22" i="20"/>
  <c r="AY20" i="20"/>
  <c r="AZ20" i="20"/>
  <c r="AY6" i="20"/>
  <c r="AZ6" i="20"/>
  <c r="AZ19" i="20"/>
  <c r="AY19" i="20"/>
  <c r="BA19" i="20" s="1"/>
  <c r="BB19" i="20" s="1"/>
  <c r="BC19" i="20" s="1"/>
  <c r="AY14" i="20"/>
  <c r="AZ14" i="20"/>
  <c r="AZ11" i="20"/>
  <c r="AY11" i="20"/>
  <c r="AY15" i="20"/>
  <c r="AZ15" i="20"/>
  <c r="AY9" i="20"/>
  <c r="AZ9" i="20"/>
  <c r="AH27" i="21"/>
  <c r="AI27" i="21" s="1"/>
  <c r="AJ21" i="21"/>
  <c r="AN21" i="21" s="1"/>
  <c r="AJ17" i="21"/>
  <c r="AN17" i="21" s="1"/>
  <c r="AL39" i="21"/>
  <c r="BK39" i="21" s="1"/>
  <c r="AJ22" i="21"/>
  <c r="AN22" i="21" s="1"/>
  <c r="AH25" i="21"/>
  <c r="AI25" i="21" s="1"/>
  <c r="AJ25" i="21" s="1"/>
  <c r="AM25" i="21" s="1"/>
  <c r="BL25" i="21" s="1"/>
  <c r="AJ18" i="21"/>
  <c r="AN18" i="21" s="1"/>
  <c r="AH31" i="21"/>
  <c r="AI31" i="21" s="1"/>
  <c r="AJ6" i="21"/>
  <c r="AN6" i="21" s="1"/>
  <c r="BL6" i="21" s="1"/>
  <c r="AJ20" i="21"/>
  <c r="AN20" i="21" s="1"/>
  <c r="BL20" i="21" s="1"/>
  <c r="AJ15" i="21"/>
  <c r="AN15" i="21" s="1"/>
  <c r="BL15" i="21" s="1"/>
  <c r="AJ12" i="21"/>
  <c r="AN12" i="21" s="1"/>
  <c r="BK12" i="21" s="1"/>
  <c r="AH33" i="21"/>
  <c r="AI33" i="21" s="1"/>
  <c r="AJ16" i="21"/>
  <c r="AN16" i="21" s="1"/>
  <c r="BL16" i="21" s="1"/>
  <c r="AJ5" i="21"/>
  <c r="AN5" i="21" s="1"/>
  <c r="AJ13" i="21"/>
  <c r="AN13" i="21" s="1"/>
  <c r="BK13" i="21" s="1"/>
  <c r="AJ8" i="21"/>
  <c r="AN8" i="21" s="1"/>
  <c r="BL8" i="21" s="1"/>
  <c r="AJ9" i="21"/>
  <c r="AN9" i="21" s="1"/>
  <c r="BL9" i="21" s="1"/>
  <c r="AJ3" i="21"/>
  <c r="AN3" i="21" s="1"/>
  <c r="BL3" i="21" s="1"/>
  <c r="AJ14" i="21"/>
  <c r="AN14" i="21" s="1"/>
  <c r="BL14" i="21" s="1"/>
  <c r="AL34" i="21"/>
  <c r="BK34" i="21" s="1"/>
  <c r="AJ34" i="21"/>
  <c r="AM34" i="21" s="1"/>
  <c r="BL34" i="21" s="1"/>
  <c r="BK18" i="21"/>
  <c r="BL18" i="21"/>
  <c r="AJ35" i="21"/>
  <c r="AM35" i="21" s="1"/>
  <c r="BL35" i="21" s="1"/>
  <c r="AL35" i="21"/>
  <c r="BK35" i="21" s="1"/>
  <c r="AJ7" i="21"/>
  <c r="AN7" i="21" s="1"/>
  <c r="BK7" i="21" s="1"/>
  <c r="AL37" i="21"/>
  <c r="BK37" i="21" s="1"/>
  <c r="BM37" i="21" s="1"/>
  <c r="BN37" i="21" s="1"/>
  <c r="BO37" i="21" s="1"/>
  <c r="AL26" i="21"/>
  <c r="BK26" i="21" s="1"/>
  <c r="BM26" i="21" s="1"/>
  <c r="BN26" i="21" s="1"/>
  <c r="BO26" i="21" s="1"/>
  <c r="BM43" i="21"/>
  <c r="BN43" i="21" s="1"/>
  <c r="BO43" i="21" s="1"/>
  <c r="AJ30" i="21"/>
  <c r="AM30" i="21" s="1"/>
  <c r="BL30" i="21" s="1"/>
  <c r="AL30" i="21"/>
  <c r="BK30" i="21" s="1"/>
  <c r="AL32" i="21"/>
  <c r="BK32" i="21" s="1"/>
  <c r="AJ32" i="21"/>
  <c r="AM32" i="21" s="1"/>
  <c r="BL32" i="21" s="1"/>
  <c r="AJ28" i="21"/>
  <c r="AM28" i="21" s="1"/>
  <c r="BL28" i="21" s="1"/>
  <c r="AL28" i="21"/>
  <c r="BK28" i="21" s="1"/>
  <c r="AJ19" i="21"/>
  <c r="AN19" i="21" s="1"/>
  <c r="BL19" i="21" s="1"/>
  <c r="AL41" i="21"/>
  <c r="BK41" i="21" s="1"/>
  <c r="BM41" i="21" s="1"/>
  <c r="BN41" i="21" s="1"/>
  <c r="BO41" i="21" s="1"/>
  <c r="AJ4" i="21"/>
  <c r="AN4" i="21" s="1"/>
  <c r="BK4" i="21" s="1"/>
  <c r="AJ36" i="21"/>
  <c r="AM36" i="21" s="1"/>
  <c r="BL36" i="21" s="1"/>
  <c r="AL36" i="21"/>
  <c r="BK36" i="21" s="1"/>
  <c r="AJ38" i="21"/>
  <c r="AM38" i="21" s="1"/>
  <c r="BL38" i="21" s="1"/>
  <c r="AL38" i="21"/>
  <c r="BK38" i="21" s="1"/>
  <c r="AJ33" i="21"/>
  <c r="AM33" i="21" s="1"/>
  <c r="BL33" i="21" s="1"/>
  <c r="AL33" i="21"/>
  <c r="BK33" i="21" s="1"/>
  <c r="AJ44" i="21"/>
  <c r="AM44" i="21" s="1"/>
  <c r="BL44" i="21" s="1"/>
  <c r="AL44" i="21"/>
  <c r="BK44" i="21" s="1"/>
  <c r="AJ27" i="21"/>
  <c r="AM27" i="21" s="1"/>
  <c r="BL27" i="21" s="1"/>
  <c r="AL27" i="21"/>
  <c r="BK27" i="21" s="1"/>
  <c r="AJ42" i="21"/>
  <c r="AM42" i="21" s="1"/>
  <c r="BL42" i="21" s="1"/>
  <c r="AL42" i="21"/>
  <c r="BK42" i="21" s="1"/>
  <c r="AJ29" i="21"/>
  <c r="AM29" i="21" s="1"/>
  <c r="BL29" i="21" s="1"/>
  <c r="AL29" i="21"/>
  <c r="BK29" i="21" s="1"/>
  <c r="BM39" i="21"/>
  <c r="BN39" i="21" s="1"/>
  <c r="BO39" i="21" s="1"/>
  <c r="AJ31" i="21"/>
  <c r="AM31" i="21" s="1"/>
  <c r="BL31" i="21" s="1"/>
  <c r="AL31" i="21"/>
  <c r="BK31" i="21" s="1"/>
  <c r="AJ40" i="21"/>
  <c r="AM40" i="21" s="1"/>
  <c r="BL40" i="21" s="1"/>
  <c r="AL40" i="21"/>
  <c r="BK40" i="21" s="1"/>
  <c r="AJ11" i="21"/>
  <c r="AN11" i="21" s="1"/>
  <c r="BK15" i="21"/>
  <c r="BL13" i="21"/>
  <c r="BL12" i="21"/>
  <c r="BL10" i="21"/>
  <c r="BK10" i="21"/>
  <c r="BL22" i="21"/>
  <c r="BK22" i="21"/>
  <c r="BL21" i="21"/>
  <c r="BK21" i="21"/>
  <c r="BL5" i="21"/>
  <c r="BK5" i="21"/>
  <c r="BL17" i="21"/>
  <c r="BK17" i="21"/>
  <c r="M8" i="5"/>
  <c r="O8" i="5" s="1"/>
  <c r="M12" i="5"/>
  <c r="O12" i="5" s="1"/>
  <c r="M16" i="5"/>
  <c r="O16" i="5" s="1"/>
  <c r="M20" i="5"/>
  <c r="O20" i="5" s="1"/>
  <c r="M13" i="5"/>
  <c r="O13" i="5" s="1"/>
  <c r="M17" i="5"/>
  <c r="O17" i="5" s="1"/>
  <c r="M21" i="5"/>
  <c r="O21" i="5" s="1"/>
  <c r="M11" i="5"/>
  <c r="O11" i="5" s="1"/>
  <c r="M22" i="5"/>
  <c r="O22" i="5" s="1"/>
  <c r="M7" i="5"/>
  <c r="O7" i="5" s="1"/>
  <c r="M15" i="5"/>
  <c r="O15" i="5" s="1"/>
  <c r="M4" i="5"/>
  <c r="O4" i="5" s="1"/>
  <c r="Z18" i="9"/>
  <c r="AG18" i="9" s="1"/>
  <c r="AH18" i="9" s="1"/>
  <c r="Z17" i="9"/>
  <c r="AG17" i="9" s="1"/>
  <c r="AH17" i="9" s="1"/>
  <c r="Z16" i="9"/>
  <c r="AG16" i="9" s="1"/>
  <c r="AH16" i="9" s="1"/>
  <c r="Z15" i="9"/>
  <c r="Z22" i="9"/>
  <c r="AC19" i="9"/>
  <c r="AC21" i="9"/>
  <c r="AD21" i="9" s="1"/>
  <c r="AE21" i="9" s="1"/>
  <c r="AF21" i="9" s="1"/>
  <c r="AG21" i="9" s="1"/>
  <c r="AH21" i="9" s="1"/>
  <c r="AC12" i="9"/>
  <c r="Z8" i="9"/>
  <c r="AG8" i="9" s="1"/>
  <c r="AH8" i="9" s="1"/>
  <c r="Z6" i="9"/>
  <c r="AC3" i="9"/>
  <c r="AG10" i="9"/>
  <c r="AH10" i="9" s="1"/>
  <c r="AC5" i="9"/>
  <c r="AD5" i="9" s="1"/>
  <c r="AE5" i="9" s="1"/>
  <c r="AF5" i="9" s="1"/>
  <c r="AG5" i="9" s="1"/>
  <c r="AH5" i="9" s="1"/>
  <c r="Z14" i="9"/>
  <c r="AD11" i="9"/>
  <c r="AE11" i="9" s="1"/>
  <c r="AF11" i="9" s="1"/>
  <c r="AG11" i="9" s="1"/>
  <c r="AH11" i="9" s="1"/>
  <c r="AC20" i="9"/>
  <c r="AD20" i="9" s="1"/>
  <c r="AE20" i="9" s="1"/>
  <c r="AF20" i="9" s="1"/>
  <c r="AG20" i="9" s="1"/>
  <c r="AH20" i="9" s="1"/>
  <c r="Z10" i="9"/>
  <c r="Z9" i="9"/>
  <c r="AG9" i="9" s="1"/>
  <c r="AH9" i="9" s="1"/>
  <c r="Y12" i="9"/>
  <c r="V15" i="9"/>
  <c r="AC15" i="9" s="1"/>
  <c r="AD15" i="9" s="1"/>
  <c r="AE15" i="9" s="1"/>
  <c r="AF15" i="9" s="1"/>
  <c r="V7" i="9"/>
  <c r="AC7" i="9" s="1"/>
  <c r="AD7" i="9" s="1"/>
  <c r="AE7" i="9" s="1"/>
  <c r="Y21" i="9"/>
  <c r="X20" i="9"/>
  <c r="W19" i="9"/>
  <c r="Y13" i="9"/>
  <c r="X12" i="9"/>
  <c r="Y5" i="9"/>
  <c r="X4" i="9"/>
  <c r="W3" i="9"/>
  <c r="X21" i="9"/>
  <c r="W20" i="9"/>
  <c r="X13" i="9"/>
  <c r="W12" i="9"/>
  <c r="Y6" i="9"/>
  <c r="X5" i="9"/>
  <c r="W4" i="9"/>
  <c r="AD4" i="9" s="1"/>
  <c r="AE4" i="9" s="1"/>
  <c r="AF4" i="9" s="1"/>
  <c r="AG4" i="9" s="1"/>
  <c r="AH4" i="9" s="1"/>
  <c r="X22" i="9"/>
  <c r="W21" i="9"/>
  <c r="V20" i="9"/>
  <c r="Y15" i="9"/>
  <c r="X14" i="9"/>
  <c r="W13" i="9"/>
  <c r="AD13" i="9" s="1"/>
  <c r="AE13" i="9" s="1"/>
  <c r="AF13" i="9" s="1"/>
  <c r="AG13" i="9" s="1"/>
  <c r="AH13" i="9" s="1"/>
  <c r="Y7" i="9"/>
  <c r="X6" i="9"/>
  <c r="W5" i="9"/>
  <c r="W22" i="9"/>
  <c r="AD22" i="9" s="1"/>
  <c r="AE22" i="9" s="1"/>
  <c r="AF22" i="9" s="1"/>
  <c r="X15" i="9"/>
  <c r="W14" i="9"/>
  <c r="AD14" i="9" s="1"/>
  <c r="AE14" i="9" s="1"/>
  <c r="AF14" i="9" s="1"/>
  <c r="X7" i="9"/>
  <c r="W6" i="9"/>
  <c r="AD6" i="9" s="1"/>
  <c r="AE6" i="9" s="1"/>
  <c r="AF6" i="9" s="1"/>
  <c r="AG6" i="9" s="1"/>
  <c r="AH6" i="9" s="1"/>
  <c r="M3" i="11"/>
  <c r="M15" i="11"/>
  <c r="M7" i="11"/>
  <c r="M19" i="11"/>
  <c r="M11" i="11"/>
  <c r="M17" i="11"/>
  <c r="M9" i="11"/>
  <c r="M6" i="11"/>
  <c r="M21" i="11"/>
  <c r="M13" i="11"/>
  <c r="M5" i="11"/>
  <c r="M20" i="11"/>
  <c r="M12" i="11"/>
  <c r="M4" i="11"/>
  <c r="M18" i="11"/>
  <c r="W18" i="11" s="1"/>
  <c r="M10" i="11"/>
  <c r="M22" i="11"/>
  <c r="M14" i="11"/>
  <c r="M16" i="11"/>
  <c r="M8" i="11"/>
  <c r="W16" i="11"/>
  <c r="W3" i="11"/>
  <c r="W7" i="11"/>
  <c r="W6" i="11"/>
  <c r="W8" i="11"/>
  <c r="W10" i="11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3" i="19"/>
  <c r="I22" i="19"/>
  <c r="F22" i="19"/>
  <c r="J22" i="19" s="1"/>
  <c r="I21" i="19"/>
  <c r="F21" i="19"/>
  <c r="J21" i="19" s="1"/>
  <c r="I20" i="19"/>
  <c r="F20" i="19"/>
  <c r="H20" i="19" s="1"/>
  <c r="K20" i="19" s="1"/>
  <c r="L20" i="19" s="1"/>
  <c r="I19" i="19"/>
  <c r="F19" i="19"/>
  <c r="J19" i="19" s="1"/>
  <c r="I18" i="19"/>
  <c r="F18" i="19"/>
  <c r="J18" i="19" s="1"/>
  <c r="I17" i="19"/>
  <c r="F17" i="19"/>
  <c r="J17" i="19" s="1"/>
  <c r="I16" i="19"/>
  <c r="F16" i="19"/>
  <c r="H16" i="19" s="1"/>
  <c r="K16" i="19" s="1"/>
  <c r="L16" i="19" s="1"/>
  <c r="I15" i="19"/>
  <c r="F15" i="19"/>
  <c r="J15" i="19" s="1"/>
  <c r="I14" i="19"/>
  <c r="F14" i="19"/>
  <c r="J14" i="19" s="1"/>
  <c r="I13" i="19"/>
  <c r="F13" i="19"/>
  <c r="J13" i="19" s="1"/>
  <c r="I12" i="19"/>
  <c r="F12" i="19"/>
  <c r="H12" i="19" s="1"/>
  <c r="K12" i="19" s="1"/>
  <c r="L12" i="19" s="1"/>
  <c r="I11" i="19"/>
  <c r="F11" i="19"/>
  <c r="J11" i="19" s="1"/>
  <c r="I10" i="19"/>
  <c r="F10" i="19"/>
  <c r="J10" i="19" s="1"/>
  <c r="I9" i="19"/>
  <c r="F9" i="19"/>
  <c r="J9" i="19" s="1"/>
  <c r="I8" i="19"/>
  <c r="F8" i="19"/>
  <c r="H8" i="19" s="1"/>
  <c r="K8" i="19" s="1"/>
  <c r="L8" i="19" s="1"/>
  <c r="I7" i="19"/>
  <c r="F7" i="19"/>
  <c r="J7" i="19" s="1"/>
  <c r="I6" i="19"/>
  <c r="F6" i="19"/>
  <c r="J6" i="19" s="1"/>
  <c r="I5" i="19"/>
  <c r="F5" i="19"/>
  <c r="J5" i="19" s="1"/>
  <c r="I4" i="19"/>
  <c r="F4" i="19"/>
  <c r="H4" i="19" s="1"/>
  <c r="K4" i="19" s="1"/>
  <c r="L4" i="19" s="1"/>
  <c r="I3" i="19"/>
  <c r="F3" i="19"/>
  <c r="J3" i="19" s="1"/>
  <c r="A85" i="18"/>
  <c r="B85" i="18" s="1"/>
  <c r="C85" i="18" s="1"/>
  <c r="B84" i="18"/>
  <c r="C84" i="18" s="1"/>
  <c r="A84" i="18"/>
  <c r="C83" i="18"/>
  <c r="B83" i="18"/>
  <c r="A83" i="18"/>
  <c r="B82" i="18"/>
  <c r="C82" i="18" s="1"/>
  <c r="B81" i="18"/>
  <c r="C81" i="18" s="1"/>
  <c r="A81" i="18"/>
  <c r="C80" i="18"/>
  <c r="B80" i="18"/>
  <c r="A80" i="18"/>
  <c r="B79" i="18"/>
  <c r="C79" i="18" s="1"/>
  <c r="A79" i="18"/>
  <c r="C78" i="18"/>
  <c r="B78" i="18"/>
  <c r="C77" i="18"/>
  <c r="B77" i="18"/>
  <c r="A77" i="18"/>
  <c r="B76" i="18"/>
  <c r="C76" i="18" s="1"/>
  <c r="A76" i="18"/>
  <c r="A75" i="18"/>
  <c r="B74" i="18" s="1"/>
  <c r="C74" i="18" s="1"/>
  <c r="B73" i="18"/>
  <c r="C73" i="18" s="1"/>
  <c r="A73" i="18"/>
  <c r="A72" i="18"/>
  <c r="B71" i="18" s="1"/>
  <c r="C71" i="18" s="1"/>
  <c r="A71" i="18"/>
  <c r="B70" i="18"/>
  <c r="A69" i="18"/>
  <c r="B68" i="18" s="1"/>
  <c r="C68" i="18" s="1"/>
  <c r="A68" i="18"/>
  <c r="A67" i="18"/>
  <c r="B67" i="18" s="1"/>
  <c r="C67" i="18" s="1"/>
  <c r="B66" i="18"/>
  <c r="C66" i="18" s="1"/>
  <c r="A65" i="18"/>
  <c r="B65" i="18" s="1"/>
  <c r="C65" i="18" s="1"/>
  <c r="A64" i="18"/>
  <c r="B64" i="18" s="1"/>
  <c r="C64" i="18" s="1"/>
  <c r="B63" i="18"/>
  <c r="C63" i="18" s="1"/>
  <c r="A63" i="18"/>
  <c r="B62" i="18" s="1"/>
  <c r="C62" i="18" s="1"/>
  <c r="A61" i="18"/>
  <c r="B61" i="18" s="1"/>
  <c r="C61" i="18" s="1"/>
  <c r="B60" i="18"/>
  <c r="C60" i="18" s="1"/>
  <c r="A60" i="18"/>
  <c r="A59" i="18"/>
  <c r="B59" i="18" s="1"/>
  <c r="C59" i="18" s="1"/>
  <c r="B58" i="18"/>
  <c r="C58" i="18" s="1"/>
  <c r="B57" i="18"/>
  <c r="C57" i="18" s="1"/>
  <c r="A57" i="18"/>
  <c r="A56" i="18"/>
  <c r="B56" i="18" s="1"/>
  <c r="C56" i="18" s="1"/>
  <c r="B55" i="18"/>
  <c r="C55" i="18" s="1"/>
  <c r="A55" i="18"/>
  <c r="C54" i="18"/>
  <c r="B54" i="18"/>
  <c r="A53" i="18"/>
  <c r="B53" i="18" s="1"/>
  <c r="C53" i="18" s="1"/>
  <c r="B52" i="18"/>
  <c r="C52" i="18" s="1"/>
  <c r="A52" i="18"/>
  <c r="C51" i="18"/>
  <c r="B51" i="18"/>
  <c r="A51" i="18"/>
  <c r="B50" i="18"/>
  <c r="C50" i="18" s="1"/>
  <c r="B49" i="18"/>
  <c r="C49" i="18" s="1"/>
  <c r="A49" i="18"/>
  <c r="C48" i="18"/>
  <c r="B48" i="18"/>
  <c r="A48" i="18"/>
  <c r="B47" i="18"/>
  <c r="C47" i="18" s="1"/>
  <c r="A47" i="18"/>
  <c r="C46" i="18"/>
  <c r="B46" i="18"/>
  <c r="C45" i="18"/>
  <c r="B45" i="18"/>
  <c r="A45" i="18"/>
  <c r="B44" i="18"/>
  <c r="C44" i="18" s="1"/>
  <c r="A44" i="18"/>
  <c r="A43" i="18"/>
  <c r="B42" i="18" s="1"/>
  <c r="C42" i="18" s="1"/>
  <c r="F42" i="18"/>
  <c r="C86" i="18" s="1"/>
  <c r="B22" i="18"/>
  <c r="B21" i="18"/>
  <c r="B20" i="18"/>
  <c r="B29" i="18" s="1"/>
  <c r="B30" i="18" s="1"/>
  <c r="B17" i="18"/>
  <c r="AO16" i="18"/>
  <c r="AO13" i="18"/>
  <c r="AR13" i="18" s="1"/>
  <c r="AO12" i="18"/>
  <c r="AR12" i="18" s="1"/>
  <c r="AO11" i="18"/>
  <c r="AR11" i="18" s="1"/>
  <c r="AR10" i="18"/>
  <c r="AO10" i="18"/>
  <c r="AO9" i="18"/>
  <c r="AR9" i="18" s="1"/>
  <c r="AO8" i="18"/>
  <c r="AR8" i="18" s="1"/>
  <c r="BA17" i="20" l="1"/>
  <c r="BB17" i="20" s="1"/>
  <c r="BC17" i="20" s="1"/>
  <c r="BA5" i="20"/>
  <c r="BB5" i="20" s="1"/>
  <c r="BC5" i="20" s="1"/>
  <c r="AZ3" i="20"/>
  <c r="BA3" i="20" s="1"/>
  <c r="BB3" i="20" s="1"/>
  <c r="BC3" i="20" s="1"/>
  <c r="BA7" i="20"/>
  <c r="BB7" i="20" s="1"/>
  <c r="BC7" i="20" s="1"/>
  <c r="BA18" i="20"/>
  <c r="BB18" i="20" s="1"/>
  <c r="BC18" i="20" s="1"/>
  <c r="BA14" i="20"/>
  <c r="BB14" i="20" s="1"/>
  <c r="BC14" i="20" s="1"/>
  <c r="BA15" i="20"/>
  <c r="BB15" i="20" s="1"/>
  <c r="BC15" i="20" s="1"/>
  <c r="BA10" i="20"/>
  <c r="BB10" i="20" s="1"/>
  <c r="BC10" i="20" s="1"/>
  <c r="BA9" i="20"/>
  <c r="BB9" i="20" s="1"/>
  <c r="BC9" i="20" s="1"/>
  <c r="BA11" i="20"/>
  <c r="BB11" i="20" s="1"/>
  <c r="BC11" i="20" s="1"/>
  <c r="BA6" i="20"/>
  <c r="BB6" i="20" s="1"/>
  <c r="BC6" i="20" s="1"/>
  <c r="BA20" i="20"/>
  <c r="BB20" i="20" s="1"/>
  <c r="BC20" i="20" s="1"/>
  <c r="BA22" i="20"/>
  <c r="BB22" i="20" s="1"/>
  <c r="BC22" i="20" s="1"/>
  <c r="BA12" i="20"/>
  <c r="BB12" i="20" s="1"/>
  <c r="BC12" i="20" s="1"/>
  <c r="BA21" i="20"/>
  <c r="BB21" i="20" s="1"/>
  <c r="BC21" i="20" s="1"/>
  <c r="AL25" i="21"/>
  <c r="BK25" i="21" s="1"/>
  <c r="BM32" i="21"/>
  <c r="BN32" i="21" s="1"/>
  <c r="BO32" i="21" s="1"/>
  <c r="BK6" i="21"/>
  <c r="BK14" i="21"/>
  <c r="BK20" i="21"/>
  <c r="BK9" i="21"/>
  <c r="BM9" i="21" s="1"/>
  <c r="BN9" i="21" s="1"/>
  <c r="BO9" i="21" s="1"/>
  <c r="BM40" i="21"/>
  <c r="BN40" i="21" s="1"/>
  <c r="BO40" i="21" s="1"/>
  <c r="BL7" i="21"/>
  <c r="BM7" i="21" s="1"/>
  <c r="BN7" i="21" s="1"/>
  <c r="BO7" i="21" s="1"/>
  <c r="BK3" i="21"/>
  <c r="BM3" i="21" s="1"/>
  <c r="BN3" i="21" s="1"/>
  <c r="BO3" i="21" s="1"/>
  <c r="BK16" i="21"/>
  <c r="BM16" i="21" s="1"/>
  <c r="BN16" i="21" s="1"/>
  <c r="BO16" i="21" s="1"/>
  <c r="BM18" i="21"/>
  <c r="BN18" i="21" s="1"/>
  <c r="BO18" i="21" s="1"/>
  <c r="BM34" i="21"/>
  <c r="BN34" i="21" s="1"/>
  <c r="BO34" i="21" s="1"/>
  <c r="BK19" i="21"/>
  <c r="BM19" i="21" s="1"/>
  <c r="BN19" i="21" s="1"/>
  <c r="BO19" i="21" s="1"/>
  <c r="BM35" i="21"/>
  <c r="BN35" i="21" s="1"/>
  <c r="BO35" i="21" s="1"/>
  <c r="BK8" i="21"/>
  <c r="BM8" i="21" s="1"/>
  <c r="BN8" i="21" s="1"/>
  <c r="BO8" i="21" s="1"/>
  <c r="BM42" i="21"/>
  <c r="BN42" i="21" s="1"/>
  <c r="BO42" i="21" s="1"/>
  <c r="BM30" i="21"/>
  <c r="BN30" i="21" s="1"/>
  <c r="BO30" i="21" s="1"/>
  <c r="BM15" i="21"/>
  <c r="BN15" i="21" s="1"/>
  <c r="BO15" i="21" s="1"/>
  <c r="BL4" i="21"/>
  <c r="BM4" i="21" s="1"/>
  <c r="BN4" i="21" s="1"/>
  <c r="BO4" i="21" s="1"/>
  <c r="BM27" i="21"/>
  <c r="BN27" i="21" s="1"/>
  <c r="BO27" i="21" s="1"/>
  <c r="BM38" i="21"/>
  <c r="BN38" i="21" s="1"/>
  <c r="BO38" i="21" s="1"/>
  <c r="BM29" i="21"/>
  <c r="BN29" i="21" s="1"/>
  <c r="BO29" i="21" s="1"/>
  <c r="BM44" i="21"/>
  <c r="BN44" i="21" s="1"/>
  <c r="BO44" i="21" s="1"/>
  <c r="BM36" i="21"/>
  <c r="BN36" i="21" s="1"/>
  <c r="BO36" i="21" s="1"/>
  <c r="BM28" i="21"/>
  <c r="BN28" i="21" s="1"/>
  <c r="BO28" i="21" s="1"/>
  <c r="BM20" i="21"/>
  <c r="BN20" i="21" s="1"/>
  <c r="BO20" i="21" s="1"/>
  <c r="BM31" i="21"/>
  <c r="BN31" i="21" s="1"/>
  <c r="BO31" i="21" s="1"/>
  <c r="BM25" i="21"/>
  <c r="BN25" i="21" s="1"/>
  <c r="BO25" i="21" s="1"/>
  <c r="BM33" i="21"/>
  <c r="BN33" i="21" s="1"/>
  <c r="BO33" i="21" s="1"/>
  <c r="BM14" i="21"/>
  <c r="BN14" i="21" s="1"/>
  <c r="BO14" i="21" s="1"/>
  <c r="BM22" i="21"/>
  <c r="BN22" i="21" s="1"/>
  <c r="BO22" i="21" s="1"/>
  <c r="BM12" i="21"/>
  <c r="BN12" i="21" s="1"/>
  <c r="BO12" i="21" s="1"/>
  <c r="BM13" i="21"/>
  <c r="BN13" i="21" s="1"/>
  <c r="BO13" i="21" s="1"/>
  <c r="BK11" i="21"/>
  <c r="BL11" i="21"/>
  <c r="BM21" i="21"/>
  <c r="BN21" i="21" s="1"/>
  <c r="BO21" i="21" s="1"/>
  <c r="BM17" i="21"/>
  <c r="BN17" i="21" s="1"/>
  <c r="BO17" i="21" s="1"/>
  <c r="BM5" i="21"/>
  <c r="BN5" i="21" s="1"/>
  <c r="BO5" i="21" s="1"/>
  <c r="BM10" i="21"/>
  <c r="BN10" i="21" s="1"/>
  <c r="BO10" i="21" s="1"/>
  <c r="BM6" i="21"/>
  <c r="BN6" i="21" s="1"/>
  <c r="BO6" i="21" s="1"/>
  <c r="AG22" i="9"/>
  <c r="AH22" i="9" s="1"/>
  <c r="AG15" i="9"/>
  <c r="AH15" i="9" s="1"/>
  <c r="AG14" i="9"/>
  <c r="AH14" i="9" s="1"/>
  <c r="AD3" i="9"/>
  <c r="AE3" i="9" s="1"/>
  <c r="AF3" i="9" s="1"/>
  <c r="AG3" i="9" s="1"/>
  <c r="AH3" i="9" s="1"/>
  <c r="AD19" i="9"/>
  <c r="AE19" i="9" s="1"/>
  <c r="AF19" i="9" s="1"/>
  <c r="AG19" i="9" s="1"/>
  <c r="AH19" i="9" s="1"/>
  <c r="AD12" i="9"/>
  <c r="AE12" i="9" s="1"/>
  <c r="AF12" i="9" s="1"/>
  <c r="AG12" i="9" s="1"/>
  <c r="AH12" i="9" s="1"/>
  <c r="AF7" i="9"/>
  <c r="AG7" i="9" s="1"/>
  <c r="AH7" i="9" s="1"/>
  <c r="W19" i="11"/>
  <c r="W9" i="11"/>
  <c r="W17" i="11"/>
  <c r="W11" i="11"/>
  <c r="W15" i="11"/>
  <c r="W14" i="11"/>
  <c r="W21" i="11"/>
  <c r="W5" i="11"/>
  <c r="W22" i="11"/>
  <c r="W4" i="11"/>
  <c r="W20" i="11"/>
  <c r="W12" i="11"/>
  <c r="W13" i="11"/>
  <c r="B43" i="18"/>
  <c r="C43" i="18" s="1"/>
  <c r="B69" i="18"/>
  <c r="C69" i="18" s="1"/>
  <c r="B72" i="18"/>
  <c r="C72" i="18" s="1"/>
  <c r="B75" i="18"/>
  <c r="C75" i="18" s="1"/>
  <c r="H3" i="19"/>
  <c r="J4" i="19"/>
  <c r="H7" i="19"/>
  <c r="J8" i="19"/>
  <c r="H11" i="19"/>
  <c r="J12" i="19"/>
  <c r="H15" i="19"/>
  <c r="J16" i="19"/>
  <c r="H19" i="19"/>
  <c r="J20" i="19"/>
  <c r="H6" i="19"/>
  <c r="H10" i="19"/>
  <c r="H14" i="19"/>
  <c r="H18" i="19"/>
  <c r="H22" i="19"/>
  <c r="C70" i="18"/>
  <c r="H5" i="19"/>
  <c r="H9" i="19"/>
  <c r="H13" i="19"/>
  <c r="H17" i="19"/>
  <c r="H21" i="19"/>
  <c r="BM11" i="21" l="1"/>
  <c r="BN11" i="21" s="1"/>
  <c r="BO11" i="21" s="1"/>
  <c r="K17" i="19"/>
  <c r="L17" i="19" s="1"/>
  <c r="K10" i="19"/>
  <c r="L10" i="19" s="1"/>
  <c r="K6" i="19"/>
  <c r="L6" i="19" s="1"/>
  <c r="K7" i="19"/>
  <c r="L7" i="19" s="1"/>
  <c r="K13" i="19"/>
  <c r="L13" i="19" s="1"/>
  <c r="K9" i="19"/>
  <c r="L9" i="19" s="1"/>
  <c r="K5" i="19"/>
  <c r="L5" i="19" s="1"/>
  <c r="K19" i="19"/>
  <c r="L19" i="19" s="1"/>
  <c r="K22" i="19"/>
  <c r="L22" i="19" s="1"/>
  <c r="K15" i="19"/>
  <c r="L15" i="19" s="1"/>
  <c r="K3" i="19"/>
  <c r="L3" i="19" s="1"/>
  <c r="K18" i="19"/>
  <c r="L18" i="19" s="1"/>
  <c r="K21" i="19"/>
  <c r="L21" i="19" s="1"/>
  <c r="K14" i="19"/>
  <c r="L14" i="19" s="1"/>
  <c r="K11" i="19"/>
  <c r="L11" i="19" s="1"/>
  <c r="F22" i="11"/>
  <c r="X22" i="11" s="1"/>
  <c r="Y22" i="11" s="1"/>
  <c r="E22" i="11"/>
  <c r="C22" i="11"/>
  <c r="F21" i="11"/>
  <c r="X21" i="11" s="1"/>
  <c r="Y21" i="11" s="1"/>
  <c r="E21" i="11"/>
  <c r="C21" i="11"/>
  <c r="F20" i="11"/>
  <c r="X20" i="11" s="1"/>
  <c r="Y20" i="11" s="1"/>
  <c r="E20" i="11"/>
  <c r="C20" i="11"/>
  <c r="F19" i="11"/>
  <c r="X19" i="11" s="1"/>
  <c r="Y19" i="11" s="1"/>
  <c r="E19" i="11"/>
  <c r="C19" i="11"/>
  <c r="F18" i="11"/>
  <c r="X18" i="11" s="1"/>
  <c r="Y18" i="11" s="1"/>
  <c r="E18" i="11"/>
  <c r="C18" i="11"/>
  <c r="F17" i="11"/>
  <c r="X17" i="11" s="1"/>
  <c r="Y17" i="11" s="1"/>
  <c r="E17" i="11"/>
  <c r="C17" i="11"/>
  <c r="F16" i="11"/>
  <c r="X16" i="11" s="1"/>
  <c r="Y16" i="11" s="1"/>
  <c r="E16" i="11"/>
  <c r="C16" i="11"/>
  <c r="F15" i="11"/>
  <c r="X15" i="11" s="1"/>
  <c r="Y15" i="11" s="1"/>
  <c r="E15" i="11"/>
  <c r="C15" i="11"/>
  <c r="F14" i="11"/>
  <c r="X14" i="11" s="1"/>
  <c r="Y14" i="11" s="1"/>
  <c r="E14" i="11"/>
  <c r="C14" i="11"/>
  <c r="F13" i="11"/>
  <c r="X13" i="11" s="1"/>
  <c r="Y13" i="11" s="1"/>
  <c r="E13" i="11"/>
  <c r="C13" i="11"/>
  <c r="F12" i="11"/>
  <c r="X12" i="11" s="1"/>
  <c r="Y12" i="11" s="1"/>
  <c r="E12" i="11"/>
  <c r="C12" i="11"/>
  <c r="F11" i="11"/>
  <c r="X11" i="11" s="1"/>
  <c r="Y11" i="11" s="1"/>
  <c r="E11" i="11"/>
  <c r="C11" i="11"/>
  <c r="F10" i="11"/>
  <c r="X10" i="11" s="1"/>
  <c r="Y10" i="11" s="1"/>
  <c r="E10" i="11"/>
  <c r="C10" i="11"/>
  <c r="F9" i="11"/>
  <c r="X9" i="11" s="1"/>
  <c r="Y9" i="11" s="1"/>
  <c r="E9" i="11"/>
  <c r="C9" i="11"/>
  <c r="F8" i="11"/>
  <c r="X8" i="11" s="1"/>
  <c r="Y8" i="11" s="1"/>
  <c r="E8" i="11"/>
  <c r="C8" i="11"/>
  <c r="F7" i="11"/>
  <c r="X7" i="11" s="1"/>
  <c r="Y7" i="11" s="1"/>
  <c r="E7" i="11"/>
  <c r="C7" i="11"/>
  <c r="F6" i="11"/>
  <c r="X6" i="11" s="1"/>
  <c r="Y6" i="11" s="1"/>
  <c r="E6" i="11"/>
  <c r="C6" i="11"/>
  <c r="F5" i="11"/>
  <c r="X5" i="11" s="1"/>
  <c r="Y5" i="11" s="1"/>
  <c r="E5" i="11"/>
  <c r="C5" i="11"/>
  <c r="F4" i="11"/>
  <c r="X4" i="11" s="1"/>
  <c r="Y4" i="11" s="1"/>
  <c r="E4" i="11"/>
  <c r="C4" i="11"/>
  <c r="F3" i="11"/>
  <c r="X3" i="11" s="1"/>
  <c r="Y3" i="11" s="1"/>
  <c r="E3" i="11"/>
  <c r="C3" i="11"/>
  <c r="A108" i="10"/>
  <c r="B108" i="10" s="1"/>
  <c r="C108" i="10" s="1"/>
  <c r="A107" i="10"/>
  <c r="B107" i="10" s="1"/>
  <c r="C107" i="10" s="1"/>
  <c r="A106" i="10"/>
  <c r="B105" i="10" s="1"/>
  <c r="C105" i="10" s="1"/>
  <c r="B104" i="10"/>
  <c r="C104" i="10" s="1"/>
  <c r="A104" i="10"/>
  <c r="A103" i="10"/>
  <c r="B103" i="10" s="1"/>
  <c r="C103" i="10" s="1"/>
  <c r="A102" i="10"/>
  <c r="B102" i="10" s="1"/>
  <c r="C102" i="10" s="1"/>
  <c r="A100" i="10"/>
  <c r="B100" i="10" s="1"/>
  <c r="C100" i="10" s="1"/>
  <c r="A99" i="10"/>
  <c r="B99" i="10" s="1"/>
  <c r="C99" i="10" s="1"/>
  <c r="A98" i="10"/>
  <c r="B98" i="10" s="1"/>
  <c r="C98" i="10" s="1"/>
  <c r="B97" i="10"/>
  <c r="C97" i="10" s="1"/>
  <c r="A96" i="10"/>
  <c r="B96" i="10" s="1"/>
  <c r="C96" i="10" s="1"/>
  <c r="A95" i="10"/>
  <c r="B95" i="10" s="1"/>
  <c r="C95" i="10" s="1"/>
  <c r="A94" i="10"/>
  <c r="B93" i="10" s="1"/>
  <c r="C93" i="10" s="1"/>
  <c r="A92" i="10"/>
  <c r="B92" i="10" s="1"/>
  <c r="C92" i="10" s="1"/>
  <c r="A91" i="10"/>
  <c r="B90" i="10" s="1"/>
  <c r="C90" i="10" s="1"/>
  <c r="A90" i="10"/>
  <c r="B89" i="10"/>
  <c r="C89" i="10" s="1"/>
  <c r="A88" i="10"/>
  <c r="B87" i="10" s="1"/>
  <c r="C87" i="10" s="1"/>
  <c r="A87" i="10"/>
  <c r="A86" i="10"/>
  <c r="B86" i="10" s="1"/>
  <c r="C86" i="10" s="1"/>
  <c r="B85" i="10"/>
  <c r="C85" i="10" s="1"/>
  <c r="B84" i="10"/>
  <c r="C84" i="10" s="1"/>
  <c r="A84" i="10"/>
  <c r="A83" i="10"/>
  <c r="B83" i="10" s="1"/>
  <c r="C83" i="10" s="1"/>
  <c r="B82" i="10"/>
  <c r="C82" i="10" s="1"/>
  <c r="A82" i="10"/>
  <c r="B81" i="10"/>
  <c r="A80" i="10"/>
  <c r="B80" i="10" s="1"/>
  <c r="C80" i="10" s="1"/>
  <c r="B79" i="10"/>
  <c r="C79" i="10" s="1"/>
  <c r="A79" i="10"/>
  <c r="B78" i="10"/>
  <c r="A78" i="10"/>
  <c r="B77" i="10"/>
  <c r="C77" i="10" s="1"/>
  <c r="B76" i="10"/>
  <c r="C76" i="10" s="1"/>
  <c r="A76" i="10"/>
  <c r="A75" i="10"/>
  <c r="B75" i="10" s="1"/>
  <c r="C75" i="10" s="1"/>
  <c r="A74" i="10"/>
  <c r="B73" i="10" s="1"/>
  <c r="C73" i="10" s="1"/>
  <c r="A72" i="10"/>
  <c r="B72" i="10" s="1"/>
  <c r="C72" i="10" s="1"/>
  <c r="A71" i="10"/>
  <c r="B71" i="10" s="1"/>
  <c r="C71" i="10" s="1"/>
  <c r="A70" i="10"/>
  <c r="B70" i="10" s="1"/>
  <c r="C70" i="10" s="1"/>
  <c r="A68" i="10"/>
  <c r="B68" i="10" s="1"/>
  <c r="C68" i="10" s="1"/>
  <c r="A67" i="10"/>
  <c r="B67" i="10" s="1"/>
  <c r="C67" i="10" s="1"/>
  <c r="A66" i="10"/>
  <c r="B66" i="10" s="1"/>
  <c r="C66" i="10" s="1"/>
  <c r="F65" i="10"/>
  <c r="C109" i="10" s="1"/>
  <c r="B65" i="10"/>
  <c r="C65" i="10" s="1"/>
  <c r="B34" i="10"/>
  <c r="B24" i="10"/>
  <c r="B26" i="10" s="1"/>
  <c r="B23" i="10"/>
  <c r="B22" i="10"/>
  <c r="B21" i="10"/>
  <c r="AO16" i="10"/>
  <c r="AO13" i="10"/>
  <c r="AR13" i="10" s="1"/>
  <c r="AO12" i="10"/>
  <c r="AR12" i="10" s="1"/>
  <c r="AO11" i="10"/>
  <c r="AR11" i="10" s="1"/>
  <c r="B11" i="10"/>
  <c r="AR10" i="10"/>
  <c r="AO10" i="10"/>
  <c r="AO9" i="10"/>
  <c r="AR9" i="10" s="1"/>
  <c r="AO8" i="10"/>
  <c r="B14" i="10" s="1"/>
  <c r="C109" i="8"/>
  <c r="A108" i="8"/>
  <c r="B108" i="8" s="1"/>
  <c r="C108" i="8" s="1"/>
  <c r="A107" i="8"/>
  <c r="B106" i="8" s="1"/>
  <c r="C106" i="8" s="1"/>
  <c r="A106" i="8"/>
  <c r="B105" i="8" s="1"/>
  <c r="C105" i="8" s="1"/>
  <c r="A104" i="8"/>
  <c r="B104" i="8" s="1"/>
  <c r="C104" i="8" s="1"/>
  <c r="A103" i="8"/>
  <c r="A102" i="8"/>
  <c r="B102" i="8" s="1"/>
  <c r="C102" i="8" s="1"/>
  <c r="B101" i="8"/>
  <c r="C101" i="8" s="1"/>
  <c r="A100" i="8"/>
  <c r="B100" i="8" s="1"/>
  <c r="C100" i="8" s="1"/>
  <c r="A99" i="8"/>
  <c r="B99" i="8" s="1"/>
  <c r="C99" i="8" s="1"/>
  <c r="B98" i="8"/>
  <c r="C98" i="8" s="1"/>
  <c r="A98" i="8"/>
  <c r="C97" i="8"/>
  <c r="B97" i="8"/>
  <c r="A96" i="8"/>
  <c r="B96" i="8" s="1"/>
  <c r="C96" i="8" s="1"/>
  <c r="A95" i="8"/>
  <c r="B94" i="8" s="1"/>
  <c r="C94" i="8" s="1"/>
  <c r="A94" i="8"/>
  <c r="B93" i="8" s="1"/>
  <c r="C93" i="8" s="1"/>
  <c r="B92" i="8"/>
  <c r="C92" i="8" s="1"/>
  <c r="A92" i="8"/>
  <c r="A91" i="8"/>
  <c r="B91" i="8" s="1"/>
  <c r="C91" i="8" s="1"/>
  <c r="B90" i="8"/>
  <c r="C90" i="8" s="1"/>
  <c r="A90" i="8"/>
  <c r="B89" i="8"/>
  <c r="C89" i="8" s="1"/>
  <c r="B88" i="8"/>
  <c r="C88" i="8" s="1"/>
  <c r="A88" i="8"/>
  <c r="A87" i="8"/>
  <c r="B87" i="8" s="1"/>
  <c r="C87" i="8" s="1"/>
  <c r="A86" i="8"/>
  <c r="B86" i="8" s="1"/>
  <c r="C86" i="8" s="1"/>
  <c r="B84" i="8"/>
  <c r="C84" i="8" s="1"/>
  <c r="A84" i="8"/>
  <c r="B83" i="8"/>
  <c r="C83" i="8" s="1"/>
  <c r="A83" i="8"/>
  <c r="B82" i="8" s="1"/>
  <c r="C82" i="8" s="1"/>
  <c r="A82" i="8"/>
  <c r="B81" i="8"/>
  <c r="C81" i="8" s="1"/>
  <c r="A80" i="8"/>
  <c r="B80" i="8" s="1"/>
  <c r="C80" i="8" s="1"/>
  <c r="A79" i="8"/>
  <c r="B79" i="8" s="1"/>
  <c r="C79" i="8" s="1"/>
  <c r="A78" i="8"/>
  <c r="B77" i="8" s="1"/>
  <c r="C77" i="8" s="1"/>
  <c r="A76" i="8"/>
  <c r="B76" i="8" s="1"/>
  <c r="C76" i="8" s="1"/>
  <c r="A75" i="8"/>
  <c r="B75" i="8" s="1"/>
  <c r="C75" i="8" s="1"/>
  <c r="A74" i="8"/>
  <c r="B73" i="8"/>
  <c r="C73" i="8" s="1"/>
  <c r="A72" i="8"/>
  <c r="B72" i="8" s="1"/>
  <c r="C72" i="8" s="1"/>
  <c r="A71" i="8"/>
  <c r="B71" i="8" s="1"/>
  <c r="C71" i="8" s="1"/>
  <c r="A70" i="8"/>
  <c r="B69" i="8"/>
  <c r="C69" i="8" s="1"/>
  <c r="B68" i="8"/>
  <c r="C68" i="8" s="1"/>
  <c r="A68" i="8"/>
  <c r="A67" i="8"/>
  <c r="B67" i="8" s="1"/>
  <c r="C67" i="8" s="1"/>
  <c r="A66" i="8"/>
  <c r="B65" i="8" s="1"/>
  <c r="C65" i="8" s="1"/>
  <c r="F65" i="8"/>
  <c r="B42" i="8"/>
  <c r="B36" i="8"/>
  <c r="B31" i="8"/>
  <c r="B30" i="8"/>
  <c r="B37" i="8" s="1"/>
  <c r="B27" i="8"/>
  <c r="B14" i="8" s="1"/>
  <c r="B38" i="8" s="1"/>
  <c r="B25" i="8"/>
  <c r="B24" i="8"/>
  <c r="B23" i="8"/>
  <c r="B22" i="8"/>
  <c r="B13" i="8"/>
  <c r="B11" i="8"/>
  <c r="AB4" i="5"/>
  <c r="AB5" i="5"/>
  <c r="AB6" i="5"/>
  <c r="AB7" i="5"/>
  <c r="AB8" i="5"/>
  <c r="AB9" i="5"/>
  <c r="AB10" i="5"/>
  <c r="AB11" i="5"/>
  <c r="AB12" i="5"/>
  <c r="AB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4" i="5"/>
  <c r="C5" i="5"/>
  <c r="F5" i="5" s="1"/>
  <c r="C6" i="5"/>
  <c r="F6" i="5" s="1"/>
  <c r="C7" i="5"/>
  <c r="F7" i="5" s="1"/>
  <c r="C8" i="5"/>
  <c r="C9" i="5"/>
  <c r="C10" i="5"/>
  <c r="C11" i="5"/>
  <c r="F11" i="5" s="1"/>
  <c r="C12" i="5"/>
  <c r="C13" i="5"/>
  <c r="C14" i="5"/>
  <c r="C15" i="5"/>
  <c r="C16" i="5"/>
  <c r="C17" i="5"/>
  <c r="C18" i="5"/>
  <c r="C19" i="5"/>
  <c r="F19" i="5" s="1"/>
  <c r="C20" i="5"/>
  <c r="F20" i="5" s="1"/>
  <c r="C21" i="5"/>
  <c r="F21" i="5" s="1"/>
  <c r="C22" i="5"/>
  <c r="F22" i="5" s="1"/>
  <c r="C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3" i="5"/>
  <c r="K31" i="6"/>
  <c r="K32" i="6"/>
  <c r="K33" i="6"/>
  <c r="K34" i="6"/>
  <c r="K35" i="6"/>
  <c r="K30" i="6"/>
  <c r="F8" i="5" l="1"/>
  <c r="F18" i="5"/>
  <c r="F16" i="5"/>
  <c r="F15" i="5"/>
  <c r="F10" i="5"/>
  <c r="F9" i="5"/>
  <c r="F17" i="5"/>
  <c r="F3" i="5"/>
  <c r="F4" i="5"/>
  <c r="F14" i="5"/>
  <c r="F13" i="5"/>
  <c r="AE13" i="5" s="1"/>
  <c r="F12" i="5"/>
  <c r="AA13" i="11"/>
  <c r="AO13" i="11" s="1"/>
  <c r="AB13" i="11"/>
  <c r="AP13" i="11" s="1"/>
  <c r="AA4" i="11"/>
  <c r="AO4" i="11" s="1"/>
  <c r="AB4" i="11"/>
  <c r="AP4" i="11" s="1"/>
  <c r="AA12" i="11"/>
  <c r="AO12" i="11" s="1"/>
  <c r="AB12" i="11"/>
  <c r="AP12" i="11" s="1"/>
  <c r="AA20" i="11"/>
  <c r="AO20" i="11" s="1"/>
  <c r="AB20" i="11"/>
  <c r="AP20" i="11" s="1"/>
  <c r="AA6" i="11"/>
  <c r="AO6" i="11" s="1"/>
  <c r="AB6" i="11"/>
  <c r="AP6" i="11" s="1"/>
  <c r="AB8" i="11"/>
  <c r="AP8" i="11" s="1"/>
  <c r="AA8" i="11"/>
  <c r="AO8" i="11" s="1"/>
  <c r="AB10" i="11"/>
  <c r="AP10" i="11" s="1"/>
  <c r="AA10" i="11"/>
  <c r="AO10" i="11" s="1"/>
  <c r="AQ10" i="11" s="1"/>
  <c r="AA14" i="11"/>
  <c r="AO14" i="11" s="1"/>
  <c r="AB14" i="11"/>
  <c r="AP14" i="11" s="1"/>
  <c r="AB16" i="11"/>
  <c r="AP16" i="11" s="1"/>
  <c r="AA16" i="11"/>
  <c r="AO16" i="11" s="1"/>
  <c r="AB18" i="11"/>
  <c r="AP18" i="11" s="1"/>
  <c r="AA18" i="11"/>
  <c r="AO18" i="11" s="1"/>
  <c r="AA22" i="11"/>
  <c r="AO22" i="11" s="1"/>
  <c r="AB22" i="11"/>
  <c r="AP22" i="11" s="1"/>
  <c r="AA3" i="11"/>
  <c r="AO3" i="11" s="1"/>
  <c r="AB3" i="11"/>
  <c r="AP3" i="11" s="1"/>
  <c r="AA5" i="11"/>
  <c r="AO5" i="11" s="1"/>
  <c r="AB5" i="11"/>
  <c r="AP5" i="11" s="1"/>
  <c r="AA7" i="11"/>
  <c r="AO7" i="11" s="1"/>
  <c r="AB7" i="11"/>
  <c r="AP7" i="11" s="1"/>
  <c r="AB9" i="11"/>
  <c r="AP9" i="11" s="1"/>
  <c r="AA9" i="11"/>
  <c r="AO9" i="11" s="1"/>
  <c r="AB11" i="11"/>
  <c r="AP11" i="11" s="1"/>
  <c r="AA11" i="11"/>
  <c r="AO11" i="11" s="1"/>
  <c r="AB15" i="11"/>
  <c r="AP15" i="11" s="1"/>
  <c r="AA15" i="11"/>
  <c r="AO15" i="11" s="1"/>
  <c r="AB17" i="11"/>
  <c r="AP17" i="11" s="1"/>
  <c r="AA17" i="11"/>
  <c r="AO17" i="11" s="1"/>
  <c r="AB19" i="11"/>
  <c r="AP19" i="11" s="1"/>
  <c r="AA19" i="11"/>
  <c r="AO19" i="11" s="1"/>
  <c r="AQ19" i="11" s="1"/>
  <c r="AA21" i="11"/>
  <c r="AO21" i="11" s="1"/>
  <c r="AB21" i="11"/>
  <c r="AP21" i="11" s="1"/>
  <c r="P15" i="10"/>
  <c r="B30" i="10" s="1"/>
  <c r="B74" i="10"/>
  <c r="C74" i="10" s="1"/>
  <c r="B69" i="10"/>
  <c r="C69" i="10" s="1"/>
  <c r="B101" i="10"/>
  <c r="C101" i="10" s="1"/>
  <c r="B88" i="10"/>
  <c r="C88" i="10" s="1"/>
  <c r="B91" i="10"/>
  <c r="C91" i="10" s="1"/>
  <c r="B94" i="10"/>
  <c r="C94" i="10" s="1"/>
  <c r="B106" i="10"/>
  <c r="C106" i="10" s="1"/>
  <c r="C78" i="10"/>
  <c r="C81" i="10"/>
  <c r="B95" i="8"/>
  <c r="C95" i="8" s="1"/>
  <c r="B66" i="8"/>
  <c r="C66" i="8" s="1"/>
  <c r="B78" i="8"/>
  <c r="C78" i="8" s="1"/>
  <c r="B107" i="8"/>
  <c r="C107" i="8" s="1"/>
  <c r="B34" i="8"/>
  <c r="B85" i="8"/>
  <c r="C85" i="8" s="1"/>
  <c r="B35" i="8"/>
  <c r="B45" i="8" s="1"/>
  <c r="B46" i="8" s="1"/>
  <c r="B103" i="8"/>
  <c r="C103" i="8" s="1"/>
  <c r="B74" i="8"/>
  <c r="C74" i="8" s="1"/>
  <c r="B70" i="8"/>
  <c r="C70" i="8" s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3" i="5"/>
  <c r="AZ4" i="5"/>
  <c r="BA4" i="5"/>
  <c r="BB4" i="5"/>
  <c r="AZ5" i="5"/>
  <c r="BA5" i="5"/>
  <c r="BB5" i="5"/>
  <c r="AZ6" i="5"/>
  <c r="BA6" i="5"/>
  <c r="BB6" i="5"/>
  <c r="AZ7" i="5"/>
  <c r="BA7" i="5"/>
  <c r="BB7" i="5"/>
  <c r="AZ8" i="5"/>
  <c r="BA8" i="5"/>
  <c r="BB8" i="5"/>
  <c r="AZ9" i="5"/>
  <c r="BA9" i="5"/>
  <c r="BB9" i="5"/>
  <c r="AZ10" i="5"/>
  <c r="BA10" i="5"/>
  <c r="BB10" i="5"/>
  <c r="AZ11" i="5"/>
  <c r="BA11" i="5"/>
  <c r="BB11" i="5"/>
  <c r="AZ12" i="5"/>
  <c r="BA12" i="5"/>
  <c r="BB12" i="5"/>
  <c r="AZ13" i="5"/>
  <c r="BA13" i="5"/>
  <c r="BB13" i="5"/>
  <c r="AZ14" i="5"/>
  <c r="BA14" i="5"/>
  <c r="BB14" i="5"/>
  <c r="AZ15" i="5"/>
  <c r="BA15" i="5"/>
  <c r="BB15" i="5"/>
  <c r="AZ16" i="5"/>
  <c r="BA16" i="5"/>
  <c r="BB16" i="5"/>
  <c r="AZ17" i="5"/>
  <c r="BA17" i="5"/>
  <c r="BB17" i="5"/>
  <c r="AZ18" i="5"/>
  <c r="BA18" i="5"/>
  <c r="BB18" i="5"/>
  <c r="AZ19" i="5"/>
  <c r="BA19" i="5"/>
  <c r="BB19" i="5"/>
  <c r="AZ20" i="5"/>
  <c r="BA20" i="5"/>
  <c r="BB20" i="5"/>
  <c r="AZ21" i="5"/>
  <c r="BA21" i="5"/>
  <c r="BB21" i="5"/>
  <c r="AZ22" i="5"/>
  <c r="BA22" i="5"/>
  <c r="BB22" i="5"/>
  <c r="BB3" i="5"/>
  <c r="BA3" i="5"/>
  <c r="AZ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3" i="5"/>
  <c r="AV4" i="5"/>
  <c r="AW4" i="5"/>
  <c r="AX4" i="5"/>
  <c r="AV5" i="5"/>
  <c r="AW5" i="5"/>
  <c r="AX5" i="5"/>
  <c r="AV6" i="5"/>
  <c r="AW6" i="5"/>
  <c r="AX6" i="5"/>
  <c r="AV7" i="5"/>
  <c r="AW7" i="5"/>
  <c r="AX7" i="5"/>
  <c r="AV8" i="5"/>
  <c r="AW8" i="5"/>
  <c r="AX8" i="5"/>
  <c r="AV9" i="5"/>
  <c r="AW9" i="5"/>
  <c r="AX9" i="5"/>
  <c r="AV10" i="5"/>
  <c r="AW10" i="5"/>
  <c r="AX10" i="5"/>
  <c r="AV11" i="5"/>
  <c r="AW11" i="5"/>
  <c r="AX11" i="5"/>
  <c r="AV12" i="5"/>
  <c r="AW12" i="5"/>
  <c r="AX12" i="5"/>
  <c r="AV13" i="5"/>
  <c r="AW13" i="5"/>
  <c r="AX13" i="5"/>
  <c r="AV14" i="5"/>
  <c r="AW14" i="5"/>
  <c r="AX14" i="5"/>
  <c r="AV15" i="5"/>
  <c r="AW15" i="5"/>
  <c r="AX15" i="5"/>
  <c r="AV16" i="5"/>
  <c r="AW16" i="5"/>
  <c r="AX16" i="5"/>
  <c r="AV17" i="5"/>
  <c r="AW17" i="5"/>
  <c r="AX17" i="5"/>
  <c r="AV18" i="5"/>
  <c r="AW18" i="5"/>
  <c r="AX18" i="5"/>
  <c r="AV19" i="5"/>
  <c r="AW19" i="5"/>
  <c r="AX19" i="5"/>
  <c r="AV20" i="5"/>
  <c r="AW20" i="5"/>
  <c r="AX20" i="5"/>
  <c r="AV21" i="5"/>
  <c r="AW21" i="5"/>
  <c r="AX21" i="5"/>
  <c r="AV22" i="5"/>
  <c r="AW22" i="5"/>
  <c r="AX22" i="5"/>
  <c r="AX3" i="5"/>
  <c r="AW3" i="5"/>
  <c r="AV3" i="5"/>
  <c r="AT4" i="5"/>
  <c r="AU4" i="5"/>
  <c r="AT5" i="5"/>
  <c r="AU5" i="5"/>
  <c r="AT6" i="5"/>
  <c r="AU6" i="5"/>
  <c r="AT7" i="5"/>
  <c r="AU7" i="5"/>
  <c r="AT8" i="5"/>
  <c r="AU8" i="5"/>
  <c r="AT9" i="5"/>
  <c r="AU9" i="5"/>
  <c r="AT10" i="5"/>
  <c r="AU10" i="5"/>
  <c r="AT11" i="5"/>
  <c r="AU11" i="5"/>
  <c r="AT12" i="5"/>
  <c r="AU12" i="5"/>
  <c r="AT13" i="5"/>
  <c r="AU13" i="5"/>
  <c r="AT14" i="5"/>
  <c r="AU14" i="5"/>
  <c r="AT15" i="5"/>
  <c r="AU15" i="5"/>
  <c r="AT16" i="5"/>
  <c r="AU16" i="5"/>
  <c r="AT17" i="5"/>
  <c r="AU17" i="5"/>
  <c r="AT18" i="5"/>
  <c r="AU18" i="5"/>
  <c r="AT19" i="5"/>
  <c r="AU19" i="5"/>
  <c r="AT20" i="5"/>
  <c r="AU20" i="5"/>
  <c r="AT21" i="5"/>
  <c r="AU21" i="5"/>
  <c r="AT22" i="5"/>
  <c r="AU22" i="5"/>
  <c r="AU3" i="5"/>
  <c r="AT3" i="5"/>
  <c r="AQ4" i="5"/>
  <c r="AR4" i="5"/>
  <c r="AS4" i="5"/>
  <c r="BN4" i="5" s="1"/>
  <c r="AQ5" i="5"/>
  <c r="AR5" i="5"/>
  <c r="AS5" i="5"/>
  <c r="BN5" i="5" s="1"/>
  <c r="AQ6" i="5"/>
  <c r="AR6" i="5"/>
  <c r="AS6" i="5"/>
  <c r="AQ7" i="5"/>
  <c r="AR7" i="5"/>
  <c r="AS7" i="5"/>
  <c r="AQ8" i="5"/>
  <c r="AR8" i="5"/>
  <c r="AS8" i="5"/>
  <c r="BN8" i="5" s="1"/>
  <c r="AQ9" i="5"/>
  <c r="AR9" i="5"/>
  <c r="AS9" i="5"/>
  <c r="BN9" i="5" s="1"/>
  <c r="AQ10" i="5"/>
  <c r="AR10" i="5"/>
  <c r="AS10" i="5"/>
  <c r="BN10" i="5" s="1"/>
  <c r="AQ11" i="5"/>
  <c r="AR11" i="5"/>
  <c r="AS11" i="5"/>
  <c r="AQ12" i="5"/>
  <c r="AR12" i="5"/>
  <c r="AS12" i="5"/>
  <c r="AQ13" i="5"/>
  <c r="AR13" i="5"/>
  <c r="AS13" i="5"/>
  <c r="BN13" i="5" s="1"/>
  <c r="AQ14" i="5"/>
  <c r="AR14" i="5"/>
  <c r="AS14" i="5"/>
  <c r="BN14" i="5" s="1"/>
  <c r="AQ15" i="5"/>
  <c r="AR15" i="5"/>
  <c r="AS15" i="5"/>
  <c r="AQ16" i="5"/>
  <c r="AR16" i="5"/>
  <c r="AS16" i="5"/>
  <c r="BN16" i="5" s="1"/>
  <c r="AQ17" i="5"/>
  <c r="AR17" i="5"/>
  <c r="AS17" i="5"/>
  <c r="AQ18" i="5"/>
  <c r="AR18" i="5"/>
  <c r="AS18" i="5"/>
  <c r="AQ19" i="5"/>
  <c r="AR19" i="5"/>
  <c r="AS19" i="5"/>
  <c r="BN19" i="5" s="1"/>
  <c r="AQ20" i="5"/>
  <c r="AR20" i="5"/>
  <c r="AS20" i="5"/>
  <c r="BN20" i="5" s="1"/>
  <c r="AQ21" i="5"/>
  <c r="AR21" i="5"/>
  <c r="AS21" i="5"/>
  <c r="BN21" i="5" s="1"/>
  <c r="AQ22" i="5"/>
  <c r="AR22" i="5"/>
  <c r="AS22" i="5"/>
  <c r="AS3" i="5"/>
  <c r="AR3" i="5"/>
  <c r="AQ3" i="5"/>
  <c r="AO4" i="5"/>
  <c r="AP4" i="5"/>
  <c r="AO5" i="5"/>
  <c r="AP5" i="5"/>
  <c r="AO6" i="5"/>
  <c r="AP6" i="5"/>
  <c r="AO7" i="5"/>
  <c r="AP7" i="5"/>
  <c r="AO8" i="5"/>
  <c r="AP8" i="5"/>
  <c r="AO9" i="5"/>
  <c r="AP9" i="5"/>
  <c r="AO10" i="5"/>
  <c r="AP10" i="5"/>
  <c r="AO11" i="5"/>
  <c r="AP11" i="5"/>
  <c r="AO12" i="5"/>
  <c r="AP12" i="5"/>
  <c r="AO13" i="5"/>
  <c r="AP13" i="5"/>
  <c r="AO14" i="5"/>
  <c r="AP14" i="5"/>
  <c r="AO15" i="5"/>
  <c r="AP15" i="5"/>
  <c r="AO16" i="5"/>
  <c r="AP16" i="5"/>
  <c r="AO17" i="5"/>
  <c r="AP17" i="5"/>
  <c r="AO18" i="5"/>
  <c r="AP18" i="5"/>
  <c r="AO19" i="5"/>
  <c r="AP19" i="5"/>
  <c r="AO20" i="5"/>
  <c r="AP20" i="5"/>
  <c r="AO21" i="5"/>
  <c r="AP21" i="5"/>
  <c r="AO22" i="5"/>
  <c r="AP22" i="5"/>
  <c r="AP3" i="5"/>
  <c r="AO3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L22" i="5"/>
  <c r="AM22" i="5"/>
  <c r="AM3" i="5"/>
  <c r="AL3" i="5"/>
  <c r="AG4" i="5"/>
  <c r="AH4" i="5"/>
  <c r="AI4" i="5"/>
  <c r="AJ4" i="5"/>
  <c r="AK4" i="5"/>
  <c r="AG5" i="5"/>
  <c r="AH5" i="5"/>
  <c r="AI5" i="5"/>
  <c r="AJ5" i="5"/>
  <c r="AK5" i="5"/>
  <c r="AG6" i="5"/>
  <c r="AH6" i="5"/>
  <c r="AI6" i="5"/>
  <c r="AJ6" i="5"/>
  <c r="AK6" i="5"/>
  <c r="AG7" i="5"/>
  <c r="AH7" i="5"/>
  <c r="AI7" i="5"/>
  <c r="AJ7" i="5"/>
  <c r="AK7" i="5"/>
  <c r="AG8" i="5"/>
  <c r="AH8" i="5"/>
  <c r="AI8" i="5"/>
  <c r="AJ8" i="5"/>
  <c r="AK8" i="5"/>
  <c r="AG9" i="5"/>
  <c r="AH9" i="5"/>
  <c r="AI9" i="5"/>
  <c r="AJ9" i="5"/>
  <c r="AK9" i="5"/>
  <c r="AG10" i="5"/>
  <c r="AH10" i="5"/>
  <c r="AI10" i="5"/>
  <c r="AJ10" i="5"/>
  <c r="AK10" i="5"/>
  <c r="AG11" i="5"/>
  <c r="AH11" i="5"/>
  <c r="AI11" i="5"/>
  <c r="AJ11" i="5"/>
  <c r="AK11" i="5"/>
  <c r="AG12" i="5"/>
  <c r="AH12" i="5"/>
  <c r="AI12" i="5"/>
  <c r="AJ12" i="5"/>
  <c r="AK12" i="5"/>
  <c r="AG13" i="5"/>
  <c r="AH13" i="5"/>
  <c r="AI13" i="5"/>
  <c r="AJ13" i="5"/>
  <c r="AK13" i="5"/>
  <c r="AG14" i="5"/>
  <c r="AH14" i="5"/>
  <c r="AI14" i="5"/>
  <c r="AJ14" i="5"/>
  <c r="AK14" i="5"/>
  <c r="AG15" i="5"/>
  <c r="AH15" i="5"/>
  <c r="AI15" i="5"/>
  <c r="AJ15" i="5"/>
  <c r="AK15" i="5"/>
  <c r="AG16" i="5"/>
  <c r="AH16" i="5"/>
  <c r="AI16" i="5"/>
  <c r="AJ16" i="5"/>
  <c r="AK16" i="5"/>
  <c r="AG17" i="5"/>
  <c r="AH17" i="5"/>
  <c r="AI17" i="5"/>
  <c r="AJ17" i="5"/>
  <c r="AK17" i="5"/>
  <c r="AG18" i="5"/>
  <c r="AH18" i="5"/>
  <c r="AI18" i="5"/>
  <c r="AJ18" i="5"/>
  <c r="AK18" i="5"/>
  <c r="AG19" i="5"/>
  <c r="AH19" i="5"/>
  <c r="AI19" i="5"/>
  <c r="AJ19" i="5"/>
  <c r="AK19" i="5"/>
  <c r="AG20" i="5"/>
  <c r="AH20" i="5"/>
  <c r="AI20" i="5"/>
  <c r="AJ20" i="5"/>
  <c r="AK20" i="5"/>
  <c r="AG21" i="5"/>
  <c r="AH21" i="5"/>
  <c r="AI21" i="5"/>
  <c r="AJ21" i="5"/>
  <c r="AK21" i="5"/>
  <c r="AG22" i="5"/>
  <c r="AH22" i="5"/>
  <c r="AI22" i="5"/>
  <c r="AJ22" i="5"/>
  <c r="AK22" i="5"/>
  <c r="AK3" i="5"/>
  <c r="AJ3" i="5"/>
  <c r="AI3" i="5"/>
  <c r="AH3" i="5"/>
  <c r="AG3" i="5"/>
  <c r="AA4" i="5"/>
  <c r="AA5" i="5"/>
  <c r="AA6" i="5"/>
  <c r="AA7" i="5"/>
  <c r="AA8" i="5"/>
  <c r="AA9" i="5"/>
  <c r="AA10" i="5"/>
  <c r="AA11" i="5"/>
  <c r="AA12" i="5"/>
  <c r="AA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U4" i="5"/>
  <c r="AC4" i="5" s="1"/>
  <c r="AD4" i="5" s="1"/>
  <c r="U5" i="5"/>
  <c r="AC5" i="5" s="1"/>
  <c r="AD5" i="5" s="1"/>
  <c r="U6" i="5"/>
  <c r="AC6" i="5" s="1"/>
  <c r="AD6" i="5" s="1"/>
  <c r="U7" i="5"/>
  <c r="AC7" i="5" s="1"/>
  <c r="AD7" i="5" s="1"/>
  <c r="U8" i="5"/>
  <c r="AC8" i="5" s="1"/>
  <c r="AD8" i="5" s="1"/>
  <c r="U9" i="5"/>
  <c r="AC9" i="5" s="1"/>
  <c r="AD9" i="5" s="1"/>
  <c r="U10" i="5"/>
  <c r="AC10" i="5" s="1"/>
  <c r="AD10" i="5" s="1"/>
  <c r="U11" i="5"/>
  <c r="AC11" i="5" s="1"/>
  <c r="AD11" i="5" s="1"/>
  <c r="U12" i="5"/>
  <c r="AC12" i="5" s="1"/>
  <c r="AD12" i="5" s="1"/>
  <c r="U13" i="5"/>
  <c r="U14" i="5"/>
  <c r="U15" i="5"/>
  <c r="U16" i="5"/>
  <c r="U17" i="5"/>
  <c r="U18" i="5"/>
  <c r="U19" i="5"/>
  <c r="U20" i="5"/>
  <c r="U21" i="5"/>
  <c r="U22" i="5"/>
  <c r="U3" i="5"/>
  <c r="AC3" i="5" s="1"/>
  <c r="T4" i="5"/>
  <c r="T5" i="5"/>
  <c r="T6" i="5"/>
  <c r="T7" i="5"/>
  <c r="T8" i="5"/>
  <c r="T9" i="5"/>
  <c r="T10" i="5"/>
  <c r="T11" i="5"/>
  <c r="T12" i="5"/>
  <c r="T13" i="5"/>
  <c r="AB13" i="5" s="1"/>
  <c r="T14" i="5"/>
  <c r="AB14" i="5" s="1"/>
  <c r="T15" i="5"/>
  <c r="AB15" i="5" s="1"/>
  <c r="T16" i="5"/>
  <c r="AB16" i="5" s="1"/>
  <c r="T17" i="5"/>
  <c r="AB17" i="5" s="1"/>
  <c r="T18" i="5"/>
  <c r="AB18" i="5" s="1"/>
  <c r="T19" i="5"/>
  <c r="AB19" i="5" s="1"/>
  <c r="T20" i="5"/>
  <c r="AB20" i="5" s="1"/>
  <c r="T21" i="5"/>
  <c r="AB21" i="5" s="1"/>
  <c r="T22" i="5"/>
  <c r="AB22" i="5" s="1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3" i="5"/>
  <c r="BH22" i="5"/>
  <c r="BD22" i="5"/>
  <c r="BN22" i="5"/>
  <c r="AA22" i="5"/>
  <c r="AC22" i="5" s="1"/>
  <c r="AE22" i="5"/>
  <c r="BH21" i="5"/>
  <c r="BD21" i="5"/>
  <c r="AA21" i="5"/>
  <c r="AC21" i="5" s="1"/>
  <c r="AE21" i="5"/>
  <c r="BH20" i="5"/>
  <c r="BD20" i="5"/>
  <c r="AA20" i="5"/>
  <c r="AE20" i="5"/>
  <c r="BH19" i="5"/>
  <c r="BD19" i="5"/>
  <c r="AE19" i="5"/>
  <c r="AA19" i="5"/>
  <c r="BH18" i="5"/>
  <c r="BD18" i="5"/>
  <c r="BN18" i="5"/>
  <c r="AA18" i="5"/>
  <c r="AE18" i="5"/>
  <c r="BK18" i="5" s="1"/>
  <c r="BN17" i="5"/>
  <c r="BH17" i="5"/>
  <c r="BD17" i="5"/>
  <c r="AA17" i="5"/>
  <c r="AE17" i="5"/>
  <c r="BK17" i="5" s="1"/>
  <c r="BH16" i="5"/>
  <c r="BD16" i="5"/>
  <c r="AA16" i="5"/>
  <c r="AE16" i="5"/>
  <c r="BN15" i="5"/>
  <c r="BH15" i="5"/>
  <c r="BD15" i="5"/>
  <c r="AA15" i="5"/>
  <c r="AE15" i="5"/>
  <c r="BK15" i="5" s="1"/>
  <c r="BH14" i="5"/>
  <c r="BD14" i="5"/>
  <c r="AA14" i="5"/>
  <c r="AE14" i="5"/>
  <c r="BH13" i="5"/>
  <c r="BD13" i="5"/>
  <c r="AA13" i="5"/>
  <c r="BH12" i="5"/>
  <c r="BD12" i="5"/>
  <c r="BN12" i="5"/>
  <c r="AE12" i="5"/>
  <c r="BK12" i="5" s="1"/>
  <c r="BH11" i="5"/>
  <c r="BD11" i="5"/>
  <c r="BN11" i="5"/>
  <c r="AE11" i="5"/>
  <c r="BH10" i="5"/>
  <c r="BD10" i="5"/>
  <c r="AE10" i="5"/>
  <c r="BK10" i="5" s="1"/>
  <c r="BH9" i="5"/>
  <c r="BD9" i="5"/>
  <c r="AE9" i="5"/>
  <c r="BK9" i="5" s="1"/>
  <c r="BH8" i="5"/>
  <c r="BD8" i="5"/>
  <c r="AE8" i="5"/>
  <c r="BN7" i="5"/>
  <c r="BH7" i="5"/>
  <c r="BD7" i="5"/>
  <c r="AE7" i="5"/>
  <c r="BN6" i="5"/>
  <c r="BH6" i="5"/>
  <c r="BD6" i="5"/>
  <c r="AE6" i="5"/>
  <c r="BH5" i="5"/>
  <c r="BD5" i="5"/>
  <c r="AE5" i="5"/>
  <c r="BH4" i="5"/>
  <c r="BD4" i="5"/>
  <c r="AE4" i="5"/>
  <c r="BH3" i="5"/>
  <c r="BD3" i="5"/>
  <c r="BN3" i="5"/>
  <c r="AE3" i="5"/>
  <c r="A127" i="7"/>
  <c r="B127" i="7" s="1"/>
  <c r="C127" i="7" s="1"/>
  <c r="A126" i="7"/>
  <c r="B126" i="7" s="1"/>
  <c r="C126" i="7" s="1"/>
  <c r="A125" i="7"/>
  <c r="B125" i="7" s="1"/>
  <c r="C125" i="7" s="1"/>
  <c r="B124" i="7"/>
  <c r="C124" i="7" s="1"/>
  <c r="A123" i="7"/>
  <c r="B122" i="7" s="1"/>
  <c r="C122" i="7" s="1"/>
  <c r="A122" i="7"/>
  <c r="B121" i="7"/>
  <c r="C121" i="7" s="1"/>
  <c r="A121" i="7"/>
  <c r="B120" i="7"/>
  <c r="C120" i="7" s="1"/>
  <c r="A119" i="7"/>
  <c r="B119" i="7" s="1"/>
  <c r="C119" i="7" s="1"/>
  <c r="A118" i="7"/>
  <c r="B118" i="7" s="1"/>
  <c r="C118" i="7" s="1"/>
  <c r="A117" i="7"/>
  <c r="B116" i="7" s="1"/>
  <c r="C116" i="7" s="1"/>
  <c r="B115" i="7"/>
  <c r="C115" i="7" s="1"/>
  <c r="A115" i="7"/>
  <c r="A114" i="7"/>
  <c r="B114" i="7" s="1"/>
  <c r="C114" i="7" s="1"/>
  <c r="B113" i="7"/>
  <c r="C113" i="7" s="1"/>
  <c r="A113" i="7"/>
  <c r="B112" i="7"/>
  <c r="C112" i="7" s="1"/>
  <c r="A111" i="7"/>
  <c r="B110" i="7" s="1"/>
  <c r="C110" i="7" s="1"/>
  <c r="A110" i="7"/>
  <c r="A109" i="7"/>
  <c r="B109" i="7" s="1"/>
  <c r="C109" i="7" s="1"/>
  <c r="B108" i="7"/>
  <c r="C108" i="7" s="1"/>
  <c r="A107" i="7"/>
  <c r="B107" i="7" s="1"/>
  <c r="C107" i="7" s="1"/>
  <c r="A106" i="7"/>
  <c r="B106" i="7" s="1"/>
  <c r="C106" i="7" s="1"/>
  <c r="B105" i="7"/>
  <c r="C105" i="7" s="1"/>
  <c r="A105" i="7"/>
  <c r="B104" i="7" s="1"/>
  <c r="C104" i="7" s="1"/>
  <c r="A103" i="7"/>
  <c r="B103" i="7" s="1"/>
  <c r="C103" i="7" s="1"/>
  <c r="B102" i="7"/>
  <c r="C102" i="7" s="1"/>
  <c r="A102" i="7"/>
  <c r="A101" i="7"/>
  <c r="B101" i="7" s="1"/>
  <c r="C101" i="7" s="1"/>
  <c r="B100" i="7"/>
  <c r="C100" i="7" s="1"/>
  <c r="B99" i="7"/>
  <c r="C99" i="7" s="1"/>
  <c r="A99" i="7"/>
  <c r="A98" i="7"/>
  <c r="B98" i="7" s="1"/>
  <c r="C98" i="7" s="1"/>
  <c r="A97" i="7"/>
  <c r="B97" i="7" s="1"/>
  <c r="C97" i="7" s="1"/>
  <c r="A95" i="7"/>
  <c r="B95" i="7" s="1"/>
  <c r="C95" i="7" s="1"/>
  <c r="A94" i="7"/>
  <c r="B93" i="7" s="1"/>
  <c r="C93" i="7" s="1"/>
  <c r="A93" i="7"/>
  <c r="B92" i="7"/>
  <c r="C92" i="7" s="1"/>
  <c r="A91" i="7"/>
  <c r="B91" i="7" s="1"/>
  <c r="C91" i="7" s="1"/>
  <c r="A90" i="7"/>
  <c r="B90" i="7" s="1"/>
  <c r="C90" i="7" s="1"/>
  <c r="A89" i="7"/>
  <c r="B89" i="7" s="1"/>
  <c r="C89" i="7" s="1"/>
  <c r="B88" i="7"/>
  <c r="C88" i="7" s="1"/>
  <c r="C87" i="7"/>
  <c r="B87" i="7"/>
  <c r="A87" i="7"/>
  <c r="B86" i="7"/>
  <c r="C86" i="7" s="1"/>
  <c r="A86" i="7"/>
  <c r="A85" i="7"/>
  <c r="B85" i="7" s="1"/>
  <c r="C85" i="7" s="1"/>
  <c r="F84" i="7"/>
  <c r="C128" i="7" s="1"/>
  <c r="B61" i="7"/>
  <c r="E55" i="7"/>
  <c r="E54" i="7"/>
  <c r="B69" i="7"/>
  <c r="B30" i="7"/>
  <c r="B29" i="7"/>
  <c r="B28" i="7"/>
  <c r="B34" i="7" s="1"/>
  <c r="B27" i="7"/>
  <c r="B32" i="7" s="1"/>
  <c r="B19" i="7" s="1"/>
  <c r="B20" i="7"/>
  <c r="B35" i="7" s="1"/>
  <c r="B36" i="7" s="1"/>
  <c r="B68" i="7" s="1"/>
  <c r="B17" i="7"/>
  <c r="L13" i="7"/>
  <c r="O13" i="7" s="1"/>
  <c r="O12" i="7"/>
  <c r="L12" i="7"/>
  <c r="O11" i="7"/>
  <c r="L11" i="7"/>
  <c r="B11" i="7"/>
  <c r="B18" i="7" s="1"/>
  <c r="L10" i="7"/>
  <c r="O10" i="7" s="1"/>
  <c r="B14" i="7" s="1"/>
  <c r="B16" i="7" s="1"/>
  <c r="L9" i="7"/>
  <c r="O9" i="7" s="1"/>
  <c r="L8" i="7"/>
  <c r="O8" i="7" s="1"/>
  <c r="F35" i="6"/>
  <c r="I35" i="6" s="1"/>
  <c r="F34" i="6"/>
  <c r="I34" i="6" s="1"/>
  <c r="F33" i="6"/>
  <c r="I33" i="6" s="1"/>
  <c r="F32" i="6"/>
  <c r="I32" i="6" s="1"/>
  <c r="F31" i="6"/>
  <c r="I31" i="6" s="1"/>
  <c r="F30" i="6"/>
  <c r="I30" i="6" s="1"/>
  <c r="BK20" i="5" l="1"/>
  <c r="BK4" i="5"/>
  <c r="BM8" i="5"/>
  <c r="BK13" i="5"/>
  <c r="BK5" i="5"/>
  <c r="BM9" i="5"/>
  <c r="AF8" i="5"/>
  <c r="BL8" i="5" s="1"/>
  <c r="AF5" i="5"/>
  <c r="AN5" i="5" s="1"/>
  <c r="BC5" i="5" s="1"/>
  <c r="BF5" i="5" s="1"/>
  <c r="BK14" i="5"/>
  <c r="BK3" i="5"/>
  <c r="AC14" i="5"/>
  <c r="AD14" i="5" s="1"/>
  <c r="BM14" i="5" s="1"/>
  <c r="AF20" i="5"/>
  <c r="BL20" i="5" s="1"/>
  <c r="AF18" i="5"/>
  <c r="BL18" i="5" s="1"/>
  <c r="AF10" i="5"/>
  <c r="BL10" i="5" s="1"/>
  <c r="AC16" i="5"/>
  <c r="AD16" i="5" s="1"/>
  <c r="BM16" i="5" s="1"/>
  <c r="AC20" i="5"/>
  <c r="AD20" i="5" s="1"/>
  <c r="BM20" i="5" s="1"/>
  <c r="AF4" i="5"/>
  <c r="AN4" i="5" s="1"/>
  <c r="BI4" i="5" s="1"/>
  <c r="AF21" i="5"/>
  <c r="BL21" i="5" s="1"/>
  <c r="AF19" i="5"/>
  <c r="AF16" i="5"/>
  <c r="BL16" i="5" s="1"/>
  <c r="AF12" i="5"/>
  <c r="AN12" i="5" s="1"/>
  <c r="BI12" i="5" s="1"/>
  <c r="AF15" i="5"/>
  <c r="BL15" i="5" s="1"/>
  <c r="BM7" i="5"/>
  <c r="AF11" i="5"/>
  <c r="AF13" i="5"/>
  <c r="BL13" i="5" s="1"/>
  <c r="AF23" i="5"/>
  <c r="AF9" i="5"/>
  <c r="AN9" i="5" s="1"/>
  <c r="BC9" i="5" s="1"/>
  <c r="BF9" i="5" s="1"/>
  <c r="AF3" i="5"/>
  <c r="BL3" i="5" s="1"/>
  <c r="AF7" i="5"/>
  <c r="AF6" i="5"/>
  <c r="AN6" i="5" s="1"/>
  <c r="AQ11" i="11"/>
  <c r="AQ9" i="11"/>
  <c r="AQ17" i="11"/>
  <c r="AQ18" i="11"/>
  <c r="AQ8" i="11"/>
  <c r="AQ15" i="11"/>
  <c r="AQ16" i="11"/>
  <c r="AQ21" i="11"/>
  <c r="AQ3" i="11"/>
  <c r="AQ14" i="11"/>
  <c r="AQ20" i="11"/>
  <c r="AQ22" i="11"/>
  <c r="AQ12" i="11"/>
  <c r="AQ7" i="11"/>
  <c r="AQ4" i="11"/>
  <c r="AQ5" i="11"/>
  <c r="AQ6" i="11"/>
  <c r="AQ13" i="11"/>
  <c r="D30" i="10"/>
  <c r="B32" i="10"/>
  <c r="B31" i="10"/>
  <c r="B67" i="7"/>
  <c r="AC17" i="5"/>
  <c r="AD17" i="5" s="1"/>
  <c r="BM17" i="5" s="1"/>
  <c r="AC15" i="5"/>
  <c r="AD15" i="5" s="1"/>
  <c r="BM15" i="5" s="1"/>
  <c r="AC13" i="5"/>
  <c r="AD13" i="5" s="1"/>
  <c r="BM13" i="5" s="1"/>
  <c r="AF22" i="5"/>
  <c r="AC18" i="5"/>
  <c r="AD18" i="5" s="1"/>
  <c r="BM18" i="5" s="1"/>
  <c r="AF17" i="5"/>
  <c r="BL17" i="5" s="1"/>
  <c r="AC19" i="5"/>
  <c r="AD19" i="5" s="1"/>
  <c r="BM19" i="5" s="1"/>
  <c r="BK16" i="5"/>
  <c r="BK21" i="5"/>
  <c r="BK19" i="5"/>
  <c r="BK11" i="5"/>
  <c r="BK8" i="5"/>
  <c r="AD3" i="5"/>
  <c r="BM3" i="5" s="1"/>
  <c r="BM5" i="5"/>
  <c r="BM11" i="5"/>
  <c r="BM10" i="5"/>
  <c r="AD21" i="5"/>
  <c r="BM21" i="5" s="1"/>
  <c r="AD22" i="5"/>
  <c r="BM22" i="5" s="1"/>
  <c r="BM4" i="5"/>
  <c r="BK6" i="5"/>
  <c r="BM6" i="5"/>
  <c r="BK7" i="5"/>
  <c r="BM12" i="5"/>
  <c r="BK22" i="5"/>
  <c r="AF14" i="5"/>
  <c r="BL14" i="5" s="1"/>
  <c r="B66" i="7"/>
  <c r="B46" i="7"/>
  <c r="E53" i="7" s="1"/>
  <c r="E56" i="7" s="1"/>
  <c r="B117" i="7"/>
  <c r="C117" i="7" s="1"/>
  <c r="B123" i="7"/>
  <c r="C123" i="7" s="1"/>
  <c r="B84" i="7"/>
  <c r="C84" i="7" s="1"/>
  <c r="B111" i="7"/>
  <c r="C111" i="7" s="1"/>
  <c r="B94" i="7"/>
  <c r="C94" i="7" s="1"/>
  <c r="B96" i="7"/>
  <c r="C96" i="7" s="1"/>
  <c r="BL7" i="5" l="1"/>
  <c r="AN7" i="5"/>
  <c r="BC7" i="5" s="1"/>
  <c r="BF7" i="5" s="1"/>
  <c r="BL11" i="5"/>
  <c r="AN11" i="5"/>
  <c r="BI11" i="5" s="1"/>
  <c r="B33" i="10"/>
  <c r="D31" i="10"/>
  <c r="D36" i="10"/>
  <c r="B52" i="10" s="1"/>
  <c r="B53" i="10" s="1"/>
  <c r="AN19" i="5"/>
  <c r="BI19" i="5" s="1"/>
  <c r="BL19" i="5"/>
  <c r="AN10" i="5"/>
  <c r="BI10" i="5" s="1"/>
  <c r="AN20" i="5"/>
  <c r="BI20" i="5" s="1"/>
  <c r="AN3" i="5"/>
  <c r="BI3" i="5" s="1"/>
  <c r="AN17" i="5"/>
  <c r="BI17" i="5" s="1"/>
  <c r="AN18" i="5"/>
  <c r="BI18" i="5" s="1"/>
  <c r="BL4" i="5"/>
  <c r="BL12" i="5"/>
  <c r="BL9" i="5"/>
  <c r="AN16" i="5"/>
  <c r="BC16" i="5" s="1"/>
  <c r="BF16" i="5" s="1"/>
  <c r="AN22" i="5"/>
  <c r="BC22" i="5" s="1"/>
  <c r="BF22" i="5" s="1"/>
  <c r="BL5" i="5"/>
  <c r="AN21" i="5"/>
  <c r="BI21" i="5" s="1"/>
  <c r="BC4" i="5"/>
  <c r="BF4" i="5" s="1"/>
  <c r="BJ4" i="5" s="1"/>
  <c r="BI5" i="5"/>
  <c r="BJ5" i="5" s="1"/>
  <c r="BI7" i="5"/>
  <c r="BJ7" i="5" s="1"/>
  <c r="BO7" i="5" s="1"/>
  <c r="BP7" i="5" s="1"/>
  <c r="BC11" i="5"/>
  <c r="BF11" i="5" s="1"/>
  <c r="BJ11" i="5" s="1"/>
  <c r="BO11" i="5" s="1"/>
  <c r="BP11" i="5" s="1"/>
  <c r="BC12" i="5"/>
  <c r="BF12" i="5" s="1"/>
  <c r="BJ12" i="5" s="1"/>
  <c r="BC6" i="5"/>
  <c r="BF6" i="5" s="1"/>
  <c r="BI6" i="5"/>
  <c r="AN13" i="5"/>
  <c r="BL6" i="5"/>
  <c r="AN8" i="5"/>
  <c r="BL22" i="5"/>
  <c r="AN14" i="5"/>
  <c r="BI9" i="5"/>
  <c r="BJ9" i="5" s="1"/>
  <c r="BO9" i="5" s="1"/>
  <c r="BP9" i="5" s="1"/>
  <c r="AN15" i="5"/>
  <c r="B64" i="7"/>
  <c r="B65" i="7"/>
  <c r="B70" i="7" s="1"/>
  <c r="B71" i="7" s="1"/>
  <c r="BC20" i="5" l="1"/>
  <c r="BF20" i="5" s="1"/>
  <c r="BJ20" i="5" s="1"/>
  <c r="BO20" i="5" s="1"/>
  <c r="BP20" i="5" s="1"/>
  <c r="BO4" i="5"/>
  <c r="BP4" i="5" s="1"/>
  <c r="BC17" i="5"/>
  <c r="BF17" i="5" s="1"/>
  <c r="BJ17" i="5" s="1"/>
  <c r="BO17" i="5" s="1"/>
  <c r="BP17" i="5" s="1"/>
  <c r="BC10" i="5"/>
  <c r="BF10" i="5" s="1"/>
  <c r="BJ10" i="5" s="1"/>
  <c r="BO10" i="5" s="1"/>
  <c r="BP10" i="5" s="1"/>
  <c r="BC19" i="5"/>
  <c r="BF19" i="5" s="1"/>
  <c r="BJ19" i="5" s="1"/>
  <c r="BO19" i="5" s="1"/>
  <c r="BP19" i="5" s="1"/>
  <c r="BC3" i="5"/>
  <c r="BF3" i="5" s="1"/>
  <c r="BJ3" i="5" s="1"/>
  <c r="BO3" i="5" s="1"/>
  <c r="BP3" i="5" s="1"/>
  <c r="BO5" i="5"/>
  <c r="BP5" i="5" s="1"/>
  <c r="BJ6" i="5"/>
  <c r="BC18" i="5"/>
  <c r="BF18" i="5" s="1"/>
  <c r="BJ18" i="5" s="1"/>
  <c r="BO18" i="5" s="1"/>
  <c r="BP18" i="5" s="1"/>
  <c r="BO12" i="5"/>
  <c r="BP12" i="5" s="1"/>
  <c r="BI16" i="5"/>
  <c r="BJ16" i="5" s="1"/>
  <c r="BO16" i="5" s="1"/>
  <c r="BP16" i="5" s="1"/>
  <c r="BI22" i="5"/>
  <c r="BJ22" i="5" s="1"/>
  <c r="BO22" i="5" s="1"/>
  <c r="BP22" i="5" s="1"/>
  <c r="BC21" i="5"/>
  <c r="BF21" i="5" s="1"/>
  <c r="BJ21" i="5" s="1"/>
  <c r="BO21" i="5" s="1"/>
  <c r="BP21" i="5" s="1"/>
  <c r="BO6" i="5"/>
  <c r="BP6" i="5" s="1"/>
  <c r="BC8" i="5"/>
  <c r="BF8" i="5" s="1"/>
  <c r="BJ8" i="5" s="1"/>
  <c r="BO8" i="5" s="1"/>
  <c r="BP8" i="5" s="1"/>
  <c r="BI8" i="5"/>
  <c r="BC15" i="5"/>
  <c r="BF15" i="5" s="1"/>
  <c r="BJ15" i="5" s="1"/>
  <c r="BO15" i="5" s="1"/>
  <c r="BP15" i="5" s="1"/>
  <c r="BI15" i="5"/>
  <c r="BC14" i="5"/>
  <c r="BF14" i="5" s="1"/>
  <c r="BI14" i="5"/>
  <c r="BI13" i="5"/>
  <c r="BC13" i="5"/>
  <c r="BF13" i="5" s="1"/>
  <c r="BJ14" i="5" l="1"/>
  <c r="BO14" i="5" s="1"/>
  <c r="BP14" i="5" s="1"/>
  <c r="BJ13" i="5"/>
  <c r="BO13" i="5" s="1"/>
  <c r="BP13" i="5" s="1"/>
</calcChain>
</file>

<file path=xl/sharedStrings.xml><?xml version="1.0" encoding="utf-8"?>
<sst xmlns="http://schemas.openxmlformats.org/spreadsheetml/2006/main" count="2307" uniqueCount="434">
  <si>
    <t>soil_type</t>
  </si>
  <si>
    <t>d_pipe</t>
  </si>
  <si>
    <t>t_pipe</t>
  </si>
  <si>
    <t>sigma_y</t>
  </si>
  <si>
    <t>n_param</t>
  </si>
  <si>
    <t>r_param</t>
  </si>
  <si>
    <t>pgdef</t>
  </si>
  <si>
    <t>t_u</t>
  </si>
  <si>
    <t>eps_pipe</t>
  </si>
  <si>
    <t>sand</t>
  </si>
  <si>
    <t>clay</t>
  </si>
  <si>
    <t>a1</t>
  </si>
  <si>
    <t>a2</t>
  </si>
  <si>
    <t>c3</t>
  </si>
  <si>
    <t>a0</t>
  </si>
  <si>
    <t>steel_grade</t>
  </si>
  <si>
    <t>sigma_ult</t>
  </si>
  <si>
    <t>eps_ult</t>
  </si>
  <si>
    <t>b0</t>
  </si>
  <si>
    <t>b1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</si>
  <si>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</si>
  <si>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</si>
  <si>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</si>
  <si>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</si>
  <si>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</si>
  <si>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</si>
  <si>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</si>
  <si>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</si>
  <si>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</si>
  <si>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psi_dip</t>
  </si>
  <si>
    <t>β</t>
  </si>
  <si>
    <t>θ</t>
  </si>
  <si>
    <t>&lt;= 90</t>
  </si>
  <si>
    <t>&gt; 90</t>
  </si>
  <si>
    <t>= 0</t>
  </si>
  <si>
    <t>normal</t>
  </si>
  <si>
    <t>= -90</t>
  </si>
  <si>
    <t>= -180</t>
  </si>
  <si>
    <t>case</t>
  </si>
  <si>
    <t>case to run</t>
  </si>
  <si>
    <t>&gt; -180 and &lt; -90</t>
  </si>
  <si>
    <t>&gt; -90 and &lt; 0</t>
  </si>
  <si>
    <t>= 90</t>
  </si>
  <si>
    <t>reverse</t>
  </si>
  <si>
    <t>&gt; 0 and &lt; 90</t>
  </si>
  <si>
    <t>&gt; 90 and &lt; 180</t>
  </si>
  <si>
    <t>n</t>
  </si>
  <si>
    <t>no.</t>
  </si>
  <si>
    <t>all cases</t>
  </si>
  <si>
    <t>fault rupture</t>
  </si>
  <si>
    <t>ψ</t>
  </si>
  <si>
    <t>else</t>
  </si>
  <si>
    <t>&gt;= -10 and &lt;= 10</t>
  </si>
  <si>
    <t>landslide</t>
  </si>
  <si>
    <t>lateral spread</t>
  </si>
  <si>
    <t>settlement</t>
  </si>
  <si>
    <t>Bain et al</t>
  </si>
  <si>
    <t>* Hutabaret et al if not specified</t>
  </si>
  <si>
    <t>= 180</t>
  </si>
  <si>
    <t>check box for models</t>
  </si>
  <si>
    <t>Bain et al.</t>
  </si>
  <si>
    <t>Hutabarat - ss_tens</t>
  </si>
  <si>
    <t>Hutabarat - ss_comp</t>
  </si>
  <si>
    <t>Hutabarat - normal</t>
  </si>
  <si>
    <t>Hutabarat - reverse</t>
  </si>
  <si>
    <t>x</t>
  </si>
  <si>
    <t>ss tens</t>
  </si>
  <si>
    <t>- β &lt;= 90 -&gt; ss comp
- β &gt; 90 -&gt; ss tens</t>
  </si>
  <si>
    <t>- β&lt;=90 -&gt; ss comp
- β&gt;90 -&gt; ss tens</t>
  </si>
  <si>
    <t>ss tens and normal</t>
  </si>
  <si>
    <t>ss comp and normal</t>
  </si>
  <si>
    <t>ss comp</t>
  </si>
  <si>
    <t>ss comp and reverse</t>
  </si>
  <si>
    <t>ss tens and reverse</t>
  </si>
  <si>
    <t>always run normal</t>
  </si>
  <si>
    <r>
      <t xml:space="preserve">if </t>
    </r>
    <r>
      <rPr>
        <sz val="11"/>
        <color theme="1"/>
        <rFont val="Calibri"/>
        <family val="2"/>
      </rPr>
      <t>β &lt;= 90</t>
    </r>
  </si>
  <si>
    <t>always run reverse</t>
  </si>
  <si>
    <t>always run ss comp</t>
  </si>
  <si>
    <t>always run ss tens</t>
  </si>
  <si>
    <t>if -90 &lt;= θ &lt;= 90</t>
  </si>
  <si>
    <t>simplified logic for fault rupture</t>
  </si>
  <si>
    <t>- normal at head scarp
- reverse at toe</t>
  </si>
  <si>
    <t>alpha_backfill</t>
  </si>
  <si>
    <t>s_u_backfill</t>
  </si>
  <si>
    <t>gamma_backfill</t>
  </si>
  <si>
    <t>phi_backfill</t>
  </si>
  <si>
    <t>soil_density</t>
  </si>
  <si>
    <t>Case</t>
  </si>
  <si>
    <t>D</t>
  </si>
  <si>
    <t>t</t>
  </si>
  <si>
    <t>D/t</t>
  </si>
  <si>
    <t>La</t>
  </si>
  <si>
    <t>Material</t>
  </si>
  <si>
    <t>eps_ult (%)</t>
  </si>
  <si>
    <t>Log[eps_ult]</t>
  </si>
  <si>
    <t>Soil Type***</t>
  </si>
  <si>
    <t>Soil Density***</t>
  </si>
  <si>
    <t>H (m)***</t>
  </si>
  <si>
    <t>H/D</t>
  </si>
  <si>
    <t>Log[D/t]</t>
  </si>
  <si>
    <t>a3</t>
  </si>
  <si>
    <t>a4</t>
  </si>
  <si>
    <t>a5</t>
  </si>
  <si>
    <t>a6</t>
  </si>
  <si>
    <t>b2</t>
  </si>
  <si>
    <t>b3</t>
  </si>
  <si>
    <t>b4</t>
  </si>
  <si>
    <t>b5</t>
  </si>
  <si>
    <t>Δf (m)</t>
  </si>
  <si>
    <t>Log[Δf]</t>
  </si>
  <si>
    <t>Log[Δf / Δu]</t>
  </si>
  <si>
    <t>b1 Log[Δf / Δu]</t>
  </si>
  <si>
    <t>b2 Log[D/t]</t>
  </si>
  <si>
    <t>b3 Fsoil Log[tult]</t>
  </si>
  <si>
    <t>b4 Log[qVD]</t>
  </si>
  <si>
    <t>b5 Log[D]</t>
  </si>
  <si>
    <t>εlong (%)</t>
  </si>
  <si>
    <t>X-52</t>
  </si>
  <si>
    <t>X-60</t>
  </si>
  <si>
    <t>X-70</t>
  </si>
  <si>
    <t>X-80</t>
  </si>
  <si>
    <t>Cohesionless (Sand)</t>
  </si>
  <si>
    <t>Medium Dense (Sand)</t>
  </si>
  <si>
    <t>Very Dense (Sand)</t>
  </si>
  <si>
    <t>d_t_ratio</t>
  </si>
  <si>
    <t>l_anchor</t>
  </si>
  <si>
    <t>ln_eps_ult</t>
  </si>
  <si>
    <t>h_d_ratio</t>
  </si>
  <si>
    <t>n_gamma_d</t>
  </si>
  <si>
    <r>
      <rPr>
        <sz val="11"/>
        <color theme="1"/>
        <rFont val="Calibri"/>
        <family val="2"/>
      </rPr>
      <t>γ (kN/m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</si>
  <si>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φ (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</si>
  <si>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(kPa)</t>
    </r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</si>
  <si>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 xml:space="preserve"> (for clay)</t>
    </r>
  </si>
  <si>
    <r>
      <t>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 xml:space="preserve"> (kN/m)</t>
    </r>
  </si>
  <si>
    <r>
      <t>N</t>
    </r>
    <r>
      <rPr>
        <vertAlign val="subscript"/>
        <sz val="11"/>
        <color theme="1"/>
        <rFont val="Calibri"/>
        <family val="2"/>
        <scheme val="minor"/>
      </rPr>
      <t>qVD</t>
    </r>
  </si>
  <si>
    <r>
      <t>N</t>
    </r>
    <r>
      <rPr>
        <vertAlign val="subscript"/>
        <sz val="11"/>
        <color theme="1"/>
        <rFont val="Calibri"/>
        <family val="2"/>
      </rPr>
      <t>γ</t>
    </r>
    <r>
      <rPr>
        <vertAlign val="subscript"/>
        <sz val="11"/>
        <color theme="1"/>
        <rFont val="Calibri"/>
        <family val="2"/>
        <scheme val="minor"/>
      </rPr>
      <t>D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</si>
  <si>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</t>
    </r>
  </si>
  <si>
    <r>
      <t>Log[q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(kN/m)]</t>
    </r>
  </si>
  <si>
    <r>
      <t>Log[t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>]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</si>
  <si>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</si>
  <si>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</si>
  <si>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</si>
  <si>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</si>
  <si>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</si>
  <si>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</si>
  <si>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</si>
  <si>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Log[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u]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</si>
  <si>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</si>
  <si>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</si>
  <si>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</si>
  <si>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</si>
  <si>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</si>
  <si>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</si>
  <si>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</si>
  <si>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41</t>
    </r>
  </si>
  <si>
    <r>
      <t>d</t>
    </r>
    <r>
      <rPr>
        <vertAlign val="subscript"/>
        <sz val="11"/>
        <color theme="1"/>
        <rFont val="Calibri"/>
        <family val="2"/>
        <scheme val="minor"/>
      </rPr>
      <t>42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</si>
  <si>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</si>
  <si>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</si>
  <si>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71</t>
    </r>
  </si>
  <si>
    <r>
      <t>d</t>
    </r>
    <r>
      <rPr>
        <vertAlign val="subscript"/>
        <sz val="11"/>
        <color theme="1"/>
        <rFont val="Calibri"/>
        <family val="2"/>
        <scheme val="minor"/>
      </rPr>
      <t>72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</si>
  <si>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</si>
  <si>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7.7"/>
        <color theme="1"/>
        <rFont val="Calibri"/>
        <family val="2"/>
      </rPr>
      <t>f</t>
    </r>
  </si>
  <si>
    <r>
      <t>F</t>
    </r>
    <r>
      <rPr>
        <vertAlign val="subscript"/>
        <sz val="11"/>
        <color theme="1"/>
        <rFont val="Calibri"/>
        <family val="2"/>
      </rPr>
      <t>La</t>
    </r>
  </si>
  <si>
    <r>
      <t>F</t>
    </r>
    <r>
      <rPr>
        <vertAlign val="subscript"/>
        <sz val="11"/>
        <color theme="1"/>
        <rFont val="Calibri"/>
        <family val="2"/>
      </rPr>
      <t>soil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</si>
  <si>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</si>
  <si>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Log[Δf / Δu]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</si>
  <si>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Log[D/t]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</si>
  <si>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Fsoil Log[tult]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</si>
  <si>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Log[qVD]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</si>
  <si>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Log[D]</t>
    </r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</si>
  <si>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long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</si>
  <si>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long </t>
    </r>
    <r>
      <rPr>
        <sz val="11"/>
        <color theme="1"/>
        <rFont val="Calibri"/>
        <family val="2"/>
        <scheme val="minor"/>
      </rPr>
      <t>(%)</t>
    </r>
  </si>
  <si>
    <t>ln_d_t</t>
  </si>
  <si>
    <r>
      <t xml:space="preserve">Coefficient to Calculate </t>
    </r>
    <r>
      <rPr>
        <sz val="11"/>
        <color theme="1"/>
        <rFont val="Calibri"/>
        <family val="2"/>
      </rPr>
      <t>Δu</t>
    </r>
  </si>
  <si>
    <r>
      <t>Coefficient to Calculate Log[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long</t>
    </r>
    <r>
      <rPr>
        <sz val="11"/>
        <color theme="1"/>
        <rFont val="Calibri"/>
        <family val="2"/>
      </rPr>
      <t>]</t>
    </r>
  </si>
  <si>
    <t>σln</t>
  </si>
  <si>
    <r>
      <t>Coefficient to Calculate N</t>
    </r>
    <r>
      <rPr>
        <vertAlign val="subscript"/>
        <sz val="11"/>
        <color theme="1"/>
        <rFont val="Calibri"/>
        <family val="2"/>
        <scheme val="minor"/>
      </rPr>
      <t>qVD</t>
    </r>
  </si>
  <si>
    <t>Medium</t>
  </si>
  <si>
    <t>Dense</t>
  </si>
  <si>
    <t>Very Dense</t>
  </si>
  <si>
    <t>Steel Grade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</si>
  <si>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yield</t>
    </r>
    <r>
      <rPr>
        <sz val="11"/>
        <color theme="1"/>
        <rFont val="Calibri"/>
        <family val="2"/>
        <scheme val="minor"/>
      </rPr>
      <t xml:space="preserve"> (MPa)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</si>
  <si>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ult</t>
    </r>
    <r>
      <rPr>
        <sz val="11"/>
        <color theme="1"/>
        <rFont val="Calibri"/>
        <family val="2"/>
        <scheme val="minor"/>
      </rPr>
      <t xml:space="preserve"> (MPa)</t>
    </r>
  </si>
  <si>
    <t>R-O Parameters</t>
  </si>
  <si>
    <r>
      <t>ε</t>
    </r>
    <r>
      <rPr>
        <vertAlign val="subscript"/>
        <sz val="11"/>
        <color theme="1"/>
        <rFont val="Calibri"/>
        <family val="2"/>
      </rPr>
      <t>ult (%)</t>
    </r>
  </si>
  <si>
    <t>r</t>
  </si>
  <si>
    <t>Grade-B</t>
  </si>
  <si>
    <t>X-42</t>
  </si>
  <si>
    <t>MODEL TO ESTIMATE LONGITUDINAL PIPE TENSILE STRAIN FOR CASE OF STRIKE-SLIP TENSION</t>
  </si>
  <si>
    <t>Spreadsheet Author:</t>
  </si>
  <si>
    <t>Daniel Hutabarat, Jon Bray &amp; Task 4b Members</t>
  </si>
  <si>
    <t>Version:</t>
  </si>
  <si>
    <t>HIGH CONFIDENCE IN VALUE (SUPPORTED BY DATA)</t>
  </si>
  <si>
    <t>CELL REQUIRES USER INPUT</t>
  </si>
  <si>
    <t>Date:</t>
  </si>
  <si>
    <t>MEDIUM CONFIDENCE IN VALUE (EDUCATED GUESS)</t>
  </si>
  <si>
    <t>CELL DOES NOT REQUIRE USER INPUT</t>
  </si>
  <si>
    <t>Level:</t>
  </si>
  <si>
    <t>VERY LOW CONFIDENCE IN VALUE (NOT POSSIBLE TO MAKE EDUCATED GUESS/NO SUPPORTING DATA)</t>
  </si>
  <si>
    <t>PIPELINE SYSTEM VARIABLES</t>
  </si>
  <si>
    <t>Input</t>
  </si>
  <si>
    <t>σ</t>
  </si>
  <si>
    <t>COV (%)</t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</si>
  <si>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Low</t>
    </r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</si>
  <si>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High</t>
    </r>
  </si>
  <si>
    <t>Distribution (drop-down menu)</t>
  </si>
  <si>
    <t>Notes</t>
  </si>
  <si>
    <t>PIPE OUTSIDE DIAMETER (m)</t>
  </si>
  <si>
    <t>PIPE WALL THICKNESS (m)</t>
  </si>
  <si>
    <t>Diameter-to-thickness Ratio</t>
  </si>
  <si>
    <r>
      <t>L</t>
    </r>
    <r>
      <rPr>
        <i/>
        <vertAlign val="subscript"/>
        <sz val="11"/>
        <color theme="1"/>
        <rFont val="Arial"/>
        <family val="2"/>
      </rPr>
      <t>a</t>
    </r>
  </si>
  <si>
    <t>lognormal</t>
  </si>
  <si>
    <t>Pipeline Anchored Length (m)</t>
  </si>
  <si>
    <t>Material Grade</t>
  </si>
  <si>
    <r>
      <rPr>
        <b/>
        <sz val="11"/>
        <color theme="1"/>
        <rFont val="Calibri"/>
        <family val="2"/>
      </rPr>
      <t>ε</t>
    </r>
    <r>
      <rPr>
        <b/>
        <vertAlign val="subscript"/>
        <sz val="9.35"/>
        <color theme="1"/>
        <rFont val="Calibri"/>
        <family val="2"/>
      </rPr>
      <t>ult</t>
    </r>
    <r>
      <rPr>
        <b/>
        <sz val="9.35"/>
        <color theme="1"/>
        <rFont val="Calibri"/>
        <family val="2"/>
      </rPr>
      <t xml:space="preserve"> (%)</t>
    </r>
  </si>
  <si>
    <t>Strain at material ultimate stress</t>
  </si>
  <si>
    <t>Log[εult]</t>
  </si>
  <si>
    <t>Calculation Step</t>
  </si>
  <si>
    <t>Log[La]</t>
  </si>
  <si>
    <t>Minimum Value of H/D : 1.8 ; Maximum Value of H/D: 11.5</t>
  </si>
  <si>
    <t>GEOTECHNICAL VARIABLES</t>
  </si>
  <si>
    <t>Parameters</t>
  </si>
  <si>
    <t>ψ**</t>
  </si>
  <si>
    <t>Pipe-Fault Dip Angle (deg)</t>
  </si>
  <si>
    <t>Soil Type</t>
  </si>
  <si>
    <t>Soil Strength</t>
  </si>
  <si>
    <t>Soil Unit Weight</t>
  </si>
  <si>
    <t>Friction Angle (deg) for Sand</t>
  </si>
  <si>
    <t>Undrained Shear Strength for Clay</t>
  </si>
  <si>
    <t>Adhesion Factor for Clay Based on ASCE 1984 Guideline</t>
  </si>
  <si>
    <t>Burial Depth to pipe centerline</t>
  </si>
  <si>
    <t>Equation 1</t>
  </si>
  <si>
    <t>Maximum Ko-Condition Frictional Soil Resistance (kN/m)</t>
  </si>
  <si>
    <t>Bearing Capacity factor (Jung et al. 2013)</t>
  </si>
  <si>
    <t>Bearing Capacity factor (O'Rourke &amp; Liu 2012)</t>
  </si>
  <si>
    <r>
      <t>Log[q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>]</t>
    </r>
  </si>
  <si>
    <t>Regression Coefficients (See "Coefficient" sheet")</t>
  </si>
  <si>
    <t>INPUT IM/EDP/EDM FROM OpenSRA</t>
  </si>
  <si>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>f</t>
    </r>
  </si>
  <si>
    <t>Permanent Ground Deformation (m)</t>
  </si>
  <si>
    <r>
      <t>Log[Δ</t>
    </r>
    <r>
      <rPr>
        <b/>
        <sz val="9.35"/>
        <color theme="1"/>
        <rFont val="Calibri"/>
        <family val="2"/>
      </rPr>
      <t>f]</t>
    </r>
  </si>
  <si>
    <t>OUTPUT DAMAGE MEASURE (DM)</t>
  </si>
  <si>
    <r>
      <t>ln ε</t>
    </r>
    <r>
      <rPr>
        <b/>
        <vertAlign val="subscript"/>
        <sz val="11"/>
        <color theme="1"/>
        <rFont val="Calibri"/>
        <family val="2"/>
        <scheme val="minor"/>
      </rPr>
      <t>long</t>
    </r>
  </si>
  <si>
    <t>Computed Pipe Longitudinal Strain (%)</t>
  </si>
  <si>
    <t>τ</t>
  </si>
  <si>
    <t>EPISTEMIC UNCERTAINTY</t>
  </si>
  <si>
    <t>Notes:</t>
  </si>
  <si>
    <t>** : User is required to identify the pipe-fault crossing angle</t>
  </si>
  <si>
    <t>*** : User is required to provide soil information including type of soil (sand or clay), soil strength , and burial depth to pipe centerline for sand material</t>
  </si>
  <si>
    <t>FRAGILITY CURVE LONGITUDINAL PIPE TENSILE STRAIN FOR CASE OF STRIKE-SLIP TENSION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</si>
  <si>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>: Permanent Ground Deformation</t>
    </r>
  </si>
  <si>
    <r>
      <t>Geomean Δ</t>
    </r>
    <r>
      <rPr>
        <b/>
        <sz val="9.35"/>
        <color theme="1"/>
        <rFont val="Calibri"/>
        <family val="2"/>
      </rPr>
      <t>f</t>
    </r>
  </si>
  <si>
    <t>Probability %</t>
  </si>
  <si>
    <t>Fragility Function</t>
  </si>
  <si>
    <t>Note</t>
  </si>
  <si>
    <r>
      <t xml:space="preserve">Median 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</si>
  <si>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to produce 4% tensile strain</t>
    </r>
  </si>
  <si>
    <r>
      <t>Zero Probability (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  <r>
      <rPr>
        <sz val="12"/>
        <color rgb="FFFF0000"/>
        <rFont val="Calibri"/>
        <family val="2"/>
        <scheme val="minor"/>
      </rPr>
      <t>)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</si>
  <si>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with zero probability of fail</t>
    </r>
  </si>
  <si>
    <t>Standard Deviation</t>
  </si>
  <si>
    <t>Fragility Model</t>
  </si>
  <si>
    <t>P(Fail) = 0.5 for pipe longitudinal strain 4%</t>
  </si>
  <si>
    <t>P(Fail) = 0 for pipe longitudinal strain 0.05%</t>
  </si>
  <si>
    <t>Y-Axis: Probability of longitudinal pipe strain exceeding 4%, given pipe geometry, soil and fault properties</t>
  </si>
  <si>
    <t>X-Axis: Engineering demand parameter</t>
  </si>
  <si>
    <t>soft</t>
  </si>
  <si>
    <t>stiff</t>
  </si>
  <si>
    <t>medium dense</t>
  </si>
  <si>
    <t>dense</t>
  </si>
  <si>
    <t>medium stiff</t>
  </si>
  <si>
    <t>very dense</t>
  </si>
  <si>
    <t>ln_delta_u</t>
  </si>
  <si>
    <t>f_delta_f</t>
  </si>
  <si>
    <t>f_l_anchor</t>
  </si>
  <si>
    <t>ln_delta_f</t>
  </si>
  <si>
    <t>ln_delta_f_delta_u_ratio</t>
  </si>
  <si>
    <t>b1_ln_delta_f_delta_u_ratio</t>
  </si>
  <si>
    <t>b2_ln_d_t_ratio</t>
  </si>
  <si>
    <t>b3_f_soil_ln_t_ult</t>
  </si>
  <si>
    <t>b4_ln_q_vd</t>
  </si>
  <si>
    <t>ln_q_vd</t>
  </si>
  <si>
    <t>q_vd</t>
  </si>
  <si>
    <t>n_q_vd</t>
  </si>
  <si>
    <t>b5_ln_d</t>
  </si>
  <si>
    <t>ln_eps_pipe</t>
  </si>
  <si>
    <t>ln_t_u</t>
  </si>
  <si>
    <t>f_soil_type</t>
  </si>
  <si>
    <t>h_pipe</t>
  </si>
  <si>
    <t>d_pipe_m</t>
  </si>
  <si>
    <t>t_pipe_m</t>
  </si>
  <si>
    <t>sigma_eps_pipe</t>
  </si>
  <si>
    <t>sigma_mu_eps_pipe</t>
  </si>
  <si>
    <t>EQUATIONS</t>
  </si>
  <si>
    <t>Equation 1:</t>
  </si>
  <si>
    <t>Equation 2:</t>
  </si>
  <si>
    <t>Where:</t>
  </si>
  <si>
    <t>D = Pipe outside diameter (m) ; t = Pipe wall thickness (mm)</t>
  </si>
  <si>
    <t>H = Burial depth to pipe centerline (Range value of 1.0 - 4.0 m)</t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</si>
  <si>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 Undrained shear strength of clayey soil</t>
    </r>
    <r>
      <rPr>
        <sz val="11"/>
        <color theme="1"/>
        <rFont val="Calibri"/>
        <family val="2"/>
        <scheme val="minor"/>
      </rPr>
      <t xml:space="preserve"> (Range value of 25 - 100 kPa)</t>
    </r>
  </si>
  <si>
    <t>Model Variables</t>
  </si>
  <si>
    <r>
      <t>γ</t>
    </r>
    <r>
      <rPr>
        <vertAlign val="subscript"/>
        <sz val="11"/>
        <color theme="1"/>
        <rFont val="Calibri"/>
        <family val="2"/>
      </rPr>
      <t>soil</t>
    </r>
    <r>
      <rPr>
        <sz val="11"/>
        <color theme="1"/>
        <rFont val="Calibri"/>
        <family val="2"/>
      </rPr>
      <t xml:space="preserve"> = Effective unit weight of soil (Range value of 37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 xml:space="preserve"> - 43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</si>
  <si>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F</t>
    </r>
    <r>
      <rPr>
        <b/>
        <vertAlign val="subscript"/>
        <sz val="11"/>
        <color theme="1"/>
        <rFont val="Calibri"/>
        <family val="2"/>
      </rPr>
      <t>ψ</t>
    </r>
  </si>
  <si>
    <t xml:space="preserve">Flag </t>
  </si>
  <si>
    <t xml:space="preserve">α = adhesion factor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</si>
  <si>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</si>
  <si>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Regression Coefficients</t>
  </si>
  <si>
    <t>PERMANENT GROUND DEFORMATION (m)</t>
  </si>
  <si>
    <t>ln (ε_comp)</t>
  </si>
  <si>
    <t>Equation 3</t>
  </si>
  <si>
    <t>ε_comp (%)</t>
  </si>
  <si>
    <t>Normal 2 Mixture Distribution Model Defined by the following parameters: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</si>
  <si>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</si>
  <si>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μ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</si>
  <si>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</si>
  <si>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</si>
  <si>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</si>
  <si>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</si>
  <si>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</si>
  <si>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</si>
  <si>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</si>
  <si>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</si>
  <si>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Log[Δf (m)]</t>
  </si>
  <si>
    <t>Log[Δf (m)] - b0</t>
  </si>
  <si>
    <t>(Log[Δf (m)] - b0) / b1</t>
  </si>
  <si>
    <t>ATANH (Log[Δf (m)] - b0) / b1)</t>
  </si>
  <si>
    <t>ATANH (Log[Δf (m)] - b0) / b1)  /  b2</t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</si>
  <si>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comp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</si>
  <si>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comp </t>
    </r>
    <r>
      <rPr>
        <sz val="11"/>
        <color theme="1"/>
        <rFont val="Calibri"/>
        <family val="2"/>
        <scheme val="minor"/>
      </rPr>
      <t>(%)</t>
    </r>
  </si>
  <si>
    <t>Very large strain and failure is expected</t>
  </si>
  <si>
    <t>f_d_pipe</t>
  </si>
  <si>
    <t>ln_d_t_ratio</t>
  </si>
  <si>
    <t xml:space="preserve">ESTIMATION MODEL </t>
  </si>
  <si>
    <t>TABLE - DIAMETER TOLERANCES</t>
  </si>
  <si>
    <t>D (mm)</t>
  </si>
  <si>
    <t>Tolerance, SMLS</t>
  </si>
  <si>
    <t>Tolerance, Welded</t>
  </si>
  <si>
    <t>102-168</t>
  </si>
  <si>
    <t>+/- 0.0075*D</t>
  </si>
  <si>
    <t>168-610</t>
  </si>
  <si>
    <t>+/- 0.0075*D, max of 3.2 mm</t>
  </si>
  <si>
    <t>Equation 2a:</t>
  </si>
  <si>
    <t>610-1067</t>
  </si>
  <si>
    <t>+/- 0.01*D</t>
  </si>
  <si>
    <t>+/- 0.005*D, max of 4.1 mm</t>
  </si>
  <si>
    <t>Steel Yield Stress based on Steel Grade</t>
  </si>
  <si>
    <t>TABLE - WALL THICKNESS TOLERANCES</t>
  </si>
  <si>
    <t>Strain at ultimate tensile stress</t>
  </si>
  <si>
    <r>
      <t xml:space="preserve">Regression Coefficient to estimate </t>
    </r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>o</t>
    </r>
  </si>
  <si>
    <t>t (mm)</t>
  </si>
  <si>
    <r>
      <rPr>
        <sz val="11"/>
        <color theme="1"/>
        <rFont val="Calibri"/>
        <family val="2"/>
        <scheme val="minor"/>
      </rPr>
      <t>≤ 4</t>
    </r>
  </si>
  <si>
    <t>+ 0.6 mm/- 0.5 mm</t>
  </si>
  <si>
    <t>4 &lt; t &lt; 24</t>
  </si>
  <si>
    <t>+ 0.15*t/- 0.125*t</t>
  </si>
  <si>
    <t>&gt; 24</t>
  </si>
  <si>
    <t>MAX(+3.7 mm or +0.1*t)/MAX(-3 mm or -0.1*t)</t>
  </si>
  <si>
    <t xml:space="preserve">c4 </t>
  </si>
  <si>
    <t>Cohesive (Clay)</t>
  </si>
  <si>
    <r>
      <rPr>
        <sz val="11"/>
        <color theme="1"/>
        <rFont val="Calibri"/>
        <family val="2"/>
        <scheme val="minor"/>
      </rPr>
      <t>≤ 5</t>
    </r>
  </si>
  <si>
    <t>+/- 0.5 mm</t>
  </si>
  <si>
    <t>Stiff (Clay)</t>
  </si>
  <si>
    <t>Equation 2b:</t>
  </si>
  <si>
    <t>4 &lt; t &lt; 15</t>
  </si>
  <si>
    <t>+/- 0.1*t</t>
  </si>
  <si>
    <t>&gt; 15</t>
  </si>
  <si>
    <t>+/- 1.5 mm</t>
  </si>
  <si>
    <t>Equation 3:</t>
  </si>
  <si>
    <r>
      <t>Ln Δ</t>
    </r>
    <r>
      <rPr>
        <b/>
        <sz val="6.05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 xml:space="preserve"> (m)</t>
    </r>
  </si>
  <si>
    <t>Equation.2a</t>
  </si>
  <si>
    <r>
      <t xml:space="preserve">Regression Coefficient to estimate </t>
    </r>
    <r>
      <rPr>
        <b/>
        <sz val="11"/>
        <color theme="1"/>
        <rFont val="Calibri"/>
        <family val="2"/>
      </rPr>
      <t>ε</t>
    </r>
    <r>
      <rPr>
        <b/>
        <vertAlign val="subscript"/>
        <sz val="11"/>
        <color theme="1"/>
        <rFont val="Calibri"/>
        <family val="2"/>
      </rPr>
      <t>long</t>
    </r>
  </si>
  <si>
    <r>
      <t>Ln Δ</t>
    </r>
    <r>
      <rPr>
        <b/>
        <sz val="6.05"/>
        <color theme="1"/>
        <rFont val="Calibri"/>
        <family val="2"/>
      </rPr>
      <t>u</t>
    </r>
    <r>
      <rPr>
        <b/>
        <sz val="11"/>
        <color theme="1"/>
        <rFont val="Calibri"/>
        <family val="2"/>
      </rPr>
      <t xml:space="preserve"> (m)</t>
    </r>
  </si>
  <si>
    <t>Equation.2b</t>
  </si>
  <si>
    <r>
      <t>FΔ</t>
    </r>
    <r>
      <rPr>
        <b/>
        <sz val="6.05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 xml:space="preserve"> </t>
    </r>
  </si>
  <si>
    <r>
      <t>FΔ</t>
    </r>
    <r>
      <rPr>
        <b/>
        <sz val="6.05"/>
        <color theme="1"/>
        <rFont val="Calibri"/>
        <family val="2"/>
      </rPr>
      <t>u</t>
    </r>
    <r>
      <rPr>
        <b/>
        <sz val="11"/>
        <color theme="1"/>
        <rFont val="Calibri"/>
        <family val="2"/>
      </rPr>
      <t xml:space="preserve"> </t>
    </r>
  </si>
  <si>
    <t>Fsoil</t>
  </si>
  <si>
    <t>e1</t>
  </si>
  <si>
    <t>e2</t>
  </si>
  <si>
    <t>e3</t>
  </si>
  <si>
    <t>e4</t>
  </si>
  <si>
    <t>e5</t>
  </si>
  <si>
    <t>e6</t>
  </si>
  <si>
    <t>e7</t>
  </si>
  <si>
    <t>e8</t>
  </si>
  <si>
    <t>ln (ε_long)</t>
  </si>
  <si>
    <t>ε_long (%)</t>
  </si>
  <si>
    <t>Soil Density</t>
  </si>
  <si>
    <t>H (m)</t>
  </si>
  <si>
    <t>Ln Δo (m)</t>
  </si>
  <si>
    <t>Ln Δu (m)</t>
  </si>
  <si>
    <t>ln_delta_o</t>
  </si>
  <si>
    <t>f_delta_o</t>
  </si>
  <si>
    <t>f_delta_u</t>
  </si>
  <si>
    <t>MODEL TO ESTIMATE LONGITUDINAL PIPE TENSILE STRAIN FOR CASE OF STRIKE-SLIP COMPRESSION</t>
  </si>
  <si>
    <t>Daniel Hutabarat, Norm Abrahamson, Jon Bray &amp; Task 4b Members</t>
  </si>
  <si>
    <t>Pipe-Fault Crossing Angle (deg)</t>
  </si>
  <si>
    <r>
      <t>F</t>
    </r>
    <r>
      <rPr>
        <b/>
        <vertAlign val="subscript"/>
        <sz val="11"/>
        <color theme="1"/>
        <rFont val="Calibri"/>
        <family val="2"/>
      </rPr>
      <t>β</t>
    </r>
  </si>
  <si>
    <t xml:space="preserve">D = Pipe outside diameter (m) </t>
  </si>
  <si>
    <r>
      <t>σ</t>
    </r>
    <r>
      <rPr>
        <vertAlign val="subscript"/>
        <sz val="11"/>
        <color theme="1"/>
        <rFont val="Calibri"/>
        <family val="2"/>
      </rPr>
      <t>ln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</si>
  <si>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to produce 2% compressive strain</t>
    </r>
  </si>
  <si>
    <t>P(Fail) = 0.5 for pipe compressive strain 2%</t>
  </si>
  <si>
    <r>
      <t>F</t>
    </r>
    <r>
      <rPr>
        <vertAlign val="subscript"/>
        <sz val="11"/>
        <color theme="1"/>
        <rFont val="Calibri"/>
        <family val="2"/>
      </rPr>
      <t>β</t>
    </r>
  </si>
  <si>
    <t>beta_crossing</t>
  </si>
  <si>
    <t>f_beta_crossing</t>
  </si>
  <si>
    <t>val_inside_atanh</t>
  </si>
  <si>
    <t>atanh_metric</t>
  </si>
  <si>
    <t>term1</t>
  </si>
  <si>
    <t>term2</t>
  </si>
  <si>
    <t>delta_backfill</t>
  </si>
  <si>
    <t>f_psi_dip</t>
  </si>
  <si>
    <t>Log[?f (m)] - b0</t>
  </si>
  <si>
    <t>(Log[?f (m)] - b0) / b1</t>
  </si>
  <si>
    <t>atan_metric</t>
  </si>
  <si>
    <t>ATANH (Log[?f (m)] - b0) / b1)  /  b2</t>
  </si>
  <si>
    <t>eps_ult_from_grade</t>
  </si>
  <si>
    <t xml:space="preserve">μ1 = </t>
  </si>
  <si>
    <t xml:space="preserve">μ2 = </t>
  </si>
  <si>
    <t xml:space="preserve">σ1 = </t>
  </si>
  <si>
    <t xml:space="preserve">σ2 = </t>
  </si>
  <si>
    <t xml:space="preserve">π1 = </t>
  </si>
  <si>
    <t xml:space="preserve">π2 = </t>
  </si>
  <si>
    <t>μ1</t>
  </si>
  <si>
    <t>μ2</t>
  </si>
  <si>
    <t>σ1</t>
  </si>
  <si>
    <t>σ2</t>
  </si>
  <si>
    <t>π1</t>
  </si>
  <si>
    <t>π2</t>
  </si>
  <si>
    <t>c41</t>
  </si>
  <si>
    <t>c42</t>
  </si>
  <si>
    <t>c51</t>
  </si>
  <si>
    <t>c52</t>
  </si>
  <si>
    <t>f_t_u</t>
  </si>
  <si>
    <t>f_d_t_ratio</t>
  </si>
  <si>
    <t>case_to_run</t>
  </si>
  <si>
    <t>SSTens_5to85</t>
  </si>
  <si>
    <t>SSTens_85to90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</si>
</sst>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0.0000"/>
    <numFmt numFmtId="167" formatCode="0.000"/>
    <numFmt numFmtId="168" formatCode="0.00000%"/>
    <numFmt numFmtId="169" formatCode="0.000000000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7.7"/>
      <color theme="1"/>
      <name val="Calibri"/>
      <family val="2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sz val="11"/>
      <name val="Calibri"/>
      <family val="2"/>
      <scheme val="minor"/>
    </font>
    <font>
      <b/>
      <vertAlign val="subscript"/>
      <sz val="9.35"/>
      <color theme="1"/>
      <name val="Calibri"/>
      <family val="2"/>
    </font>
    <font>
      <b/>
      <sz val="9.35"/>
      <color theme="1"/>
      <name val="Calibri"/>
      <family val="2"/>
    </font>
    <font>
      <sz val="12"/>
      <color theme="1"/>
      <name val="Tahoma"/>
      <family val="2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.199999999999999"/>
      <color rgb="FFFF0000"/>
      <name val="Calibri"/>
      <family val="2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vertAlign val="subscript"/>
      <sz val="11"/>
      <color theme="1"/>
      <name val="Calibri"/>
      <family val="2"/>
    </font>
    <font>
      <b/>
      <sz val="6.05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/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0" fillId="0" borderId="0" xfId="0" quotePrefix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/>
    </xf>
    <xf numFmtId="0" fontId="18" fillId="0" borderId="11" xfId="0" applyFont="1" applyBorder="1" applyAlignment="1">
      <alignment horizontal="center"/>
    </xf>
    <xf numFmtId="164" fontId="0" fillId="0" borderId="11" xfId="0" applyNumberFormat="1" applyBorder="1"/>
    <xf numFmtId="165" fontId="0" fillId="0" borderId="0" xfId="0" applyNumberFormat="1"/>
    <xf numFmtId="0" fontId="0" fillId="36" borderId="0" xfId="0" applyFill="1" applyAlignment="1">
      <alignment horizontal="center"/>
    </xf>
    <xf numFmtId="0" fontId="0" fillId="36" borderId="0" xfId="0" applyFill="1"/>
    <xf numFmtId="165" fontId="0" fillId="36" borderId="0" xfId="0" applyNumberFormat="1" applyFill="1"/>
    <xf numFmtId="1" fontId="0" fillId="36" borderId="0" xfId="0" applyNumberForma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0" fontId="0" fillId="36" borderId="11" xfId="0" applyFill="1" applyBorder="1" applyAlignment="1">
      <alignment horizontal="center"/>
    </xf>
    <xf numFmtId="1" fontId="0" fillId="36" borderId="11" xfId="0" applyNumberFormat="1" applyFill="1" applyBorder="1" applyAlignment="1">
      <alignment horizontal="center"/>
    </xf>
    <xf numFmtId="168" fontId="0" fillId="0" borderId="0" xfId="43" applyNumberFormat="1" applyFont="1"/>
    <xf numFmtId="0" fontId="16" fillId="37" borderId="0" xfId="0" applyFont="1" applyFill="1" applyAlignment="1">
      <alignment horizontal="left" vertical="center"/>
    </xf>
    <xf numFmtId="0" fontId="0" fillId="37" borderId="0" xfId="0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15" fontId="25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6" fillId="0" borderId="0" xfId="0" applyNumberFormat="1" applyFont="1" applyAlignment="1">
      <alignment horizontal="left" vertical="center"/>
    </xf>
    <xf numFmtId="0" fontId="0" fillId="38" borderId="0" xfId="0" applyFill="1" applyAlignment="1">
      <alignment horizontal="center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/>
    </xf>
    <xf numFmtId="0" fontId="31" fillId="37" borderId="0" xfId="0" applyFont="1" applyFill="1" applyAlignment="1">
      <alignment horizontal="center" vertical="center"/>
    </xf>
    <xf numFmtId="0" fontId="25" fillId="0" borderId="0" xfId="0" applyFont="1"/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vertical="center"/>
    </xf>
    <xf numFmtId="0" fontId="31" fillId="0" borderId="0" xfId="0" applyFont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34" fillId="0" borderId="0" xfId="0" applyFont="1" applyAlignment="1">
      <alignment vertical="center" wrapText="1"/>
    </xf>
    <xf numFmtId="2" fontId="0" fillId="0" borderId="0" xfId="42" applyNumberFormat="1" applyFont="1" applyFill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0" fillId="37" borderId="0" xfId="0" applyFill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167" fontId="18" fillId="38" borderId="0" xfId="0" applyNumberFormat="1" applyFont="1" applyFill="1" applyAlignment="1">
      <alignment horizontal="center" vertical="center"/>
    </xf>
    <xf numFmtId="167" fontId="0" fillId="37" borderId="0" xfId="0" applyNumberForma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  <xf numFmtId="0" fontId="36" fillId="0" borderId="0" xfId="0" applyFont="1"/>
    <xf numFmtId="2" fontId="0" fillId="38" borderId="0" xfId="0" applyNumberFormat="1" applyFill="1"/>
    <xf numFmtId="0" fontId="37" fillId="0" borderId="0" xfId="0" applyFont="1"/>
    <xf numFmtId="2" fontId="39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7" fontId="35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167" fontId="41" fillId="0" borderId="0" xfId="0" applyNumberFormat="1" applyFont="1" applyAlignment="1">
      <alignment horizontal="center"/>
    </xf>
    <xf numFmtId="169" fontId="0" fillId="0" borderId="0" xfId="0" applyNumberFormat="1"/>
    <xf numFmtId="0" fontId="16" fillId="35" borderId="0" xfId="0" applyFont="1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  <xf numFmtId="0" fontId="42" fillId="35" borderId="0" xfId="0" applyFont="1" applyFill="1" applyAlignment="1">
      <alignment vertical="center" wrapText="1"/>
    </xf>
    <xf numFmtId="0" fontId="43" fillId="35" borderId="0" xfId="0" applyFont="1" applyFill="1" applyAlignment="1">
      <alignment horizontal="right" vertical="center" wrapText="1"/>
    </xf>
    <xf numFmtId="0" fontId="0" fillId="35" borderId="0" xfId="0" applyFill="1" applyAlignment="1">
      <alignment horizontal="right"/>
    </xf>
    <xf numFmtId="0" fontId="34" fillId="35" borderId="0" xfId="0" applyFont="1" applyFill="1" applyAlignment="1">
      <alignment vertical="center" wrapText="1"/>
    </xf>
    <xf numFmtId="0" fontId="18" fillId="35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16" fillId="35" borderId="0" xfId="0" applyFont="1" applyFill="1" applyAlignment="1">
      <alignment vertical="center"/>
    </xf>
    <xf numFmtId="2" fontId="0" fillId="37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left" vertical="center"/>
    </xf>
    <xf numFmtId="167" fontId="18" fillId="38" borderId="0" xfId="0" applyNumberFormat="1" applyFont="1" applyFill="1" applyAlignment="1">
      <alignment horizontal="right" vertical="center"/>
    </xf>
    <xf numFmtId="0" fontId="35" fillId="35" borderId="0" xfId="0" applyFont="1" applyFill="1" applyAlignment="1">
      <alignment horizontal="center" vertical="center"/>
    </xf>
    <xf numFmtId="2" fontId="35" fillId="35" borderId="0" xfId="0" applyNumberFormat="1" applyFont="1" applyFill="1" applyAlignment="1">
      <alignment horizontal="center"/>
    </xf>
    <xf numFmtId="2" fontId="39" fillId="35" borderId="0" xfId="0" applyNumberFormat="1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40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167" fontId="35" fillId="35" borderId="0" xfId="0" applyNumberFormat="1" applyFont="1" applyFill="1" applyAlignment="1">
      <alignment horizontal="center"/>
    </xf>
    <xf numFmtId="0" fontId="0" fillId="35" borderId="0" xfId="0" applyFill="1" applyAlignment="1">
      <alignment horizontal="left" vertical="center"/>
    </xf>
    <xf numFmtId="2" fontId="41" fillId="35" borderId="0" xfId="0" applyNumberFormat="1" applyFont="1" applyFill="1" applyAlignment="1">
      <alignment horizontal="center"/>
    </xf>
    <xf numFmtId="167" fontId="41" fillId="35" borderId="0" xfId="0" applyNumberFormat="1" applyFont="1" applyFill="1" applyAlignment="1">
      <alignment horizontal="center"/>
    </xf>
    <xf numFmtId="0" fontId="0" fillId="40" borderId="0" xfId="0" applyFill="1"/>
    <xf numFmtId="0" fontId="16" fillId="35" borderId="0" xfId="0" applyFont="1" applyFill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5" fillId="35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41" borderId="16" xfId="0" applyFont="1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21" xfId="0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4" fillId="35" borderId="0" xfId="0" applyFont="1" applyFill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7" fillId="42" borderId="0" xfId="0" applyFont="1" applyFill="1" applyAlignment="1">
      <alignment horizontal="center" vertical="center"/>
    </xf>
    <xf numFmtId="0" fontId="47" fillId="42" borderId="0" xfId="0" applyFont="1" applyFill="1"/>
    <xf numFmtId="166" fontId="47" fillId="42" borderId="0" xfId="0" applyNumberFormat="1" applyFont="1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16" fillId="41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35" borderId="13" xfId="0" applyFont="1" applyFill="1" applyBorder="1" applyAlignment="1">
      <alignment horizontal="center" vertical="center"/>
    </xf>
    <xf numFmtId="0" fontId="16" fillId="41" borderId="17" xfId="0" applyFont="1" applyFill="1" applyBorder="1" applyAlignment="1">
      <alignment horizontal="center" vertical="center"/>
    </xf>
    <xf numFmtId="0" fontId="16" fillId="41" borderId="18" xfId="0" applyFont="1" applyFill="1" applyBorder="1" applyAlignment="1">
      <alignment horizontal="center" vertical="center"/>
    </xf>
    <xf numFmtId="0" fontId="16" fillId="41" borderId="19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left" vertical="center"/>
    </xf>
    <xf numFmtId="0" fontId="0" fillId="41" borderId="20" xfId="0" quotePrefix="1" applyFill="1" applyBorder="1" applyAlignment="1">
      <alignment horizontal="center" vertical="center"/>
    </xf>
    <xf numFmtId="0" fontId="0" fillId="41" borderId="21" xfId="0" quotePrefix="1" applyFill="1" applyBorder="1" applyAlignment="1">
      <alignment horizontal="center" vertical="center"/>
    </xf>
    <xf numFmtId="0" fontId="0" fillId="41" borderId="15" xfId="0" quotePrefix="1" applyFill="1" applyBorder="1" applyAlignment="1">
      <alignment horizontal="center" vertical="center"/>
    </xf>
    <xf numFmtId="0" fontId="0" fillId="41" borderId="10" xfId="0" quotePrefix="1" applyFill="1" applyBorder="1" applyAlignment="1">
      <alignment horizontal="center" vertical="center"/>
    </xf>
    <xf numFmtId="0" fontId="0" fillId="41" borderId="12" xfId="0" quotePrefix="1" applyFill="1" applyBorder="1" applyAlignment="1">
      <alignment horizontal="center" vertical="center"/>
    </xf>
    <xf numFmtId="0" fontId="0" fillId="41" borderId="0" xfId="0" quotePrefix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41" borderId="22" xfId="0" quotePrefix="1" applyFill="1" applyBorder="1" applyAlignment="1">
      <alignment horizontal="center" vertical="center"/>
    </xf>
    <xf numFmtId="0" fontId="0" fillId="41" borderId="14" xfId="0" quotePrefix="1" applyFill="1" applyBorder="1" applyAlignment="1">
      <alignment horizontal="center" vertical="center"/>
    </xf>
    <xf numFmtId="0" fontId="35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SSC Level 3'!$B$42:$B$86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SSC Level 3'!$C$42:$C$86</c:f>
              <c:numCache>
                <c:formatCode>0.000</c:formatCode>
                <c:ptCount val="45"/>
                <c:pt idx="0">
                  <c:v>3.9564598041490395E-8</c:v>
                </c:pt>
                <c:pt idx="1">
                  <c:v>1.3103707769866844E-6</c:v>
                </c:pt>
                <c:pt idx="2">
                  <c:v>2.8138061012644969E-5</c:v>
                </c:pt>
                <c:pt idx="3">
                  <c:v>3.9353025067138259E-4</c:v>
                </c:pt>
                <c:pt idx="4">
                  <c:v>2.0035616474514588E-3</c:v>
                </c:pt>
                <c:pt idx="5">
                  <c:v>4.8157029622150948E-3</c:v>
                </c:pt>
                <c:pt idx="6">
                  <c:v>1.0724739313870395E-2</c:v>
                </c:pt>
                <c:pt idx="7">
                  <c:v>2.2153938583465062E-2</c:v>
                </c:pt>
                <c:pt idx="8">
                  <c:v>4.2502602854424143E-2</c:v>
                </c:pt>
                <c:pt idx="9">
                  <c:v>7.5851244199926907E-2</c:v>
                </c:pt>
                <c:pt idx="10">
                  <c:v>0.12615999533558253</c:v>
                </c:pt>
                <c:pt idx="11">
                  <c:v>0.19602069514017229</c:v>
                </c:pt>
                <c:pt idx="12">
                  <c:v>0.28531978103782762</c:v>
                </c:pt>
                <c:pt idx="13">
                  <c:v>0.39039161040769499</c:v>
                </c:pt>
                <c:pt idx="14">
                  <c:v>0.50419392975520583</c:v>
                </c:pt>
                <c:pt idx="15">
                  <c:v>0.61765363198538359</c:v>
                </c:pt>
                <c:pt idx="16">
                  <c:v>0.72177931563315501</c:v>
                </c:pt>
                <c:pt idx="17">
                  <c:v>0.80974223053001781</c:v>
                </c:pt>
                <c:pt idx="18">
                  <c:v>0.87814387240900937</c:v>
                </c:pt>
                <c:pt idx="19">
                  <c:v>0.92710575214368762</c:v>
                </c:pt>
                <c:pt idx="20">
                  <c:v>0.95385570465796798</c:v>
                </c:pt>
                <c:pt idx="21">
                  <c:v>0.96801513712914178</c:v>
                </c:pt>
                <c:pt idx="22">
                  <c:v>0.97837742975914543</c:v>
                </c:pt>
                <c:pt idx="23">
                  <c:v>0.98574797338131381</c:v>
                </c:pt>
                <c:pt idx="24">
                  <c:v>0.99022003396415348</c:v>
                </c:pt>
                <c:pt idx="25">
                  <c:v>0.9929469787068449</c:v>
                </c:pt>
                <c:pt idx="26">
                  <c:v>0.99497957190542763</c:v>
                </c:pt>
                <c:pt idx="27">
                  <c:v>0.99647302639142921</c:v>
                </c:pt>
                <c:pt idx="28">
                  <c:v>0.99767133167272581</c:v>
                </c:pt>
                <c:pt idx="29">
                  <c:v>0.99856362649521457</c:v>
                </c:pt>
                <c:pt idx="30">
                  <c:v>0.99913263055696899</c:v>
                </c:pt>
                <c:pt idx="31">
                  <c:v>0.99948728962932387</c:v>
                </c:pt>
                <c:pt idx="32">
                  <c:v>0.99968040752132792</c:v>
                </c:pt>
                <c:pt idx="33">
                  <c:v>0.99978836039408481</c:v>
                </c:pt>
                <c:pt idx="34">
                  <c:v>0.99986146026375633</c:v>
                </c:pt>
                <c:pt idx="35">
                  <c:v>0.99991035717296273</c:v>
                </c:pt>
                <c:pt idx="36">
                  <c:v>0.99995353059838277</c:v>
                </c:pt>
                <c:pt idx="37">
                  <c:v>0.99998115214048833</c:v>
                </c:pt>
                <c:pt idx="38">
                  <c:v>0.99999267917494739</c:v>
                </c:pt>
                <c:pt idx="39">
                  <c:v>0.99999727733269439</c:v>
                </c:pt>
                <c:pt idx="40">
                  <c:v>0.99999919744312904</c:v>
                </c:pt>
                <c:pt idx="41">
                  <c:v>0.99999981762888512</c:v>
                </c:pt>
                <c:pt idx="42">
                  <c:v>0.99999996177360506</c:v>
                </c:pt>
                <c:pt idx="43">
                  <c:v>0.99999999261083039</c:v>
                </c:pt>
                <c:pt idx="44">
                  <c:v>0.99999999684867846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E-40A4-A21A-81DD15D9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1%)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SST (85-90)'!$B$65:$B$109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SST (85-90)'!$C$65:$C$109</c:f>
              <c:numCache>
                <c:formatCode>0.000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1.8646139612088176E-6</c:v>
                </c:pt>
                <c:pt idx="13">
                  <c:v>7.2181626757802097E-6</c:v>
                </c:pt>
                <c:pt idx="14">
                  <c:v>2.5794781211276167E-5</c:v>
                </c:pt>
                <c:pt idx="15">
                  <c:v>8.5128284487590172E-5</c:v>
                </c:pt>
                <c:pt idx="16">
                  <c:v>2.5956742339532275E-4</c:v>
                </c:pt>
                <c:pt idx="17">
                  <c:v>7.3163106734667723E-4</c:v>
                </c:pt>
                <c:pt idx="18">
                  <c:v>1.9075348376274542E-3</c:v>
                </c:pt>
                <c:pt idx="19">
                  <c:v>4.603780200193021E-3</c:v>
                </c:pt>
                <c:pt idx="20">
                  <c:v>8.7656286775700479E-3</c:v>
                </c:pt>
                <c:pt idx="21">
                  <c:v>1.367700543344204E-2</c:v>
                </c:pt>
                <c:pt idx="22">
                  <c:v>2.0800746213717271E-2</c:v>
                </c:pt>
                <c:pt idx="23">
                  <c:v>3.0843356192012734E-2</c:v>
                </c:pt>
                <c:pt idx="24">
                  <c:v>4.2341714522484412E-2</c:v>
                </c:pt>
                <c:pt idx="25">
                  <c:v>5.4327526126770526E-2</c:v>
                </c:pt>
                <c:pt idx="26">
                  <c:v>6.8851391663494049E-2</c:v>
                </c:pt>
                <c:pt idx="27">
                  <c:v>8.619999056960434E-2</c:v>
                </c:pt>
                <c:pt idx="28">
                  <c:v>0.10953710512657842</c:v>
                </c:pt>
                <c:pt idx="29">
                  <c:v>0.14056531168603678</c:v>
                </c:pt>
                <c:pt idx="30">
                  <c:v>0.17707431008974525</c:v>
                </c:pt>
                <c:pt idx="31">
                  <c:v>0.21906297397177818</c:v>
                </c:pt>
                <c:pt idx="32">
                  <c:v>0.25965752912800721</c:v>
                </c:pt>
                <c:pt idx="33">
                  <c:v>0.29677734646308906</c:v>
                </c:pt>
                <c:pt idx="34">
                  <c:v>0.33615409545055441</c:v>
                </c:pt>
                <c:pt idx="35">
                  <c:v>0.37741667097542492</c:v>
                </c:pt>
                <c:pt idx="36">
                  <c:v>0.4401867341246567</c:v>
                </c:pt>
                <c:pt idx="37">
                  <c:v>0.52485723349822888</c:v>
                </c:pt>
                <c:pt idx="38">
                  <c:v>0.60841572001423583</c:v>
                </c:pt>
                <c:pt idx="39">
                  <c:v>0.68723791226765296</c:v>
                </c:pt>
                <c:pt idx="40">
                  <c:v>0.77000517817815461</c:v>
                </c:pt>
                <c:pt idx="41">
                  <c:v>0.84794868784588229</c:v>
                </c:pt>
                <c:pt idx="42">
                  <c:v>0.90599460558388445</c:v>
                </c:pt>
                <c:pt idx="43">
                  <c:v>0.94578586704730727</c:v>
                </c:pt>
                <c:pt idx="44">
                  <c:v>0.95991525879827722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E39-A45B-3A94C054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Reverse-Slip'!$B$65:$B$109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Reverse-Slip'!$C$65:$C$109</c:f>
              <c:numCache>
                <c:formatCode>0.000</c:formatCode>
                <c:ptCount val="45"/>
                <c:pt idx="0">
                  <c:v>2.3059338971538875E-4</c:v>
                </c:pt>
                <c:pt idx="1">
                  <c:v>2.3147511707623204E-3</c:v>
                </c:pt>
                <c:pt idx="2">
                  <c:v>1.5342108961265734E-2</c:v>
                </c:pt>
                <c:pt idx="3">
                  <c:v>6.8040514359285792E-2</c:v>
                </c:pt>
                <c:pt idx="4">
                  <c:v>0.15604659402560925</c:v>
                </c:pt>
                <c:pt idx="5">
                  <c:v>0.23513853519175701</c:v>
                </c:pt>
                <c:pt idx="6">
                  <c:v>0.33242856928156472</c:v>
                </c:pt>
                <c:pt idx="7">
                  <c:v>0.44259007277827317</c:v>
                </c:pt>
                <c:pt idx="8">
                  <c:v>0.55740992722172655</c:v>
                </c:pt>
                <c:pt idx="9">
                  <c:v>0.6675714307184355</c:v>
                </c:pt>
                <c:pt idx="10">
                  <c:v>0.76486146480824302</c:v>
                </c:pt>
                <c:pt idx="11">
                  <c:v>0.84395340597439061</c:v>
                </c:pt>
                <c:pt idx="12">
                  <c:v>0.90313968795832744</c:v>
                </c:pt>
                <c:pt idx="13">
                  <c:v>0.94390907898972154</c:v>
                </c:pt>
                <c:pt idx="14">
                  <c:v>0.96975969865981237</c:v>
                </c:pt>
                <c:pt idx="15">
                  <c:v>0.98484765157098852</c:v>
                </c:pt>
                <c:pt idx="16">
                  <c:v>0.99295373756441785</c:v>
                </c:pt>
                <c:pt idx="17">
                  <c:v>0.99696251877847386</c:v>
                </c:pt>
                <c:pt idx="18">
                  <c:v>0.99878739051144416</c:v>
                </c:pt>
                <c:pt idx="19">
                  <c:v>0.99955205267969616</c:v>
                </c:pt>
                <c:pt idx="20">
                  <c:v>0.99980753640840891</c:v>
                </c:pt>
                <c:pt idx="21">
                  <c:v>0.99990005346954891</c:v>
                </c:pt>
                <c:pt idx="22">
                  <c:v>0.99994948303929099</c:v>
                </c:pt>
                <c:pt idx="23">
                  <c:v>0.99997515062692877</c:v>
                </c:pt>
                <c:pt idx="24">
                  <c:v>0.9999867391568521</c:v>
                </c:pt>
                <c:pt idx="25">
                  <c:v>0.99999224480466409</c:v>
                </c:pt>
                <c:pt idx="26">
                  <c:v>0.99999552665227287</c:v>
                </c:pt>
                <c:pt idx="27">
                  <c:v>0.99999745504604587</c:v>
                </c:pt>
                <c:pt idx="28">
                  <c:v>0.9999986772739311</c:v>
                </c:pt>
                <c:pt idx="29">
                  <c:v>0.9999993758001845</c:v>
                </c:pt>
                <c:pt idx="30">
                  <c:v>0.99999971186957992</c:v>
                </c:pt>
                <c:pt idx="31">
                  <c:v>0.99999986990833412</c:v>
                </c:pt>
                <c:pt idx="32">
                  <c:v>0.99999993582222668</c:v>
                </c:pt>
                <c:pt idx="33">
                  <c:v>0.99999996513942269</c:v>
                </c:pt>
                <c:pt idx="34">
                  <c:v>0.99999998128822742</c:v>
                </c:pt>
                <c:pt idx="35">
                  <c:v>0.99999999007522866</c:v>
                </c:pt>
                <c:pt idx="36">
                  <c:v>0.99999999615427182</c:v>
                </c:pt>
                <c:pt idx="37">
                  <c:v>0.99999999893734659</c:v>
                </c:pt>
                <c:pt idx="38">
                  <c:v>0.99999999971906628</c:v>
                </c:pt>
                <c:pt idx="39">
                  <c:v>0.99999999992894617</c:v>
                </c:pt>
                <c:pt idx="40">
                  <c:v>0.99999999998671651</c:v>
                </c:pt>
                <c:pt idx="41">
                  <c:v>0.99999999999821521</c:v>
                </c:pt>
                <c:pt idx="42">
                  <c:v>0.99999999999977907</c:v>
                </c:pt>
                <c:pt idx="43">
                  <c:v>0.9999999999999748</c:v>
                </c:pt>
                <c:pt idx="44">
                  <c:v>0.99999999999999178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31B-9181-B9AD24ED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45"/>
              <c:pt idx="0">
                <c:v>1.222844544993852E-2</c:v>
              </c:pt>
              <c:pt idx="1">
                <c:v>1.8285790999795749E-2</c:v>
              </c:pt>
              <c:pt idx="2">
                <c:v>2.7343635285210541E-2</c:v>
              </c:pt>
              <c:pt idx="3">
                <c:v>4.0888271697897133E-2</c:v>
              </c:pt>
              <c:pt idx="4">
                <c:v>5.4525386633262889E-2</c:v>
              </c:pt>
              <c:pt idx="5">
                <c:v>6.4841977732550501E-2</c:v>
              </c:pt>
              <c:pt idx="6">
                <c:v>7.7110541270397057E-2</c:v>
              </c:pt>
              <c:pt idx="7">
                <c:v>9.1700404320467138E-2</c:v>
              </c:pt>
              <c:pt idx="8">
                <c:v>0.10905077326652579</c:v>
              </c:pt>
              <c:pt idx="9">
                <c:v>0.129683955465101</c:v>
              </c:pt>
              <c:pt idx="10">
                <c:v>0.15422108254079411</c:v>
              </c:pt>
              <c:pt idx="11">
                <c:v>0.18340080864093428</c:v>
              </c:pt>
              <c:pt idx="12">
                <c:v>0.21810154653305155</c:v>
              </c:pt>
              <c:pt idx="13">
                <c:v>0.25936791093020195</c:v>
              </c:pt>
              <c:pt idx="14">
                <c:v>0.30844216508158817</c:v>
              </c:pt>
              <c:pt idx="15">
                <c:v>0.3668016172818685</c:v>
              </c:pt>
              <c:pt idx="16">
                <c:v>0.43620309306610311</c:v>
              </c:pt>
              <c:pt idx="17">
                <c:v>0.5187358218604039</c:v>
              </c:pt>
              <c:pt idx="18">
                <c:v>0.61688433016317634</c:v>
              </c:pt>
              <c:pt idx="19">
                <c:v>0.73360323456373699</c:v>
              </c:pt>
              <c:pt idx="20">
                <c:v>0.84159160440691538</c:v>
              </c:pt>
              <c:pt idx="21">
                <c:v>0.93137421236871865</c:v>
              </c:pt>
              <c:pt idx="22">
                <c:v>1.0307350013035885</c:v>
              </c:pt>
              <c:pt idx="23">
                <c:v>1.1406957899449688</c:v>
              </c:pt>
              <c:pt idx="24">
                <c:v>1.2439375795536929</c:v>
              </c:pt>
              <c:pt idx="25">
                <c:v>1.3366979200537537</c:v>
              </c:pt>
              <c:pt idx="26">
                <c:v>1.4363753928208323</c:v>
              </c:pt>
              <c:pt idx="27">
                <c:v>1.5434858079364953</c:v>
              </c:pt>
              <c:pt idx="28">
                <c:v>1.6742525317171835</c:v>
              </c:pt>
              <c:pt idx="29">
                <c:v>1.8332552089809921</c:v>
              </c:pt>
              <c:pt idx="30">
                <c:v>2.0073582673988493</c:v>
              </c:pt>
              <c:pt idx="31">
                <c:v>2.1979957803770724</c:v>
              </c:pt>
              <c:pt idx="32">
                <c:v>2.377672382641121</c:v>
              </c:pt>
              <c:pt idx="33">
                <c:v>2.5409748588273868</c:v>
              </c:pt>
              <c:pt idx="34">
                <c:v>2.7154932194741281</c:v>
              </c:pt>
              <c:pt idx="35">
                <c:v>2.9019977900973353</c:v>
              </c:pt>
              <c:pt idx="36">
                <c:v>3.1978077331521191</c:v>
              </c:pt>
              <c:pt idx="37">
                <c:v>3.6334110766469716</c:v>
              </c:pt>
              <c:pt idx="38">
                <c:v>4.1283520316238169</c:v>
              </c:pt>
              <c:pt idx="39">
                <c:v>4.6907135299264269</c:v>
              </c:pt>
              <c:pt idx="40">
                <c:v>5.4525386633262878</c:v>
              </c:pt>
              <c:pt idx="41">
                <c:v>6.4841977732550484</c:v>
              </c:pt>
              <c:pt idx="42">
                <c:v>7.7110541270397031</c:v>
              </c:pt>
              <c:pt idx="43">
                <c:v>9.1700404320467115</c:v>
              </c:pt>
              <c:pt idx="44">
                <c:v>10</c:v>
              </c:pt>
            </c:numLit>
          </c:xVal>
          <c:yVal>
            <c:numLit>
              <c:formatCode>General</c:formatCode>
              <c:ptCount val="45"/>
              <c:pt idx="0">
                <c:v>1.9085875631063436E-18</c:v>
              </c:pt>
              <c:pt idx="1">
                <c:v>5.5739467408180941E-16</c:v>
              </c:pt>
              <c:pt idx="2">
                <c:v>1.0449777157001486E-13</c:v>
              </c:pt>
              <c:pt idx="3">
                <c:v>1.2590128861359489E-11</c:v>
              </c:pt>
              <c:pt idx="4">
                <c:v>2.9588405440300864E-10</c:v>
              </c:pt>
              <c:pt idx="5">
                <c:v>1.7761506845068918E-9</c:v>
              </c:pt>
              <c:pt idx="6">
                <c:v>9.8289505132512206E-9</c:v>
              </c:pt>
              <c:pt idx="7">
                <c:v>5.0151545683384232E-8</c:v>
              </c:pt>
              <c:pt idx="8">
                <c:v>2.3599506752386917E-7</c:v>
              </c:pt>
              <c:pt idx="9">
                <c:v>1.0243947312270585E-6</c:v>
              </c:pt>
              <c:pt idx="10">
                <c:v>4.1029578395117752E-6</c:v>
              </c:pt>
              <c:pt idx="11">
                <c:v>1.5168043717758784E-5</c:v>
              </c:pt>
              <c:pt idx="12">
                <c:v>5.1775451297931329E-5</c:v>
              </c:pt>
              <c:pt idx="13">
                <c:v>1.6325439882083033E-4</c:v>
              </c:pt>
              <c:pt idx="14">
                <c:v>4.7573895813367317E-4</c:v>
              </c:pt>
              <c:pt idx="15">
                <c:v>1.2820044461482921E-3</c:v>
              </c:pt>
              <c:pt idx="16">
                <c:v>3.196891815507173E-3</c:v>
              </c:pt>
              <c:pt idx="17">
                <c:v>7.383147639853282E-3</c:v>
              </c:pt>
              <c:pt idx="18">
                <c:v>1.5807319603985841E-2</c:v>
              </c:pt>
              <c:pt idx="19">
                <c:v>3.1411789569369651E-2</c:v>
              </c:pt>
              <c:pt idx="20">
                <c:v>5.1386056281393755E-2</c:v>
              </c:pt>
              <c:pt idx="21">
                <c:v>7.1786149694018073E-2</c:v>
              </c:pt>
              <c:pt idx="22">
                <c:v>9.788921937675657E-2</c:v>
              </c:pt>
              <c:pt idx="23">
                <c:v>0.13035192765150305</c:v>
              </c:pt>
              <c:pt idx="24">
                <c:v>0.16346324966798531</c:v>
              </c:pt>
              <c:pt idx="25">
                <c:v>0.19476889524471244</c:v>
              </c:pt>
              <c:pt idx="26">
                <c:v>0.22947153502583181</c:v>
              </c:pt>
              <c:pt idx="27">
                <c:v>0.26739166210394538</c:v>
              </c:pt>
              <c:pt idx="28">
                <c:v>0.31377371331755766</c:v>
              </c:pt>
              <c:pt idx="29">
                <c:v>0.36920067296819342</c:v>
              </c:pt>
              <c:pt idx="30">
                <c:v>0.42749296947746895</c:v>
              </c:pt>
              <c:pt idx="31">
                <c:v>0.48741550562592878</c:v>
              </c:pt>
              <c:pt idx="32">
                <c:v>0.53959372946496931</c:v>
              </c:pt>
              <c:pt idx="33">
                <c:v>0.58321295563774544</c:v>
              </c:pt>
              <c:pt idx="34">
                <c:v>0.62583022130002286</c:v>
              </c:pt>
              <c:pt idx="35">
                <c:v>0.66696182622713318</c:v>
              </c:pt>
              <c:pt idx="36">
                <c:v>0.7235151679039008</c:v>
              </c:pt>
              <c:pt idx="37">
                <c:v>0.78992471557995225</c:v>
              </c:pt>
              <c:pt idx="38">
                <c:v>0.84589948112685109</c:v>
              </c:pt>
              <c:pt idx="39">
                <c:v>0.89099707905352354</c:v>
              </c:pt>
              <c:pt idx="40">
                <c:v>0.93091970843214933</c:v>
              </c:pt>
              <c:pt idx="41">
                <c:v>0.96176012914518594</c:v>
              </c:pt>
              <c:pt idx="42">
                <c:v>0.98031498815607976</c:v>
              </c:pt>
              <c:pt idx="43">
                <c:v>0.99059081958621853</c:v>
              </c:pt>
              <c:pt idx="44">
                <c:v>0.99367574474989995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9F8-40F6-BBF5-F890E937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834402-4124-4870-B70D-2FCC1A53AAFB}"/>
            </a:ext>
          </a:extLst>
        </xdr:cNvPr>
        <xdr:cNvSpPr txBox="1"/>
      </xdr:nvSpPr>
      <xdr:spPr>
        <a:xfrm>
          <a:off x="11725275" y="508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390525</xdr:colOff>
      <xdr:row>25</xdr:row>
      <xdr:rowOff>57150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BE706B-AED6-4EFC-8C2D-132596FFD536}"/>
                </a:ext>
              </a:extLst>
            </xdr:cNvPr>
            <xdr:cNvSpPr txBox="1"/>
          </xdr:nvSpPr>
          <xdr:spPr>
            <a:xfrm>
              <a:off x="10953750" y="515302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BE706B-AED6-4EFC-8C2D-132596FFD536}"/>
                </a:ext>
              </a:extLst>
            </xdr:cNvPr>
            <xdr:cNvSpPr txBox="1"/>
          </xdr:nvSpPr>
          <xdr:spPr>
            <a:xfrm>
              <a:off x="10953750" y="515302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341219</xdr:colOff>
      <xdr:row>22</xdr:row>
      <xdr:rowOff>79</xdr:rowOff>
    </xdr:from>
    <xdr:ext cx="2329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C1717C-C4EC-4F24-9B45-9004C037B4D0}"/>
                </a:ext>
              </a:extLst>
            </xdr:cNvPr>
            <xdr:cNvSpPr txBox="1"/>
          </xdr:nvSpPr>
          <xdr:spPr>
            <a:xfrm>
              <a:off x="10904444" y="4505404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𝑐𝑟𝑜𝑠𝑠𝑖𝑛𝑔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C1717C-C4EC-4F24-9B45-9004C037B4D0}"/>
                </a:ext>
              </a:extLst>
            </xdr:cNvPr>
            <xdr:cNvSpPr txBox="1"/>
          </xdr:nvSpPr>
          <xdr:spPr>
            <a:xfrm>
              <a:off x="10904444" y="4505404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𝛽=𝑃𝑖𝑝𝑒−𝐹𝑎𝑢𝑙𝑡 𝑐𝑟𝑜𝑠𝑠𝑖𝑛𝑔 𝑎𝑛𝑔𝑙𝑒 (^𝑜)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390525</xdr:colOff>
      <xdr:row>24</xdr:row>
      <xdr:rowOff>32657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42F5BF-4F3C-4583-97A9-5449021D4EF4}"/>
                </a:ext>
              </a:extLst>
            </xdr:cNvPr>
            <xdr:cNvSpPr txBox="1"/>
          </xdr:nvSpPr>
          <xdr:spPr>
            <a:xfrm>
              <a:off x="10953750" y="492850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42F5BF-4F3C-4583-97A9-5449021D4EF4}"/>
                </a:ext>
              </a:extLst>
            </xdr:cNvPr>
            <xdr:cNvSpPr txBox="1"/>
          </xdr:nvSpPr>
          <xdr:spPr>
            <a:xfrm>
              <a:off x="10953750" y="492850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49</xdr:row>
      <xdr:rowOff>0</xdr:rowOff>
    </xdr:from>
    <xdr:to>
      <xdr:col>7</xdr:col>
      <xdr:colOff>1072001</xdr:colOff>
      <xdr:row>63</xdr:row>
      <xdr:rowOff>98715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D8AB4-4BA7-44D5-A4F5-07E75955F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254374</xdr:colOff>
      <xdr:row>7</xdr:row>
      <xdr:rowOff>136711</xdr:rowOff>
    </xdr:from>
    <xdr:ext cx="2557944" cy="566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745F28E-62A1-45BF-B94B-DAE202A55194}"/>
                </a:ext>
              </a:extLst>
            </xdr:cNvPr>
            <xdr:cNvSpPr txBox="1"/>
          </xdr:nvSpPr>
          <xdr:spPr>
            <a:xfrm>
              <a:off x="11398624" y="1479736"/>
              <a:ext cx="2557944" cy="566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𝑐𝑜𝑚𝑝</m:t>
                            </m:r>
                          </m:sub>
                        </m:sSub>
                      </m:e>
                    </m:func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𝑡𝑎𝑛h</m:t>
                                </m:r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unc>
                                      <m:func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𝑙𝑛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−4±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745F28E-62A1-45BF-B94B-DAE202A55194}"/>
                </a:ext>
              </a:extLst>
            </xdr:cNvPr>
            <xdr:cNvSpPr txBox="1"/>
          </xdr:nvSpPr>
          <xdr:spPr>
            <a:xfrm>
              <a:off x="11398624" y="1479736"/>
              <a:ext cx="2557944" cy="566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ln⁡〖𝜀_𝑐𝑜𝑚𝑝 〗=〖𝑡𝑎𝑛ℎ〗^(−1)⁡(𝑙𝑛⁡〖𝛥_𝑓−𝑏_0 〗/𝑏_1 )/𝑏_2 −4±𝜎_𝑙𝑛⁡𝜀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312840</xdr:colOff>
      <xdr:row>11</xdr:row>
      <xdr:rowOff>230743</xdr:rowOff>
    </xdr:from>
    <xdr:ext cx="2054793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278C50C-050F-4A51-BDFD-78E29CF6884D}"/>
                </a:ext>
              </a:extLst>
            </xdr:cNvPr>
            <xdr:cNvSpPr txBox="1"/>
          </xdr:nvSpPr>
          <xdr:spPr>
            <a:xfrm>
              <a:off x="10876065" y="2421493"/>
              <a:ext cx="205479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𝑐𝑜𝑚𝑝</m:t>
                        </m:r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Pipe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compressive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strain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278C50C-050F-4A51-BDFD-78E29CF6884D}"/>
                </a:ext>
              </a:extLst>
            </xdr:cNvPr>
            <xdr:cNvSpPr txBox="1"/>
          </xdr:nvSpPr>
          <xdr:spPr>
            <a:xfrm>
              <a:off x="10876065" y="2421493"/>
              <a:ext cx="205479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𝜀_𝑐𝑜𝑚𝑝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Pipe compressive strain (%)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13</xdr:row>
      <xdr:rowOff>31960</xdr:rowOff>
    </xdr:from>
    <xdr:ext cx="2046009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AFDFE4-77BD-4711-8B74-375BC42939E2}"/>
                </a:ext>
              </a:extLst>
            </xdr:cNvPr>
            <xdr:cNvSpPr txBox="1"/>
          </xdr:nvSpPr>
          <xdr:spPr>
            <a:xfrm>
              <a:off x="10876065" y="2698960"/>
              <a:ext cx="204600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Input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ground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deformation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AFDFE4-77BD-4711-8B74-375BC42939E2}"/>
                </a:ext>
              </a:extLst>
            </xdr:cNvPr>
            <xdr:cNvSpPr txBox="1"/>
          </xdr:nvSpPr>
          <xdr:spPr>
            <a:xfrm>
              <a:off x="10876065" y="2698960"/>
              <a:ext cx="204600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Δ_𝑓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Input ground deformation (m)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14</xdr:row>
      <xdr:rowOff>56808</xdr:rowOff>
    </xdr:from>
    <xdr:ext cx="330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C3186F-9A50-49CD-8706-57FFB32E477A}"/>
                </a:ext>
              </a:extLst>
            </xdr:cNvPr>
            <xdr:cNvSpPr txBox="1"/>
          </xdr:nvSpPr>
          <xdr:spPr>
            <a:xfrm>
              <a:off x="10876065" y="2933358"/>
              <a:ext cx="330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standard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deviation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of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model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natural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log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scale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C3186F-9A50-49CD-8706-57FFB32E477A}"/>
                </a:ext>
              </a:extLst>
            </xdr:cNvPr>
            <xdr:cNvSpPr txBox="1"/>
          </xdr:nvSpPr>
          <xdr:spPr>
            <a:xfrm>
              <a:off x="10876065" y="2933358"/>
              <a:ext cx="330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𝜎_𝑙𝑛⁡𝜀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standard deviation of the model (natural log scale)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15</xdr:row>
      <xdr:rowOff>73372</xdr:rowOff>
    </xdr:from>
    <xdr:ext cx="21725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1D4683B-DC92-46FB-B518-0C645856CE73}"/>
                </a:ext>
              </a:extLst>
            </xdr:cNvPr>
            <xdr:cNvSpPr txBox="1"/>
          </xdr:nvSpPr>
          <xdr:spPr>
            <a:xfrm>
              <a:off x="10876065" y="3149947"/>
              <a:ext cx="21725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0            ,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120&lt;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&lt;175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−120 ,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95&lt;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≤120</m:t>
                            </m:r>
                          </m:e>
                        </m:eqArr>
                      </m:e>
                    </m:d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1D4683B-DC92-46FB-B518-0C645856CE73}"/>
                </a:ext>
              </a:extLst>
            </xdr:cNvPr>
            <xdr:cNvSpPr txBox="1"/>
          </xdr:nvSpPr>
          <xdr:spPr>
            <a:xfrm>
              <a:off x="10876065" y="3149947"/>
              <a:ext cx="21725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𝐹_𝛽={█(0            ,𝑓𝑜𝑟 120&lt;𝛽&lt;175@𝛽−120 ,𝑓𝑜𝑟 95&lt;𝛽≤120)┤";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17</xdr:row>
      <xdr:rowOff>123068</xdr:rowOff>
    </xdr:from>
    <xdr:ext cx="384291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C167A6-996B-4E45-9F43-9B2E3AA89CE5}"/>
                </a:ext>
              </a:extLst>
            </xdr:cNvPr>
            <xdr:cNvSpPr txBox="1"/>
          </xdr:nvSpPr>
          <xdr:spPr>
            <a:xfrm>
              <a:off x="10876065" y="3647318"/>
              <a:ext cx="384291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−6.50785 + 0.98692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+ 0.01601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−0.04575 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C167A6-996B-4E45-9F43-9B2E3AA89CE5}"/>
                </a:ext>
              </a:extLst>
            </xdr:cNvPr>
            <xdr:cNvSpPr txBox="1"/>
          </xdr:nvSpPr>
          <xdr:spPr>
            <a:xfrm>
              <a:off x="10876065" y="3647318"/>
              <a:ext cx="384291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−6.50785 + 0.98692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+ 0.01601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−0.04575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𝐹_𝛽)";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18</xdr:row>
      <xdr:rowOff>106504</xdr:rowOff>
    </xdr:from>
    <xdr:ext cx="1747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45E7B8-EE1D-4484-B108-BBDD277D8F80}"/>
                </a:ext>
              </a:extLst>
            </xdr:cNvPr>
            <xdr:cNvSpPr txBox="1"/>
          </xdr:nvSpPr>
          <xdr:spPr>
            <a:xfrm>
              <a:off x="10876065" y="3840304"/>
              <a:ext cx="1747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4.54097 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0.01093 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45E7B8-EE1D-4484-B108-BBDD277D8F80}"/>
                </a:ext>
              </a:extLst>
            </xdr:cNvPr>
            <xdr:cNvSpPr txBox="1"/>
          </xdr:nvSpPr>
          <xdr:spPr>
            <a:xfrm>
              <a:off x="10876065" y="3840304"/>
              <a:ext cx="1747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4.54097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0.01093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19</xdr:row>
      <xdr:rowOff>147916</xdr:rowOff>
    </xdr:from>
    <xdr:ext cx="362394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1263333-7953-4183-9C65-D4EEEAF330D6}"/>
                </a:ext>
              </a:extLst>
            </xdr:cNvPr>
            <xdr:cNvSpPr txBox="1"/>
          </xdr:nvSpPr>
          <xdr:spPr>
            <a:xfrm>
              <a:off x="10876065" y="4081741"/>
              <a:ext cx="362394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0.34262 +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0.10918 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𝑂𝐷</m:t>
                        </m:r>
                      </m:e>
                    </m:d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+ 0.00197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0.0027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1263333-7953-4183-9C65-D4EEEAF330D6}"/>
                </a:ext>
              </a:extLst>
            </xdr:cNvPr>
            <xdr:cNvSpPr txBox="1"/>
          </xdr:nvSpPr>
          <xdr:spPr>
            <a:xfrm>
              <a:off x="10876065" y="4081741"/>
              <a:ext cx="362394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0.34262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0.10918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𝑂𝐷)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+ 0.00197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𝐹_𝛽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20</xdr:row>
      <xdr:rowOff>177636</xdr:rowOff>
    </xdr:from>
    <xdr:ext cx="794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5E3447A-2EA3-454B-B8A7-6F24FACCE603}"/>
                </a:ext>
              </a:extLst>
            </xdr:cNvPr>
            <xdr:cNvSpPr txBox="1"/>
          </xdr:nvSpPr>
          <xdr:spPr>
            <a:xfrm>
              <a:off x="10876065" y="4301961"/>
              <a:ext cx="794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=0.571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5E3447A-2EA3-454B-B8A7-6F24FACCE603}"/>
                </a:ext>
              </a:extLst>
            </xdr:cNvPr>
            <xdr:cNvSpPr txBox="1"/>
          </xdr:nvSpPr>
          <xdr:spPr>
            <a:xfrm>
              <a:off x="10876065" y="4301961"/>
              <a:ext cx="794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𝜎_ln⁡𝜀 =0.571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A16715-9B1B-4E5C-A78A-F043A1191B85}"/>
            </a:ext>
          </a:extLst>
        </xdr:cNvPr>
        <xdr:cNvSpPr txBox="1"/>
      </xdr:nvSpPr>
      <xdr:spPr>
        <a:xfrm>
          <a:off x="14125575" y="5095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7</xdr:row>
      <xdr:rowOff>163286</xdr:rowOff>
    </xdr:from>
    <xdr:ext cx="3796489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511D9F-CE71-4366-A931-A6FF478B4CA1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d>
                          <m:dPr>
                            <m:begChr m:val="{"/>
                            <m:endChr m:val="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;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𝐶𝑙𝑎𝑦</m:t>
                                </m:r>
                              </m: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𝑠𝑜𝑖𝑙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∗0.5∗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;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𝑆𝑎𝑛𝑑</m:t>
                                </m:r>
                              </m:e>
                            </m:eqArr>
                          </m:e>
                        </m:d>
                      </m:e>
                      <m:sub/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511D9F-CE71-4366-A931-A6FF478B4CA1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𝑡_𝑢𝑙𝑡={█(</a:t>
              </a:r>
              <a:r>
                <a:rPr lang="en-US" sz="1100" b="0" i="0">
                  <a:latin typeface="Cambria Math" panose="02040503050406030204" pitchFamily="18" charset="0"/>
                </a:rPr>
                <a:t>𝜋∗𝐷∗𝛼∗𝑠_𝑢  ; 𝑓𝑜𝑟 𝐶𝑙𝑎𝑦@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𝜋∗𝐷∗𝐻∗𝛾_𝑠𝑜𝑖𝑙∗0.5∗(1+𝐾_𝑜 )∗tan⁡〖(𝑘𝜙)〗; 𝑓𝑜𝑟 𝑆𝑎𝑛𝑑)┤〗_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36634</xdr:colOff>
      <xdr:row>41</xdr:row>
      <xdr:rowOff>0</xdr:rowOff>
    </xdr:from>
    <xdr:ext cx="19757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40F9B3-6F65-474B-9920-42BAD9DD3451}"/>
                </a:ext>
              </a:extLst>
            </xdr:cNvPr>
            <xdr:cNvSpPr txBox="1"/>
          </xdr:nvSpPr>
          <xdr:spPr>
            <a:xfrm>
              <a:off x="14162209" y="8334375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40F9B3-6F65-474B-9920-42BAD9DD3451}"/>
                </a:ext>
              </a:extLst>
            </xdr:cNvPr>
            <xdr:cNvSpPr txBox="1"/>
          </xdr:nvSpPr>
          <xdr:spPr>
            <a:xfrm>
              <a:off x="14162209" y="8334375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𝜙</a:t>
              </a:r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6896</xdr:colOff>
      <xdr:row>47</xdr:row>
      <xdr:rowOff>11205</xdr:rowOff>
    </xdr:from>
    <xdr:ext cx="3047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79DF64-77D5-450B-8716-DCB926E465F0}"/>
                </a:ext>
              </a:extLst>
            </xdr:cNvPr>
            <xdr:cNvSpPr txBox="1"/>
          </xdr:nvSpPr>
          <xdr:spPr>
            <a:xfrm>
              <a:off x="14132471" y="9488580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𝐶𝑜𝑒𝑓𝑓𝑖𝑐𝑖𝑒𝑛𝑡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𝑝𝑟𝑒𝑠𝑠𝑢𝑟𝑒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𝑎𝑡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𝑟𝑒𝑠𝑡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(1−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</m:func>
                </m:oMath>
              </a14:m>
              <a:r>
                <a:rPr lang="en-US" sz="1100"/>
                <a:t> 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79DF64-77D5-450B-8716-DCB926E465F0}"/>
                </a:ext>
              </a:extLst>
            </xdr:cNvPr>
            <xdr:cNvSpPr txBox="1"/>
          </xdr:nvSpPr>
          <xdr:spPr>
            <a:xfrm>
              <a:off x="14132471" y="9488580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𝐾_𝑜=𝐶𝑜𝑒𝑓𝑓𝑖𝑐𝑖𝑒𝑛𝑡 𝑜𝑓 𝑝𝑟𝑒𝑠𝑠𝑢𝑟𝑒 𝑎𝑡 𝑟𝑒𝑠𝑡 (1−sin⁡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n-US" sz="1100"/>
                <a:t> )</a:t>
              </a:r>
            </a:p>
          </xdr:txBody>
        </xdr:sp>
      </mc:Fallback>
    </mc:AlternateContent>
    <xdr:clientData/>
  </xdr:oneCellAnchor>
  <xdr:oneCellAnchor>
    <xdr:from>
      <xdr:col>11</xdr:col>
      <xdr:colOff>29308</xdr:colOff>
      <xdr:row>41</xdr:row>
      <xdr:rowOff>190500</xdr:rowOff>
    </xdr:from>
    <xdr:ext cx="44187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AE44AF5-13F5-4D52-8979-77412D4C4A8E}"/>
                </a:ext>
              </a:extLst>
            </xdr:cNvPr>
            <xdr:cNvSpPr txBox="1"/>
          </xdr:nvSpPr>
          <xdr:spPr>
            <a:xfrm>
              <a:off x="14154883" y="8524875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=0.9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Friction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factore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peak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cohesionless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soil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rough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steel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pipe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AE44AF5-13F5-4D52-8979-77412D4C4A8E}"/>
                </a:ext>
              </a:extLst>
            </xdr:cNvPr>
            <xdr:cNvSpPr txBox="1"/>
          </xdr:nvSpPr>
          <xdr:spPr>
            <a:xfrm>
              <a:off x="14154883" y="8524875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𝑘=0.9 (Friction factore for peak cohesionless soil and rough steel pipe)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42</xdr:row>
      <xdr:rowOff>190500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BEDBF78-1650-40E8-875B-94DE00D2E42B}"/>
                </a:ext>
              </a:extLst>
            </xdr:cNvPr>
            <xdr:cNvSpPr txBox="1"/>
          </xdr:nvSpPr>
          <xdr:spPr>
            <a:xfrm>
              <a:off x="14125575" y="871537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BEDBF78-1650-40E8-875B-94DE00D2E42B}"/>
                </a:ext>
              </a:extLst>
            </xdr:cNvPr>
            <xdr:cNvSpPr txBox="1"/>
          </xdr:nvSpPr>
          <xdr:spPr>
            <a:xfrm>
              <a:off x="14125575" y="871537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43</xdr:row>
      <xdr:rowOff>149678</xdr:rowOff>
    </xdr:from>
    <xdr:ext cx="2329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8B313C-6190-41CA-9EE8-7819E93E3C0E}"/>
                </a:ext>
              </a:extLst>
            </xdr:cNvPr>
            <xdr:cNvSpPr txBox="1"/>
          </xdr:nvSpPr>
          <xdr:spPr>
            <a:xfrm>
              <a:off x="14125575" y="8865053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𝑐𝑟𝑜𝑠𝑠𝑖𝑛𝑔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8B313C-6190-41CA-9EE8-7819E93E3C0E}"/>
                </a:ext>
              </a:extLst>
            </xdr:cNvPr>
            <xdr:cNvSpPr txBox="1"/>
          </xdr:nvSpPr>
          <xdr:spPr>
            <a:xfrm>
              <a:off x="14125575" y="8865053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𝛽=𝑃𝑖𝑝𝑒−𝐹𝑎𝑢𝑙𝑡 𝑐𝑟𝑜𝑠𝑠𝑖𝑛𝑔 𝑎𝑛𝑔𝑙𝑒 (^𝑜)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44</xdr:row>
      <xdr:rowOff>108857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52A036B-BD76-48BF-BEB4-3ED6200CCEA2}"/>
                </a:ext>
              </a:extLst>
            </xdr:cNvPr>
            <xdr:cNvSpPr txBox="1"/>
          </xdr:nvSpPr>
          <xdr:spPr>
            <a:xfrm>
              <a:off x="14125575" y="9014732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52A036B-BD76-48BF-BEB4-3ED6200CCEA2}"/>
                </a:ext>
              </a:extLst>
            </xdr:cNvPr>
            <xdr:cNvSpPr txBox="1"/>
          </xdr:nvSpPr>
          <xdr:spPr>
            <a:xfrm>
              <a:off x="14125575" y="9014732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45</xdr:row>
      <xdr:rowOff>81643</xdr:rowOff>
    </xdr:from>
    <xdr:ext cx="3105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34010FF-A855-4E16-942E-5EB8E99FD968}"/>
                </a:ext>
              </a:extLst>
            </xdr:cNvPr>
            <xdr:cNvSpPr txBox="1"/>
          </xdr:nvSpPr>
          <xdr:spPr>
            <a:xfrm>
              <a:off x="14125575" y="9178018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𝐿𝑎𝑡𝑒𝑟𝑎𝑙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34010FF-A855-4E16-942E-5EB8E99FD968}"/>
                </a:ext>
              </a:extLst>
            </xdr:cNvPr>
            <xdr:cNvSpPr txBox="1"/>
          </xdr:nvSpPr>
          <xdr:spPr>
            <a:xfrm>
              <a:off x="14125575" y="9178018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𝑞_𝑢𝑙𝑡=𝑀𝑎𝑥𝑖𝑚𝑢𝑚 𝐿𝑎𝑡𝑒𝑟𝑎𝑙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46</xdr:row>
      <xdr:rowOff>40821</xdr:rowOff>
    </xdr:from>
    <xdr:ext cx="41771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2D6CA8-A6B0-4398-A174-3B42580FC822}"/>
                </a:ext>
              </a:extLst>
            </xdr:cNvPr>
            <xdr:cNvSpPr txBox="1"/>
          </xdr:nvSpPr>
          <xdr:spPr>
            <a:xfrm>
              <a:off x="14125575" y="9327696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𝐶𝑜𝑛𝑑𝑖𝑡𝑖𝑜𝑛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𝐹𝑟𝑖𝑐𝑡𝑖𝑜𝑛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2D6CA8-A6B0-4398-A174-3B42580FC822}"/>
                </a:ext>
              </a:extLst>
            </xdr:cNvPr>
            <xdr:cNvSpPr txBox="1"/>
          </xdr:nvSpPr>
          <xdr:spPr>
            <a:xfrm>
              <a:off x="14125575" y="9327696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𝑡_𝑢𝑙𝑡=𝑀𝑎𝑥𝑖𝑚𝑢𝑚 𝐾𝑜−𝐶𝑜𝑛𝑑𝑖𝑡𝑖𝑜𝑛 𝐹𝑟𝑖𝑐𝑡𝑖𝑜𝑛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72</xdr:row>
      <xdr:rowOff>0</xdr:rowOff>
    </xdr:from>
    <xdr:to>
      <xdr:col>7</xdr:col>
      <xdr:colOff>1072001</xdr:colOff>
      <xdr:row>86</xdr:row>
      <xdr:rowOff>98715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94C747-1F2E-401A-8148-261651669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517071</xdr:colOff>
      <xdr:row>9</xdr:row>
      <xdr:rowOff>179295</xdr:rowOff>
    </xdr:from>
    <xdr:to>
      <xdr:col>15</xdr:col>
      <xdr:colOff>441888</xdr:colOff>
      <xdr:row>11</xdr:row>
      <xdr:rowOff>17458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DD66FCFB-C1CD-46F8-8901-49D69C775755}"/>
                </a:ext>
              </a:extLst>
            </xdr:cNvPr>
            <xdr:cNvSpPr txBox="1"/>
          </xdr:nvSpPr>
          <xdr:spPr>
            <a:xfrm>
              <a:off x="14061621" y="1969995"/>
              <a:ext cx="282994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</m:t>
                            </m:r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DD66FCFB-C1CD-46F8-8901-49D69C775755}"/>
                </a:ext>
              </a:extLst>
            </xdr:cNvPr>
            <xdr:cNvSpPr txBox="1"/>
          </xdr:nvSpPr>
          <xdr:spPr>
            <a:xfrm>
              <a:off x="14061621" y="1969995"/>
              <a:ext cx="282994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ln⁡〖Δ_𝑜 〗=𝑎_0+𝑎_1  ln⁡(𝐷/𝑡)+𝑎_2  ln⁡(𝐿_𝑎 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11</xdr:col>
      <xdr:colOff>9185</xdr:colOff>
      <xdr:row>11</xdr:row>
      <xdr:rowOff>69201</xdr:rowOff>
    </xdr:from>
    <xdr:to>
      <xdr:col>23</xdr:col>
      <xdr:colOff>565156</xdr:colOff>
      <xdr:row>12</xdr:row>
      <xdr:rowOff>53040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22">
              <a:extLst>
                <a:ext uri="{FF2B5EF4-FFF2-40B4-BE49-F238E27FC236}">
                  <a16:creationId xmlns:a16="http://schemas.microsoft.com/office/drawing/2014/main" id="{3F6E79E6-9860-4063-A089-6190A847A25E}"/>
                </a:ext>
              </a:extLst>
            </xdr:cNvPr>
            <xdr:cNvSpPr txBox="1"/>
          </xdr:nvSpPr>
          <xdr:spPr>
            <a:xfrm>
              <a:off x="14134760" y="2240901"/>
              <a:ext cx="7528271" cy="2219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𝑢𝑙𝑡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22">
              <a:extLst>
                <a:ext uri="{FF2B5EF4-FFF2-40B4-BE49-F238E27FC236}">
                  <a16:creationId xmlns:a16="http://schemas.microsoft.com/office/drawing/2014/main" id="{3F6E79E6-9860-4063-A089-6190A847A25E}"/>
                </a:ext>
              </a:extLst>
            </xdr:cNvPr>
            <xdr:cNvSpPr txBox="1"/>
          </xdr:nvSpPr>
          <xdr:spPr>
            <a:xfrm>
              <a:off x="14134760" y="2240901"/>
              <a:ext cx="7528271" cy="2219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𝑎_1=𝑐_3 𝑡_𝑢𝑙𝑡+𝑐_4  ln⁡〖𝜀_𝑢𝑙𝑡 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423915</xdr:colOff>
      <xdr:row>21</xdr:row>
      <xdr:rowOff>144015</xdr:rowOff>
    </xdr:from>
    <xdr:to>
      <xdr:col>20</xdr:col>
      <xdr:colOff>123511</xdr:colOff>
      <xdr:row>23</xdr:row>
      <xdr:rowOff>104940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9">
              <a:extLst>
                <a:ext uri="{FF2B5EF4-FFF2-40B4-BE49-F238E27FC236}">
                  <a16:creationId xmlns:a16="http://schemas.microsoft.com/office/drawing/2014/main" id="{7DF20A16-EB9C-4D91-B071-C937C75824C9}"/>
                </a:ext>
              </a:extLst>
            </xdr:cNvPr>
            <xdr:cNvSpPr txBox="1"/>
          </xdr:nvSpPr>
          <xdr:spPr>
            <a:xfrm>
              <a:off x="13968465" y="4411215"/>
              <a:ext cx="5509846" cy="408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𝑙𝑜𝑛𝑔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𝑠𝑜𝑖𝑙</m:t>
                            </m:r>
                          </m:sub>
                        </m:s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9">
              <a:extLst>
                <a:ext uri="{FF2B5EF4-FFF2-40B4-BE49-F238E27FC236}">
                  <a16:creationId xmlns:a16="http://schemas.microsoft.com/office/drawing/2014/main" id="{7DF20A16-EB9C-4D91-B071-C937C75824C9}"/>
                </a:ext>
              </a:extLst>
            </xdr:cNvPr>
            <xdr:cNvSpPr txBox="1"/>
          </xdr:nvSpPr>
          <xdr:spPr>
            <a:xfrm>
              <a:off x="13968465" y="4411215"/>
              <a:ext cx="5509846" cy="408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ln⁡〖𝜀_𝑙𝑜𝑛𝑔 〗=𝑏_0+𝑏_1 (Δ_𝑓)+𝑏_2  ln⁡(𝐷/𝑡)+〖𝐹_𝑠𝑜𝑖𝑙  𝑏〗_3  ln⁡〖𝑡_𝑢𝑙𝑡 〗±𝜎_ln⁡𝜀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435870</xdr:colOff>
      <xdr:row>26</xdr:row>
      <xdr:rowOff>145382</xdr:rowOff>
    </xdr:from>
    <xdr:to>
      <xdr:col>14</xdr:col>
      <xdr:colOff>438630</xdr:colOff>
      <xdr:row>28</xdr:row>
      <xdr:rowOff>137934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2">
              <a:extLst>
                <a:ext uri="{FF2B5EF4-FFF2-40B4-BE49-F238E27FC236}">
                  <a16:creationId xmlns:a16="http://schemas.microsoft.com/office/drawing/2014/main" id="{5AC5665F-A938-4A59-B7FB-7F7D89566A06}"/>
                </a:ext>
              </a:extLst>
            </xdr:cNvPr>
            <xdr:cNvSpPr txBox="1"/>
          </xdr:nvSpPr>
          <xdr:spPr>
            <a:xfrm>
              <a:off x="13980420" y="5469857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sub>
                            </m:sSub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6" name="TextBox 12">
              <a:extLst>
                <a:ext uri="{FF2B5EF4-FFF2-40B4-BE49-F238E27FC236}">
                  <a16:creationId xmlns:a16="http://schemas.microsoft.com/office/drawing/2014/main" id="{5AC5665F-A938-4A59-B7FB-7F7D89566A06}"/>
                </a:ext>
              </a:extLst>
            </xdr:cNvPr>
            <xdr:cNvSpPr txBox="1"/>
          </xdr:nvSpPr>
          <xdr:spPr>
            <a:xfrm>
              <a:off x="13980420" y="5469857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𝐹_Δ𝑜={█(1 ;𝑓𝑜𝑟 Δ_𝑓&lt;Δ_𝑜@0 ;𝑜𝑡ℎ𝑒𝑟𝑤𝑖𝑠𝑒)┤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10</xdr:col>
      <xdr:colOff>507848</xdr:colOff>
      <xdr:row>18</xdr:row>
      <xdr:rowOff>13170</xdr:rowOff>
    </xdr:from>
    <xdr:to>
      <xdr:col>23</xdr:col>
      <xdr:colOff>478712</xdr:colOff>
      <xdr:row>21</xdr:row>
      <xdr:rowOff>114307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22">
              <a:extLst>
                <a:ext uri="{FF2B5EF4-FFF2-40B4-BE49-F238E27FC236}">
                  <a16:creationId xmlns:a16="http://schemas.microsoft.com/office/drawing/2014/main" id="{DAF13187-1F08-46F6-92A0-79775AAF6ABC}"/>
                </a:ext>
              </a:extLst>
            </xdr:cNvPr>
            <xdr:cNvSpPr txBox="1"/>
          </xdr:nvSpPr>
          <xdr:spPr>
            <a:xfrm>
              <a:off x="14052398" y="3670770"/>
              <a:ext cx="7524189" cy="71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+0.75 , 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&lt;15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+1.0 , 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15 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≤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&lt;50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+1.5 , 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</m:t>
                            </m:r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7" name="TextBox 22">
              <a:extLst>
                <a:ext uri="{FF2B5EF4-FFF2-40B4-BE49-F238E27FC236}">
                  <a16:creationId xmlns:a16="http://schemas.microsoft.com/office/drawing/2014/main" id="{DAF13187-1F08-46F6-92A0-79775AAF6ABC}"/>
                </a:ext>
              </a:extLst>
            </xdr:cNvPr>
            <xdr:cNvSpPr txBox="1"/>
          </xdr:nvSpPr>
          <xdr:spPr>
            <a:xfrm>
              <a:off x="14052398" y="3670770"/>
              <a:ext cx="7524189" cy="71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ln⁡〖Δ_𝑢 〗={█(ln⁡〖Δ_𝑜 〗+0.75 , 𝑓𝑜𝑟 𝐿_𝑎&lt;15 𝑚@ln⁡〖Δ_𝑜 〗+1.0 , 𝑓𝑜𝑟 〖15 𝑚 ≤𝐿〗_𝑎&lt;50 𝑚@ln⁡〖Δ_𝑜 〗+1.5 , 𝑓𝑜𝑟 𝐿_𝑎&gt;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14</xdr:col>
      <xdr:colOff>38923</xdr:colOff>
      <xdr:row>26</xdr:row>
      <xdr:rowOff>145382</xdr:rowOff>
    </xdr:from>
    <xdr:to>
      <xdr:col>18</xdr:col>
      <xdr:colOff>41682</xdr:colOff>
      <xdr:row>28</xdr:row>
      <xdr:rowOff>137934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2">
              <a:extLst>
                <a:ext uri="{FF2B5EF4-FFF2-40B4-BE49-F238E27FC236}">
                  <a16:creationId xmlns:a16="http://schemas.microsoft.com/office/drawing/2014/main" id="{9CD86C00-2E5B-4360-A427-CE4635F79654}"/>
                </a:ext>
              </a:extLst>
            </xdr:cNvPr>
            <xdr:cNvSpPr txBox="1"/>
          </xdr:nvSpPr>
          <xdr:spPr>
            <a:xfrm>
              <a:off x="15907573" y="5469857"/>
              <a:ext cx="2326859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sub>
                            </m:sSub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8" name="TextBox 12">
              <a:extLst>
                <a:ext uri="{FF2B5EF4-FFF2-40B4-BE49-F238E27FC236}">
                  <a16:creationId xmlns:a16="http://schemas.microsoft.com/office/drawing/2014/main" id="{9CD86C00-2E5B-4360-A427-CE4635F79654}"/>
                </a:ext>
              </a:extLst>
            </xdr:cNvPr>
            <xdr:cNvSpPr txBox="1"/>
          </xdr:nvSpPr>
          <xdr:spPr>
            <a:xfrm>
              <a:off x="15907573" y="5469857"/>
              <a:ext cx="2326859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𝐹_Δ𝑢={█(1 ;𝑓𝑜𝑟 Δ_𝑓&gt;Δ_𝑢@0 ;𝑜𝑡ℎ𝑒𝑟𝑤𝑖𝑠𝑒)┤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17</xdr:col>
      <xdr:colOff>335881</xdr:colOff>
      <xdr:row>26</xdr:row>
      <xdr:rowOff>118167</xdr:rowOff>
    </xdr:from>
    <xdr:to>
      <xdr:col>21</xdr:col>
      <xdr:colOff>338641</xdr:colOff>
      <xdr:row>28</xdr:row>
      <xdr:rowOff>110719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2">
              <a:extLst>
                <a:ext uri="{FF2B5EF4-FFF2-40B4-BE49-F238E27FC236}">
                  <a16:creationId xmlns:a16="http://schemas.microsoft.com/office/drawing/2014/main" id="{9BBEE0C8-0AFC-4C34-9A27-2B29AC3BDFF4}"/>
                </a:ext>
              </a:extLst>
            </xdr:cNvPr>
            <xdr:cNvSpPr txBox="1"/>
          </xdr:nvSpPr>
          <xdr:spPr>
            <a:xfrm>
              <a:off x="17947606" y="5442642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𝑠𝑜𝑖𝑙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𝑖𝑓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𝑠𝑎𝑛𝑑</m:t>
                            </m:r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𝑖𝑓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𝑐𝑙𝑎𝑦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2">
              <a:extLst>
                <a:ext uri="{FF2B5EF4-FFF2-40B4-BE49-F238E27FC236}">
                  <a16:creationId xmlns:a16="http://schemas.microsoft.com/office/drawing/2014/main" id="{9BBEE0C8-0AFC-4C34-9A27-2B29AC3BDFF4}"/>
                </a:ext>
              </a:extLst>
            </xdr:cNvPr>
            <xdr:cNvSpPr txBox="1"/>
          </xdr:nvSpPr>
          <xdr:spPr>
            <a:xfrm>
              <a:off x="17947606" y="5442642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𝐹_𝑠𝑜𝑖𝑙={█(1 ;𝑖𝑓 𝑠𝑎𝑛𝑑@0 ;𝑖𝑓 𝑐𝑙𝑎𝑦)┤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10</xdr:col>
      <xdr:colOff>410307</xdr:colOff>
      <xdr:row>23</xdr:row>
      <xdr:rowOff>177632</xdr:rowOff>
    </xdr:from>
    <xdr:to>
      <xdr:col>25</xdr:col>
      <xdr:colOff>577102</xdr:colOff>
      <xdr:row>25</xdr:row>
      <xdr:rowOff>170795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1020669-7124-4AF8-BC4F-5054E5AB5308}"/>
                </a:ext>
              </a:extLst>
            </xdr:cNvPr>
            <xdr:cNvSpPr txBox="1"/>
          </xdr:nvSpPr>
          <xdr:spPr>
            <a:xfrm>
              <a:off x="13954857" y="4892507"/>
              <a:ext cx="8882170" cy="374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𝑢𝑙𝑡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</m:d>
                      </m:e>
                    </m:d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sub>
                            </m:sSub>
                          </m:e>
                        </m:d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𝑢𝑙𝑡</m:t>
                                    </m:r>
                                  </m:sub>
                                </m:s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𝑢𝑙𝑡</m:t>
                                        </m:r>
                                      </m:sub>
                                    </m:sSub>
                                  </m:e>
                                </m:func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1020669-7124-4AF8-BC4F-5054E5AB5308}"/>
                </a:ext>
              </a:extLst>
            </xdr:cNvPr>
            <xdr:cNvSpPr txBox="1"/>
          </xdr:nvSpPr>
          <xdr:spPr>
            <a:xfrm>
              <a:off x="13954857" y="4892507"/>
              <a:ext cx="8882170" cy="374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𝑏_1=[𝐹_Δ𝑜  ln⁡(Δ_𝑓/Δ_𝑜 ) (𝑒_1+𝑒_2 𝑡_𝑢𝑙𝑡+𝑒_3 (𝐷/𝑡))]+[(𝐹_Δ𝑢 )  ln⁡(Δ_𝑓/Δ_𝑢 ) (𝑒_4+〖𝑒_5 𝑡_𝑢𝑙𝑡+𝑒〗_6 𝐿_𝑎+𝑒_7 (𝐷/𝑡)+𝑒_8 (ln⁡〖𝜀_𝑢𝑙𝑡 〗 ))]</a:t>
              </a:r>
              <a:endParaRPr lang="en-US" sz="9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ED0773-C9C1-4A13-943E-B7894058F077}"/>
            </a:ext>
          </a:extLst>
        </xdr:cNvPr>
        <xdr:cNvSpPr txBox="1"/>
      </xdr:nvSpPr>
      <xdr:spPr>
        <a:xfrm>
          <a:off x="14125575" y="5057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7</xdr:row>
      <xdr:rowOff>163286</xdr:rowOff>
    </xdr:from>
    <xdr:ext cx="3796489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d>
                          <m:dPr>
                            <m:begChr m:val="{"/>
                            <m:endChr m:val="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;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𝐶𝑙𝑎𝑦</m:t>
                                </m:r>
                              </m: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𝑠𝑜𝑖𝑙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∗0.5∗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;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𝑆𝑎𝑛𝑑</m:t>
                                </m:r>
                              </m:e>
                            </m:eqArr>
                          </m:e>
                        </m:d>
                      </m:e>
                      <m:sub/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𝑡_𝑢𝑙𝑡={█(</a:t>
              </a:r>
              <a:r>
                <a:rPr lang="en-US" sz="1100" b="0" i="0">
                  <a:latin typeface="Cambria Math" panose="02040503050406030204" pitchFamily="18" charset="0"/>
                </a:rPr>
                <a:t>𝜋∗𝐷∗𝛼∗𝑠_𝑢  ; 𝑓𝑜𝑟 𝐶𝑙𝑎𝑦@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𝜋∗𝐷∗𝐻∗𝛾_𝑠𝑜𝑖𝑙∗0.5∗(1+𝐾_𝑜 )∗tan⁡〖(𝑘𝜙)〗; 𝑓𝑜𝑟 𝑆𝑎𝑛𝑑)┤〗_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36634</xdr:colOff>
      <xdr:row>30</xdr:row>
      <xdr:rowOff>28575</xdr:rowOff>
    </xdr:from>
    <xdr:ext cx="19757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𝜙</a:t>
              </a:r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6896</xdr:colOff>
      <xdr:row>37</xdr:row>
      <xdr:rowOff>16808</xdr:rowOff>
    </xdr:from>
    <xdr:ext cx="3047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𝐶𝑜𝑒𝑓𝑓𝑖𝑐𝑖𝑒𝑛𝑡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𝑝𝑟𝑒𝑠𝑠𝑢𝑟𝑒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𝑎𝑡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𝑟𝑒𝑠𝑡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(1−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</m:func>
                </m:oMath>
              </a14:m>
              <a:r>
                <a:rPr lang="en-US" sz="1100"/>
                <a:t> 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𝐾_𝑜=𝐶𝑜𝑒𝑓𝑓𝑖𝑐𝑖𝑒𝑛𝑡 𝑜𝑓 𝑝𝑟𝑒𝑠𝑠𝑢𝑟𝑒 𝑎𝑡 𝑟𝑒𝑠𝑡 (1−sin⁡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n-US" sz="1100"/>
                <a:t> )</a:t>
              </a:r>
            </a:p>
          </xdr:txBody>
        </xdr:sp>
      </mc:Fallback>
    </mc:AlternateContent>
    <xdr:clientData/>
  </xdr:oneCellAnchor>
  <xdr:oneCellAnchor>
    <xdr:from>
      <xdr:col>11</xdr:col>
      <xdr:colOff>29308</xdr:colOff>
      <xdr:row>31</xdr:row>
      <xdr:rowOff>28575</xdr:rowOff>
    </xdr:from>
    <xdr:ext cx="44187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=0.9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Friction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factore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peak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cohesionless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soil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rough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steel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pipe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𝑘=0.9 (Friction factore for peak cohesionless soil and rough steel pipe)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31</xdr:row>
      <xdr:rowOff>198345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32</xdr:row>
      <xdr:rowOff>168728</xdr:rowOff>
    </xdr:from>
    <xdr:ext cx="2364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𝐷𝑖𝑝𝑝𝑖𝑛𝑔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𝜓=𝑃𝑖𝑝𝑒−𝐹𝑎𝑢𝑙𝑡 𝐷𝑖𝑝𝑝𝑖𝑛𝑔 𝑎𝑛𝑔𝑙𝑒 (^𝑜)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33</xdr:row>
      <xdr:rowOff>161525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34</xdr:row>
      <xdr:rowOff>143835</xdr:rowOff>
    </xdr:from>
    <xdr:ext cx="3105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𝐿𝑎𝑡𝑒𝑟𝑎𝑙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𝑞_𝑢𝑙𝑡=𝑀𝑎𝑥𝑖𝑚𝑢𝑚 𝐿𝑎𝑡𝑒𝑟𝑎𝑙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</xdr:row>
      <xdr:rowOff>170249</xdr:rowOff>
    </xdr:from>
    <xdr:ext cx="41771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𝐶𝑜𝑛𝑑𝑖𝑡𝑖𝑜𝑛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𝐹𝑟𝑖𝑐𝑡𝑖𝑜𝑛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𝑡_𝑢𝑙𝑡=𝑀𝑎𝑥𝑖𝑚𝑢𝑚 𝐾𝑜−𝐶𝑜𝑛𝑑𝑖𝑡𝑖𝑜𝑛 𝐹𝑟𝑖𝑐𝑡𝑖𝑜𝑛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72</xdr:row>
      <xdr:rowOff>0</xdr:rowOff>
    </xdr:from>
    <xdr:to>
      <xdr:col>7</xdr:col>
      <xdr:colOff>1072001</xdr:colOff>
      <xdr:row>86</xdr:row>
      <xdr:rowOff>98715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0C93B9-17C7-4431-B4C3-B1AF9A308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330574</xdr:colOff>
      <xdr:row>10</xdr:row>
      <xdr:rowOff>114300</xdr:rowOff>
    </xdr:from>
    <xdr:to>
      <xdr:col>21</xdr:col>
      <xdr:colOff>114300</xdr:colOff>
      <xdr:row>13</xdr:row>
      <xdr:rowOff>113036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𝑐𝑜𝑚𝑝</m:t>
                            </m:r>
                          </m:sub>
                        </m:sSub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𝑡𝑎𝑛h</m:t>
                                </m:r>
                              </m:e>
                              <m:sup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unc>
                                      <m:func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𝑙𝑛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𝛥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ln⁡〖𝜀_𝑐𝑜𝑚𝑝 〗=〖𝑡𝑎𝑛ℎ〗^(−1)⁡(𝑙𝑛⁡〖𝛥_𝑓−𝑏_0 〗/𝑏_1 )/𝑏_2 −𝑏_3+𝑏_4±𝜎_𝑙𝑛⁡𝜀 </a:t>
              </a:r>
              <a:endParaRPr lang="en-US" sz="1050"/>
            </a:p>
          </xdr:txBody>
        </xdr:sp>
      </mc:Fallback>
    </mc:AlternateContent>
    <xdr:clientData/>
  </xdr:twoCellAnchor>
  <xdr:twoCellAnchor>
    <xdr:from>
      <xdr:col>10</xdr:col>
      <xdr:colOff>340099</xdr:colOff>
      <xdr:row>14</xdr:row>
      <xdr:rowOff>57150</xdr:rowOff>
    </xdr:from>
    <xdr:to>
      <xdr:col>14</xdr:col>
      <xdr:colOff>329710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0            ,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15&lt;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60</m:t>
                            </m:r>
                          </m:e>
                          <m:e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60&lt;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={█(0           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60@6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0)┤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14</xdr:col>
      <xdr:colOff>254375</xdr:colOff>
      <xdr:row>14</xdr:row>
      <xdr:rowOff>57150</xdr:rowOff>
    </xdr:from>
    <xdr:to>
      <xdr:col>18</xdr:col>
      <xdr:colOff>542925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200"/>
            </a:p>
          </xdr:txBody>
        </xdr:sp>
      </mc:Choice>
      <mc:Fallback xmlns="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𝐹_𝐷={█(1 , 𝑓𝑜𝑟 𝐷&lt;0.5𝑚@0 , 𝑓𝑜𝑟 𝐷&gt;0.5𝑚)┤</a:t>
              </a:r>
              <a:endParaRPr lang="en-US" sz="200"/>
            </a:p>
          </xdr:txBody>
        </xdr:sp>
      </mc:Fallback>
    </mc:AlternateContent>
    <xdr:clientData/>
  </xdr:twoCellAnchor>
  <xdr:twoCellAnchor>
    <xdr:from>
      <xdr:col>10</xdr:col>
      <xdr:colOff>340099</xdr:colOff>
      <xdr:row>16</xdr:row>
      <xdr:rowOff>114300</xdr:rowOff>
    </xdr:from>
    <xdr:to>
      <xdr:col>20</xdr:col>
      <xdr:colOff>561974</xdr:colOff>
      <xdr:row>17</xdr:row>
      <xdr:rowOff>102025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−4.11127 + 0.60640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+ 0.002805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0.038944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−4.11127 + 0.60640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+ 0.002805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0.038944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17</xdr:row>
      <xdr:rowOff>190500</xdr:rowOff>
    </xdr:from>
    <xdr:to>
      <xdr:col>20</xdr:col>
      <xdr:colOff>561974</xdr:colOff>
      <xdr:row>18</xdr:row>
      <xdr:rowOff>138811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2.29445 + (−0.04675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+ (−0.00104)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−0.09201 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2.29445 + (−0.04675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(−0.00104)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−0.09201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);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19</xdr:row>
      <xdr:rowOff>57150</xdr:rowOff>
    </xdr:from>
    <xdr:to>
      <xdr:col>20</xdr:col>
      <xdr:colOff>561974</xdr:colOff>
      <xdr:row>20</xdr:row>
      <xdr:rowOff>68180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0.42882+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0.09845 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+ 0.0006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0.01203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0.42882+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0.09845 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+ 0.0006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0.01203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𝐹_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20</xdr:row>
      <xdr:rowOff>161925</xdr:rowOff>
    </xdr:from>
    <xdr:to>
      <xdr:col>20</xdr:col>
      <xdr:colOff>561974</xdr:colOff>
      <xdr:row>21</xdr:row>
      <xdr:rowOff>172955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2.64335 + (−0.36353)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+ 0.00086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−0.05422 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𝑏_3=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2.64335 + (−0.36353)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+ 0.00086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−0.05422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 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21</xdr:row>
      <xdr:rowOff>180975</xdr:rowOff>
    </xdr:from>
    <xdr:to>
      <xdr:col>27</xdr:col>
      <xdr:colOff>257175</xdr:colOff>
      <xdr:row>23</xdr:row>
      <xdr:rowOff>97071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=−4.57877−0.04142</m:t>
                    </m:r>
                    <m:d>
                      <m:d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e>
                              <m:sup>
                                <m: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+0.9346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+0.4714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𝑢𝑙𝑡</m:t>
                                </m:r>
                              </m:sub>
                            </m:sSub>
                          </m:e>
                        </m:d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0.00007 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(180−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𝜓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)−5.2467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−0.5)−0.28986(1−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𝑏_4=−4.57877−0.04142(ln^2⁡(𝐷/𝑡) )+0.9346 ln⁡(𝐷/𝑡)+0.4714 ln⁡〖(𝑡_𝑢𝑙𝑡 )+〗 0.00007 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(180−𝜓)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−5.2467𝐹_𝐷 (𝐷−0.5)−0.28986(1−𝐹_𝐷)</a:t>
              </a:r>
              <a:endParaRPr lang="en-US" sz="100"/>
            </a:p>
          </xdr:txBody>
        </xdr:sp>
      </mc:Fallback>
    </mc:AlternateContent>
    <xdr:clientData/>
  </xdr:twoCellAnchor>
  <xdr:twoCellAnchor editAs="oneCell">
    <xdr:from>
      <xdr:col>8</xdr:col>
      <xdr:colOff>502227</xdr:colOff>
      <xdr:row>39</xdr:row>
      <xdr:rowOff>0</xdr:rowOff>
    </xdr:from>
    <xdr:to>
      <xdr:col>31</xdr:col>
      <xdr:colOff>283218</xdr:colOff>
      <xdr:row>58</xdr:row>
      <xdr:rowOff>189123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55A3F4C-B1A6-47C4-AD07-431A9F5F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4727" y="7953375"/>
          <a:ext cx="13144566" cy="40753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29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1F94C9-D886-48DD-96E4-067ABE88F264}"/>
            </a:ext>
          </a:extLst>
        </xdr:cNvPr>
        <xdr:cNvSpPr txBox="1"/>
      </xdr:nvSpPr>
      <xdr:spPr>
        <a:xfrm>
          <a:off x="15214600" y="603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0</xdr:colOff>
      <xdr:row>91</xdr:row>
      <xdr:rowOff>0</xdr:rowOff>
    </xdr:from>
    <xdr:to>
      <xdr:col>7</xdr:col>
      <xdr:colOff>1072001</xdr:colOff>
      <xdr:row>105</xdr:row>
      <xdr:rowOff>98715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4E05F-0A32-4008-964D-FC5FAA5E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63499</xdr:colOff>
      <xdr:row>15</xdr:row>
      <xdr:rowOff>45357</xdr:rowOff>
    </xdr:from>
    <xdr:to>
      <xdr:col>18</xdr:col>
      <xdr:colOff>292100</xdr:colOff>
      <xdr:row>24</xdr:row>
      <xdr:rowOff>22225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44F8DC-FE68-4DE3-BF4A-6E61BDCAE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2874" y="3020332"/>
          <a:ext cx="5715001" cy="169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23</xdr:row>
      <xdr:rowOff>95250</xdr:rowOff>
    </xdr:from>
    <xdr:to>
      <xdr:col>20</xdr:col>
      <xdr:colOff>85725</xdr:colOff>
      <xdr:row>45</xdr:row>
      <xdr:rowOff>9525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05C6ED3-3287-42AC-B0B5-A6087571C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0" y="5114925"/>
          <a:ext cx="5953125" cy="410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C60-3806-4262-861E-D5F8090B8C3F}">
  <sheetPr>
    <tabColor theme="9" tint="0.59999389629810485"/>
  </sheetPr>
  <dimension ref="A1:AS116"/>
  <sheetViews>
    <sheetView workbookViewId="0">
      <selection activeCell="G35" sqref="G35"/>
    </sheetView>
  </sheetViews>
  <sheetFormatPr defaultColWidth="8.7109375" defaultRowHeight="15" x14ac:dyDescent="0.25"/>
  <cols>
    <col min="1" max="1" width="15.140625" style="129" customWidth="1"/>
    <col min="2" max="2" width="21.140625" style="129" customWidth="1"/>
    <col min="3" max="3" width="17.85546875" style="129" customWidth="1"/>
    <col min="4" max="4" width="8.28515625" style="129" bestFit="1" customWidth="1"/>
    <col min="5" max="5" width="21.28515625" style="129" customWidth="1"/>
    <col min="6" max="6" width="8" style="129" bestFit="1" customWidth="1"/>
    <col min="7" max="7" width="26.42578125" style="129" customWidth="1"/>
    <col min="8" max="8" width="31.5703125" style="129" bestFit="1" customWidth="1"/>
    <col min="9" max="9" width="8.7109375" style="129" customWidth="1"/>
    <col min="10" max="13" width="8.7109375" style="129"/>
    <col min="14" max="15" width="8.7109375" style="129" customWidth="1"/>
    <col min="16" max="20" width="8.7109375" style="129"/>
    <col min="39" max="39" width="11.28515625" bestFit="1" customWidth="1"/>
    <col min="40" max="40" width="11.42578125" bestFit="1" customWidth="1"/>
    <col min="41" max="41" width="22.85546875" bestFit="1" customWidth="1"/>
    <col min="44" max="44" width="33.5703125" bestFit="1" customWidth="1"/>
  </cols>
  <sheetData>
    <row r="1" spans="1:45" x14ac:dyDescent="0.25">
      <c r="A1" s="47" t="s">
        <v>391</v>
      </c>
      <c r="B1" s="48"/>
      <c r="C1" s="48"/>
      <c r="D1" s="48"/>
      <c r="E1" s="48"/>
      <c r="F1" s="48"/>
      <c r="G1" s="48"/>
      <c r="H1" s="48"/>
    </row>
    <row r="2" spans="1:45" x14ac:dyDescent="0.25">
      <c r="A2" s="15" t="s">
        <v>189</v>
      </c>
      <c r="C2" s="49" t="s">
        <v>392</v>
      </c>
      <c r="D2" s="15"/>
      <c r="E2" s="15"/>
      <c r="F2" s="15"/>
    </row>
    <row r="3" spans="1:45" x14ac:dyDescent="0.25">
      <c r="A3" s="15" t="s">
        <v>191</v>
      </c>
      <c r="C3" s="129">
        <v>1</v>
      </c>
      <c r="E3" s="15" t="s">
        <v>192</v>
      </c>
      <c r="J3" s="48"/>
      <c r="K3" s="15" t="s">
        <v>193</v>
      </c>
    </row>
    <row r="4" spans="1:45" x14ac:dyDescent="0.25">
      <c r="A4" s="15" t="s">
        <v>194</v>
      </c>
      <c r="C4" s="50">
        <v>44736</v>
      </c>
      <c r="D4" s="51"/>
      <c r="E4" s="52" t="s">
        <v>195</v>
      </c>
      <c r="F4" s="51"/>
      <c r="J4" s="53"/>
      <c r="K4" s="15" t="s">
        <v>196</v>
      </c>
    </row>
    <row r="5" spans="1:45" x14ac:dyDescent="0.25">
      <c r="A5" s="15" t="s">
        <v>197</v>
      </c>
      <c r="C5" s="129">
        <v>3</v>
      </c>
      <c r="D5" s="51"/>
      <c r="E5" s="54" t="s">
        <v>198</v>
      </c>
      <c r="F5" s="51"/>
      <c r="I5" s="15"/>
      <c r="J5" s="15"/>
      <c r="AM5" s="150"/>
      <c r="AN5" s="150"/>
      <c r="AO5" s="150"/>
    </row>
    <row r="6" spans="1:45" x14ac:dyDescent="0.25">
      <c r="AM6" s="149" t="s">
        <v>180</v>
      </c>
      <c r="AN6" s="149" t="s">
        <v>181</v>
      </c>
      <c r="AO6" s="149" t="s">
        <v>182</v>
      </c>
      <c r="AP6" s="150" t="s">
        <v>183</v>
      </c>
      <c r="AQ6" s="150"/>
      <c r="AR6" s="148" t="s">
        <v>184</v>
      </c>
    </row>
    <row r="7" spans="1:45" ht="15.75" thickBot="1" x14ac:dyDescent="0.3">
      <c r="A7" s="153" t="s">
        <v>199</v>
      </c>
      <c r="B7" s="153"/>
      <c r="C7" s="153"/>
      <c r="D7" s="153"/>
      <c r="E7" s="153"/>
      <c r="F7" s="153"/>
      <c r="G7" s="153"/>
      <c r="H7" s="153"/>
      <c r="J7" s="154" t="s">
        <v>292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25"/>
      <c r="X7" s="125"/>
      <c r="Y7" s="125"/>
      <c r="Z7" s="125"/>
      <c r="AA7" s="125"/>
      <c r="AB7" s="125"/>
      <c r="AC7" s="125"/>
      <c r="AD7" s="125"/>
      <c r="AE7" s="98"/>
      <c r="AF7" s="152" t="s">
        <v>332</v>
      </c>
      <c r="AG7" s="152"/>
      <c r="AH7" s="152"/>
      <c r="AI7" s="152"/>
      <c r="AJ7" s="152"/>
      <c r="AK7" s="152"/>
      <c r="AM7" s="151"/>
      <c r="AN7" s="151"/>
      <c r="AO7" s="151"/>
      <c r="AP7" s="126" t="s">
        <v>46</v>
      </c>
      <c r="AQ7" s="126" t="s">
        <v>185</v>
      </c>
      <c r="AR7" s="149"/>
    </row>
    <row r="8" spans="1:45" ht="19.5" thickTop="1" thickBot="1" x14ac:dyDescent="0.3">
      <c r="A8" s="17"/>
      <c r="B8" s="17" t="s">
        <v>200</v>
      </c>
      <c r="C8" s="17" t="s">
        <v>201</v>
      </c>
      <c r="D8" s="17" t="s">
        <v>202</v>
      </c>
      <c r="E8" s="17" t="s">
        <v>203</v>
      </c>
      <c r="F8" s="17" t="s">
        <v>204</v>
      </c>
      <c r="G8" s="55" t="s">
        <v>205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  <c r="AF8" s="133" t="s">
        <v>333</v>
      </c>
      <c r="AG8" s="155" t="s">
        <v>334</v>
      </c>
      <c r="AH8" s="156"/>
      <c r="AI8" s="155" t="s">
        <v>335</v>
      </c>
      <c r="AJ8" s="157"/>
      <c r="AK8" s="157"/>
      <c r="AM8" s="44" t="s">
        <v>186</v>
      </c>
      <c r="AN8" s="44">
        <v>241</v>
      </c>
      <c r="AO8" s="45">
        <f>AN8*AS8</f>
        <v>343.78650000000005</v>
      </c>
      <c r="AP8" s="126">
        <v>3</v>
      </c>
      <c r="AQ8" s="126">
        <v>8</v>
      </c>
      <c r="AR8" s="46">
        <f>(AO8/210000) * (1+(((AP8/(1+AQ8))*((AO8/AN8)^AQ8))))</f>
        <v>1.0993773658472166E-2</v>
      </c>
      <c r="AS8">
        <v>1.4265000000000001</v>
      </c>
    </row>
    <row r="9" spans="1:45" ht="15.75" thickTop="1" x14ac:dyDescent="0.25">
      <c r="A9" s="56" t="s">
        <v>88</v>
      </c>
      <c r="B9" s="48">
        <v>1</v>
      </c>
      <c r="C9" s="57"/>
      <c r="D9" s="58">
        <v>1</v>
      </c>
      <c r="E9" s="129">
        <v>0.1016</v>
      </c>
      <c r="F9" s="129">
        <v>1.0669999999999999</v>
      </c>
      <c r="G9" s="129" t="s">
        <v>35</v>
      </c>
      <c r="H9" s="15" t="s">
        <v>207</v>
      </c>
      <c r="J9" s="158" t="s">
        <v>293</v>
      </c>
      <c r="K9" s="158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  <c r="AF9" s="134" t="s">
        <v>336</v>
      </c>
      <c r="AG9" s="159" t="s">
        <v>337</v>
      </c>
      <c r="AH9" s="160"/>
      <c r="AI9" s="159" t="s">
        <v>337</v>
      </c>
      <c r="AJ9" s="161"/>
      <c r="AK9" s="161"/>
      <c r="AM9" s="130" t="s">
        <v>187</v>
      </c>
      <c r="AN9" s="130">
        <v>290</v>
      </c>
      <c r="AO9" s="45">
        <f t="shared" ref="AO9:AO13" si="0">AN9*AS9</f>
        <v>413.685</v>
      </c>
      <c r="AP9" s="126">
        <v>3</v>
      </c>
      <c r="AQ9" s="126">
        <v>9</v>
      </c>
      <c r="AR9" s="46">
        <f t="shared" ref="AR9:AR13" si="1">(AO9/210000) * (1+(((AP9/(1+AQ9))*((AO9/AN9)^AQ9))))</f>
        <v>1.6424915983774071E-2</v>
      </c>
      <c r="AS9">
        <v>1.4265000000000001</v>
      </c>
    </row>
    <row r="10" spans="1:45" ht="18.75" x14ac:dyDescent="0.35">
      <c r="A10" s="60" t="s">
        <v>210</v>
      </c>
      <c r="B10" s="61">
        <v>15</v>
      </c>
      <c r="C10" s="58"/>
      <c r="D10" s="58">
        <v>40</v>
      </c>
      <c r="E10" s="58"/>
      <c r="F10" s="58"/>
      <c r="G10" s="58" t="s">
        <v>211</v>
      </c>
      <c r="H10" s="62" t="s">
        <v>212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134" t="s">
        <v>338</v>
      </c>
      <c r="AG10" s="162" t="s">
        <v>337</v>
      </c>
      <c r="AH10" s="163"/>
      <c r="AI10" s="162" t="s">
        <v>339</v>
      </c>
      <c r="AJ10" s="164"/>
      <c r="AK10" s="164"/>
      <c r="AM10" s="44" t="s">
        <v>117</v>
      </c>
      <c r="AN10" s="44">
        <v>359</v>
      </c>
      <c r="AO10" s="45">
        <f t="shared" si="0"/>
        <v>455.05403999999999</v>
      </c>
      <c r="AP10" s="126">
        <v>8</v>
      </c>
      <c r="AQ10" s="126">
        <v>10</v>
      </c>
      <c r="AR10" s="46">
        <f t="shared" si="1"/>
        <v>1.9041242414694345E-2</v>
      </c>
      <c r="AS10">
        <v>1.26756</v>
      </c>
    </row>
    <row r="11" spans="1:45" x14ac:dyDescent="0.25">
      <c r="B11" s="59"/>
      <c r="H11" s="15"/>
      <c r="J11" s="158"/>
      <c r="K11" s="158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134" t="s">
        <v>341</v>
      </c>
      <c r="AG11" s="162" t="s">
        <v>342</v>
      </c>
      <c r="AH11" s="163"/>
      <c r="AI11" s="162" t="s">
        <v>343</v>
      </c>
      <c r="AJ11" s="164"/>
      <c r="AK11" s="164"/>
      <c r="AM11" s="130" t="s">
        <v>118</v>
      </c>
      <c r="AN11" s="130">
        <v>414</v>
      </c>
      <c r="AO11" s="45">
        <f t="shared" si="0"/>
        <v>517.10711399999991</v>
      </c>
      <c r="AP11" s="126">
        <v>8</v>
      </c>
      <c r="AQ11" s="126">
        <v>12</v>
      </c>
      <c r="AR11" s="46">
        <f t="shared" si="1"/>
        <v>2.4313344008036558E-2</v>
      </c>
      <c r="AS11">
        <v>1.2490509999999999</v>
      </c>
    </row>
    <row r="12" spans="1:45" ht="15.75" thickBot="1" x14ac:dyDescent="0.3">
      <c r="A12" s="124" t="s">
        <v>220</v>
      </c>
      <c r="B12" s="124"/>
      <c r="C12" s="124"/>
      <c r="D12" s="124"/>
      <c r="E12" s="124"/>
      <c r="F12" s="124"/>
      <c r="G12" s="124"/>
      <c r="H12" s="124"/>
      <c r="J12" s="34" t="s">
        <v>295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  <c r="AF12" s="135"/>
      <c r="AG12" s="135"/>
      <c r="AH12" s="135"/>
      <c r="AI12" s="135"/>
      <c r="AJ12" s="135"/>
      <c r="AK12" s="135"/>
      <c r="AM12" s="130" t="s">
        <v>119</v>
      </c>
      <c r="AN12" s="130">
        <v>483</v>
      </c>
      <c r="AO12" s="45">
        <f t="shared" si="0"/>
        <v>565.37033699999995</v>
      </c>
      <c r="AP12" s="126">
        <v>14</v>
      </c>
      <c r="AQ12" s="126">
        <v>15</v>
      </c>
      <c r="AR12" s="46">
        <f t="shared" si="1"/>
        <v>2.7690517990613433E-2</v>
      </c>
      <c r="AS12">
        <v>1.170539</v>
      </c>
    </row>
    <row r="13" spans="1:45" ht="19.5" thickTop="1" thickBot="1" x14ac:dyDescent="0.3">
      <c r="A13" s="17"/>
      <c r="B13" s="17" t="s">
        <v>200</v>
      </c>
      <c r="C13" s="17" t="s">
        <v>201</v>
      </c>
      <c r="D13" s="17" t="s">
        <v>202</v>
      </c>
      <c r="E13" s="17" t="s">
        <v>203</v>
      </c>
      <c r="F13" s="17" t="s">
        <v>204</v>
      </c>
      <c r="G13" s="55" t="s">
        <v>205</v>
      </c>
      <c r="H13" s="55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  <c r="AF13" s="152" t="s">
        <v>345</v>
      </c>
      <c r="AG13" s="152"/>
      <c r="AH13" s="152"/>
      <c r="AI13" s="152"/>
      <c r="AJ13" s="152"/>
      <c r="AK13" s="152"/>
      <c r="AM13" s="44" t="s">
        <v>120</v>
      </c>
      <c r="AN13" s="44">
        <v>552</v>
      </c>
      <c r="AO13" s="45">
        <f t="shared" si="0"/>
        <v>624.99979200000007</v>
      </c>
      <c r="AP13" s="126">
        <v>15</v>
      </c>
      <c r="AQ13" s="126">
        <v>20</v>
      </c>
      <c r="AR13" s="46">
        <f t="shared" si="1"/>
        <v>2.8464933991254465E-2</v>
      </c>
      <c r="AS13">
        <v>1.1322460000000001</v>
      </c>
    </row>
    <row r="14" spans="1:45" ht="16.5" thickTop="1" thickBot="1" x14ac:dyDescent="0.3">
      <c r="A14" s="128" t="s">
        <v>30</v>
      </c>
      <c r="B14" s="48">
        <v>105</v>
      </c>
      <c r="C14" s="58"/>
      <c r="D14" s="58">
        <v>10</v>
      </c>
      <c r="E14" s="129">
        <v>95</v>
      </c>
      <c r="F14" s="129">
        <v>175</v>
      </c>
      <c r="G14" s="129" t="s">
        <v>35</v>
      </c>
      <c r="H14" s="49" t="s">
        <v>393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  <c r="AF14" s="133" t="s">
        <v>348</v>
      </c>
      <c r="AG14" s="155" t="s">
        <v>334</v>
      </c>
      <c r="AH14" s="157"/>
      <c r="AI14" s="157"/>
      <c r="AJ14" s="157"/>
      <c r="AK14" s="157"/>
    </row>
    <row r="15" spans="1:45" ht="15.75" thickTop="1" x14ac:dyDescent="0.25">
      <c r="B15" s="48"/>
      <c r="D15" s="58"/>
      <c r="H15" s="4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  <c r="AF15" s="136" t="s">
        <v>349</v>
      </c>
      <c r="AG15" s="159" t="s">
        <v>350</v>
      </c>
      <c r="AH15" s="161"/>
      <c r="AI15" s="161"/>
      <c r="AJ15" s="161"/>
      <c r="AK15" s="161"/>
    </row>
    <row r="16" spans="1:45" ht="15.75" thickBot="1" x14ac:dyDescent="0.3">
      <c r="A16" s="124" t="s">
        <v>299</v>
      </c>
      <c r="B16" s="69"/>
      <c r="C16" s="69"/>
      <c r="D16" s="69"/>
      <c r="E16" s="69"/>
      <c r="F16" s="69"/>
      <c r="G16" s="69"/>
      <c r="H16" s="69"/>
      <c r="I16" s="1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99"/>
      <c r="X16" s="99"/>
      <c r="Y16" s="99"/>
      <c r="Z16" s="99"/>
      <c r="AA16" s="99"/>
      <c r="AB16" s="99"/>
      <c r="AC16" s="99"/>
      <c r="AD16" s="99"/>
      <c r="AE16" s="98"/>
      <c r="AF16" s="134" t="s">
        <v>351</v>
      </c>
      <c r="AG16" s="162" t="s">
        <v>352</v>
      </c>
      <c r="AH16" s="164"/>
      <c r="AI16" s="164"/>
      <c r="AJ16" s="164"/>
      <c r="AK16" s="164"/>
      <c r="AO16">
        <f>414/241</f>
        <v>1.7178423236514522</v>
      </c>
    </row>
    <row r="17" spans="1:37" ht="19.5" thickTop="1" thickBot="1" x14ac:dyDescent="0.3">
      <c r="A17" s="17" t="s">
        <v>394</v>
      </c>
      <c r="B17" s="105">
        <f>IF(AND(B14&gt;95,B14&lt;=120),B14-120,0)</f>
        <v>-15</v>
      </c>
      <c r="H17" s="15" t="s">
        <v>302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  <c r="AF17" s="137" t="s">
        <v>353</v>
      </c>
      <c r="AG17" s="166" t="s">
        <v>354</v>
      </c>
      <c r="AH17" s="167"/>
      <c r="AI17" s="167"/>
      <c r="AJ17" s="167"/>
      <c r="AK17" s="167"/>
    </row>
    <row r="18" spans="1:37" ht="16.5" thickTop="1" thickBot="1" x14ac:dyDescent="0.3"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  <c r="AF18" s="133" t="s">
        <v>348</v>
      </c>
      <c r="AG18" s="155" t="s">
        <v>335</v>
      </c>
      <c r="AH18" s="157"/>
      <c r="AI18" s="157"/>
      <c r="AJ18" s="157"/>
      <c r="AK18" s="157"/>
    </row>
    <row r="19" spans="1:37" ht="15.75" thickTop="1" x14ac:dyDescent="0.25">
      <c r="A19" s="71" t="s">
        <v>305</v>
      </c>
      <c r="B19" s="71"/>
      <c r="C19" s="71"/>
      <c r="D19" s="71"/>
      <c r="H19" s="1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  <c r="AF19" s="134" t="s">
        <v>357</v>
      </c>
      <c r="AG19" s="159" t="s">
        <v>358</v>
      </c>
      <c r="AH19" s="161"/>
      <c r="AI19" s="161"/>
      <c r="AJ19" s="161"/>
      <c r="AK19" s="161"/>
    </row>
    <row r="20" spans="1:37" x14ac:dyDescent="0.25">
      <c r="A20" s="17" t="s">
        <v>18</v>
      </c>
      <c r="B20" s="73">
        <f>-6.50785 + 0.98692*B9 + 0.01601*B10 + (-0.04575 * B17)</f>
        <v>-4.5945299999999998</v>
      </c>
      <c r="D20" s="73"/>
      <c r="H20" s="1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  <c r="AF20" s="134" t="s">
        <v>361</v>
      </c>
      <c r="AG20" s="162" t="s">
        <v>362</v>
      </c>
      <c r="AH20" s="164"/>
      <c r="AI20" s="164"/>
      <c r="AJ20" s="164"/>
      <c r="AK20" s="164"/>
    </row>
    <row r="21" spans="1:37" x14ac:dyDescent="0.25">
      <c r="A21" s="129" t="s">
        <v>19</v>
      </c>
      <c r="B21" s="73">
        <f xml:space="preserve"> 4.54097 - 0.01093*B10</f>
        <v>4.3770199999999999</v>
      </c>
      <c r="C21" s="126"/>
      <c r="D21" s="3"/>
      <c r="H21" s="15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  <c r="AF21" s="134" t="s">
        <v>363</v>
      </c>
      <c r="AG21" s="162" t="s">
        <v>364</v>
      </c>
      <c r="AH21" s="164"/>
      <c r="AI21" s="164"/>
      <c r="AJ21" s="164"/>
      <c r="AK21" s="164"/>
    </row>
    <row r="22" spans="1:37" x14ac:dyDescent="0.25">
      <c r="A22" s="129" t="s">
        <v>104</v>
      </c>
      <c r="B22" s="73">
        <f>0.34262 + (-0.10918 * B9) + 0.00197 * B10+ 0.0027*B17</f>
        <v>0.22248999999999999</v>
      </c>
      <c r="D22" s="73"/>
      <c r="H22" s="15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7" x14ac:dyDescent="0.25">
      <c r="D23" s="73"/>
      <c r="H23" s="15"/>
      <c r="J23" s="158"/>
      <c r="K23" s="158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7" ht="15.75" thickBot="1" x14ac:dyDescent="0.3">
      <c r="A24" s="124" t="s">
        <v>237</v>
      </c>
      <c r="B24" s="69"/>
      <c r="C24" s="69"/>
      <c r="D24" s="69"/>
      <c r="E24" s="69"/>
      <c r="F24" s="69"/>
      <c r="G24" s="69"/>
      <c r="H24" s="69"/>
      <c r="J24" s="34" t="s">
        <v>395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7" ht="15.75" thickTop="1" x14ac:dyDescent="0.25">
      <c r="A25" s="18" t="s">
        <v>238</v>
      </c>
      <c r="B25" s="107">
        <v>0.30650273064917083</v>
      </c>
      <c r="C25" s="15" t="s">
        <v>306</v>
      </c>
      <c r="D25" s="15"/>
      <c r="E25" s="15"/>
      <c r="F25" s="15"/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7" x14ac:dyDescent="0.25">
      <c r="A26" s="17"/>
      <c r="C26" s="15"/>
      <c r="D26" s="15"/>
      <c r="E26" s="15"/>
      <c r="F26" s="15"/>
      <c r="J26" s="99"/>
      <c r="K26" s="99"/>
      <c r="L26" s="103"/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7" x14ac:dyDescent="0.25"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7" ht="15.75" thickBot="1" x14ac:dyDescent="0.3">
      <c r="A28" s="124" t="s">
        <v>241</v>
      </c>
      <c r="B28" s="69"/>
      <c r="C28" s="69"/>
      <c r="D28" s="69"/>
      <c r="E28" s="69"/>
      <c r="F28" s="69"/>
      <c r="G28" s="69"/>
      <c r="H28" s="6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7" ht="15.75" thickTop="1" x14ac:dyDescent="0.25">
      <c r="A29" s="17" t="s">
        <v>382</v>
      </c>
      <c r="B29" s="108">
        <f>MIN(2,(ATANH((LN($B$25) - $B$20) / $B$21) / $B$22) - 4)</f>
        <v>0.69307185876606514</v>
      </c>
      <c r="C29" s="129" t="s">
        <v>231</v>
      </c>
      <c r="D29" s="15"/>
      <c r="E29" s="15"/>
      <c r="F29" s="15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7" x14ac:dyDescent="0.25">
      <c r="A30" s="17" t="s">
        <v>309</v>
      </c>
      <c r="B30" s="109">
        <f>EXP(B29)</f>
        <v>1.9998493620854698</v>
      </c>
      <c r="C30" s="15"/>
      <c r="D30" s="15"/>
      <c r="E30" s="15"/>
      <c r="F30" s="15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7" ht="18" x14ac:dyDescent="0.25">
      <c r="A31" s="128" t="s">
        <v>396</v>
      </c>
      <c r="B31" s="73">
        <v>0.57099999999999995</v>
      </c>
      <c r="C31" s="15"/>
      <c r="D31" s="15"/>
      <c r="E31" s="15"/>
      <c r="F31" s="15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7" x14ac:dyDescent="0.25">
      <c r="A32" s="17" t="s">
        <v>244</v>
      </c>
      <c r="B32" s="79">
        <v>0.3</v>
      </c>
      <c r="C32" s="15" t="s">
        <v>245</v>
      </c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x14ac:dyDescent="0.25"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x14ac:dyDescent="0.25">
      <c r="A34" s="129" t="s">
        <v>246</v>
      </c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x14ac:dyDescent="0.25">
      <c r="A35" s="15" t="s">
        <v>247</v>
      </c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x14ac:dyDescent="0.25">
      <c r="A36" s="15" t="s">
        <v>248</v>
      </c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x14ac:dyDescent="0.25">
      <c r="J37" s="158"/>
      <c r="K37" s="158"/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x14ac:dyDescent="0.25">
      <c r="J38" s="99"/>
      <c r="K38" s="99"/>
      <c r="L38" s="34"/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x14ac:dyDescent="0.25">
      <c r="A39" s="47" t="s">
        <v>249</v>
      </c>
      <c r="B39" s="48"/>
      <c r="C39" s="48"/>
      <c r="D39" s="48"/>
      <c r="E39" s="48"/>
      <c r="F39" s="48"/>
      <c r="G39" s="48"/>
      <c r="H39" s="48"/>
      <c r="J39" s="98"/>
      <c r="K39" s="98"/>
      <c r="L39" s="34"/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x14ac:dyDescent="0.25">
      <c r="A40" s="15" t="s">
        <v>250</v>
      </c>
      <c r="J40" s="106"/>
      <c r="K40" s="106"/>
      <c r="L40" s="104"/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x14ac:dyDescent="0.25">
      <c r="A41" s="83" t="s">
        <v>238</v>
      </c>
      <c r="B41" s="83" t="s">
        <v>251</v>
      </c>
      <c r="C41" s="33" t="s">
        <v>252</v>
      </c>
      <c r="D41"/>
      <c r="E41" s="126" t="s">
        <v>253</v>
      </c>
      <c r="F41" s="126"/>
      <c r="G41" s="15" t="s">
        <v>254</v>
      </c>
      <c r="J41" s="125"/>
      <c r="K41" s="99"/>
      <c r="L41" s="104"/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ht="15.75" x14ac:dyDescent="0.25">
      <c r="A42" s="84">
        <v>0.01</v>
      </c>
      <c r="B42" s="84">
        <f>SQRT(A42*A43)</f>
        <v>1.222844544993852E-2</v>
      </c>
      <c r="C42" s="84">
        <f t="shared" ref="C42:C86" si="2">IF($B42&lt;F$43,0,NORMDIST(LN($B42),LN(F$42),F$44,1))</f>
        <v>3.9564598041490395E-8</v>
      </c>
      <c r="D42"/>
      <c r="E42" s="85" t="s">
        <v>255</v>
      </c>
      <c r="F42" s="86">
        <f>B25</f>
        <v>0.30650273064917083</v>
      </c>
      <c r="G42" s="15" t="s">
        <v>397</v>
      </c>
      <c r="J42" s="125"/>
      <c r="K42" s="99"/>
      <c r="L42" s="34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ht="15.75" x14ac:dyDescent="0.25">
      <c r="A43" s="84">
        <f>EXP(LN(A46/A42)/4+LN(A42))</f>
        <v>1.4953487812212209E-2</v>
      </c>
      <c r="B43" s="84">
        <f t="shared" ref="B43:B85" si="3">SQRT(A43*A44)</f>
        <v>1.8285790999795749E-2</v>
      </c>
      <c r="C43" s="84">
        <f t="shared" si="2"/>
        <v>1.3103707769866844E-6</v>
      </c>
      <c r="D43"/>
      <c r="E43" s="85" t="s">
        <v>257</v>
      </c>
      <c r="F43">
        <v>0.01</v>
      </c>
      <c r="G43" s="15" t="s">
        <v>258</v>
      </c>
      <c r="J43" s="125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5.75" x14ac:dyDescent="0.25">
      <c r="A44" s="84">
        <f>EXP(2*LN(A46/A42)/4+LN(A42))</f>
        <v>2.2360679774997907E-2</v>
      </c>
      <c r="B44" s="84">
        <f t="shared" si="3"/>
        <v>2.7343635285210541E-2</v>
      </c>
      <c r="C44" s="84">
        <f t="shared" si="2"/>
        <v>2.8138061012644969E-5</v>
      </c>
      <c r="D44"/>
      <c r="E44" s="87" t="s">
        <v>201</v>
      </c>
      <c r="F44">
        <v>0.6</v>
      </c>
      <c r="G44" s="15" t="s">
        <v>259</v>
      </c>
      <c r="J44" s="125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x14ac:dyDescent="0.25">
      <c r="A45" s="84">
        <f>EXP(3*LN(A46/A42)/4+LN(A42))</f>
        <v>3.343701524882111E-2</v>
      </c>
      <c r="B45" s="84">
        <f t="shared" si="3"/>
        <v>4.0888271697897133E-2</v>
      </c>
      <c r="C45" s="84">
        <f t="shared" si="2"/>
        <v>3.9353025067138259E-4</v>
      </c>
      <c r="D45"/>
      <c r="E45"/>
      <c r="F45"/>
      <c r="J45" s="125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ht="15.75" x14ac:dyDescent="0.25">
      <c r="A46" s="84">
        <v>0.05</v>
      </c>
      <c r="B46" s="84">
        <f t="shared" si="3"/>
        <v>5.4525386633262889E-2</v>
      </c>
      <c r="C46" s="84">
        <f t="shared" si="2"/>
        <v>2.0035616474514588E-3</v>
      </c>
      <c r="D46"/>
      <c r="E46" s="85" t="s">
        <v>260</v>
      </c>
      <c r="F46"/>
      <c r="J46" s="125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ht="15.75" x14ac:dyDescent="0.25">
      <c r="A47" s="84">
        <f>EXP(LN(A50/A46)/4+LN(A46))</f>
        <v>5.9460355750136064E-2</v>
      </c>
      <c r="B47" s="84">
        <f t="shared" si="3"/>
        <v>6.4841977732550501E-2</v>
      </c>
      <c r="C47" s="84">
        <f t="shared" si="2"/>
        <v>4.8157029622150948E-3</v>
      </c>
      <c r="D47"/>
      <c r="E47" s="85" t="s">
        <v>398</v>
      </c>
      <c r="F47"/>
      <c r="J47" s="125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5.75" x14ac:dyDescent="0.25">
      <c r="A48" s="84">
        <f>EXP(2*LN(A50/A46)/4+LN(A46))</f>
        <v>7.0710678118654766E-2</v>
      </c>
      <c r="B48" s="84">
        <f t="shared" si="3"/>
        <v>7.7110541270397057E-2</v>
      </c>
      <c r="C48" s="84">
        <f t="shared" si="2"/>
        <v>1.0724739313870395E-2</v>
      </c>
      <c r="D48"/>
      <c r="E48" s="85" t="s">
        <v>262</v>
      </c>
      <c r="F48"/>
      <c r="J48" s="125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x14ac:dyDescent="0.25">
      <c r="A49" s="84">
        <f>EXP(3*LN(A50/A46)/4+LN(A46))</f>
        <v>8.4089641525371475E-2</v>
      </c>
      <c r="B49" s="84">
        <f t="shared" si="3"/>
        <v>9.1700404320467138E-2</v>
      </c>
      <c r="C49" s="84">
        <f t="shared" si="2"/>
        <v>2.2153938583465062E-2</v>
      </c>
      <c r="D49"/>
      <c r="E49"/>
      <c r="F49"/>
      <c r="J49" s="125"/>
      <c r="K49" s="99"/>
      <c r="L49" s="34"/>
      <c r="M49" s="99"/>
      <c r="N49" s="99"/>
      <c r="O49" s="99"/>
      <c r="P49" s="99"/>
      <c r="Q49" s="99"/>
      <c r="R49" s="99"/>
      <c r="S49" s="99"/>
      <c r="T49" s="99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x14ac:dyDescent="0.25">
      <c r="A50" s="84">
        <v>0.1</v>
      </c>
      <c r="B50" s="84">
        <f t="shared" si="3"/>
        <v>0.10905077326652579</v>
      </c>
      <c r="C50" s="84">
        <f t="shared" si="2"/>
        <v>4.2502602854424143E-2</v>
      </c>
      <c r="D50"/>
      <c r="E50"/>
      <c r="F50"/>
      <c r="J50" s="125"/>
      <c r="K50" s="99"/>
      <c r="L50" s="34"/>
      <c r="M50" s="99"/>
      <c r="N50" s="99"/>
      <c r="O50" s="99"/>
      <c r="P50" s="99"/>
      <c r="Q50" s="99"/>
      <c r="R50" s="99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x14ac:dyDescent="0.25">
      <c r="A51" s="84">
        <f>EXP(LN(A54/A50)/4+LN(A50))</f>
        <v>0.11892071150027214</v>
      </c>
      <c r="B51" s="84">
        <f t="shared" si="3"/>
        <v>0.129683955465101</v>
      </c>
      <c r="C51" s="84">
        <f t="shared" si="2"/>
        <v>7.5851244199926907E-2</v>
      </c>
      <c r="D51"/>
      <c r="E51"/>
      <c r="F51"/>
      <c r="J51" s="125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x14ac:dyDescent="0.25">
      <c r="A52" s="84">
        <f>EXP(2*LN(A54/A50)/4+LN(A50))</f>
        <v>0.14142135623730953</v>
      </c>
      <c r="B52" s="84">
        <f t="shared" si="3"/>
        <v>0.15422108254079411</v>
      </c>
      <c r="C52" s="84">
        <f t="shared" si="2"/>
        <v>0.12615999533558253</v>
      </c>
      <c r="D52"/>
      <c r="E52"/>
      <c r="F52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x14ac:dyDescent="0.25">
      <c r="A53" s="84">
        <f>EXP(3*LN(A54/A50)/4+LN(A50))</f>
        <v>0.16817928305074295</v>
      </c>
      <c r="B53" s="84">
        <f t="shared" si="3"/>
        <v>0.18340080864093428</v>
      </c>
      <c r="C53" s="84">
        <f t="shared" si="2"/>
        <v>0.19602069514017229</v>
      </c>
      <c r="D53"/>
      <c r="E53"/>
      <c r="F53"/>
      <c r="J53" s="165"/>
      <c r="K53" s="165"/>
      <c r="L53" s="165"/>
      <c r="M53" s="99"/>
      <c r="N53" s="99"/>
      <c r="O53" s="99"/>
      <c r="P53" s="99"/>
      <c r="Q53" s="99"/>
      <c r="R53" s="99"/>
      <c r="S53" s="99"/>
      <c r="T53" s="99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x14ac:dyDescent="0.25">
      <c r="A54" s="84">
        <v>0.2</v>
      </c>
      <c r="B54" s="84">
        <f t="shared" si="3"/>
        <v>0.21810154653305155</v>
      </c>
      <c r="C54" s="84">
        <f t="shared" si="2"/>
        <v>0.28531978103782762</v>
      </c>
      <c r="D54"/>
      <c r="E54"/>
      <c r="F54"/>
      <c r="J54" s="125"/>
      <c r="K54" s="165"/>
      <c r="L54" s="165"/>
      <c r="M54" s="99"/>
      <c r="N54" s="99"/>
      <c r="O54" s="99"/>
      <c r="P54" s="99"/>
      <c r="Q54" s="99"/>
      <c r="R54" s="99"/>
      <c r="S54" s="99"/>
      <c r="T54" s="99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x14ac:dyDescent="0.25">
      <c r="A55" s="84">
        <f>EXP(LN(A58/A54)/4+LN(A54))</f>
        <v>0.23784142300054423</v>
      </c>
      <c r="B55" s="84">
        <f t="shared" si="3"/>
        <v>0.25936791093020195</v>
      </c>
      <c r="C55" s="84">
        <f t="shared" si="2"/>
        <v>0.39039161040769499</v>
      </c>
      <c r="D55"/>
      <c r="E55"/>
      <c r="F55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A56" s="84">
        <f>EXP(2*LN(A58/A54)/4+LN(A54))</f>
        <v>0.28284271247461906</v>
      </c>
      <c r="B56" s="84">
        <f t="shared" si="3"/>
        <v>0.30844216508158817</v>
      </c>
      <c r="C56" s="84">
        <f t="shared" si="2"/>
        <v>0.50419392975520583</v>
      </c>
      <c r="D56"/>
      <c r="E56"/>
      <c r="F56"/>
      <c r="J56" s="99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84">
        <f>EXP(3*LN(A58/A54)/4+LN(A54))</f>
        <v>0.33635856610148579</v>
      </c>
      <c r="B57" s="84">
        <f t="shared" si="3"/>
        <v>0.3668016172818685</v>
      </c>
      <c r="C57" s="84">
        <f t="shared" si="2"/>
        <v>0.61765363198538359</v>
      </c>
      <c r="D57"/>
      <c r="E57"/>
      <c r="F57"/>
      <c r="J57" s="99"/>
      <c r="K57" s="127"/>
      <c r="L57" s="127"/>
      <c r="M57" s="99"/>
      <c r="N57" s="139"/>
      <c r="O57" s="99"/>
      <c r="P57" s="99"/>
      <c r="Q57" s="99"/>
      <c r="R57" s="99"/>
      <c r="S57" s="99"/>
      <c r="T57" s="99"/>
      <c r="U57" s="99"/>
      <c r="V57" s="99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84">
        <v>0.4</v>
      </c>
      <c r="B58" s="84">
        <f t="shared" si="3"/>
        <v>0.43620309306610311</v>
      </c>
      <c r="C58" s="84">
        <f t="shared" si="2"/>
        <v>0.72177931563315501</v>
      </c>
      <c r="D58"/>
      <c r="E58"/>
      <c r="F58"/>
      <c r="J58" s="99"/>
      <c r="K58" s="169"/>
      <c r="L58" s="113"/>
      <c r="M58" s="99"/>
      <c r="N58" s="99"/>
      <c r="O58" s="99"/>
      <c r="P58" s="99"/>
      <c r="Q58" s="99"/>
      <c r="R58" s="99"/>
      <c r="S58" s="99"/>
      <c r="T58" s="99"/>
      <c r="U58" s="99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84">
        <f>EXP(LN(A62/A58)/4+LN(A58))</f>
        <v>0.47568284600108846</v>
      </c>
      <c r="B59" s="84">
        <f t="shared" si="3"/>
        <v>0.5187358218604039</v>
      </c>
      <c r="C59" s="84">
        <f t="shared" si="2"/>
        <v>0.80974223053001781</v>
      </c>
      <c r="D59"/>
      <c r="E59"/>
      <c r="F59"/>
      <c r="J59" s="99"/>
      <c r="K59" s="169"/>
      <c r="L59" s="113"/>
      <c r="M59" s="99"/>
      <c r="N59" s="99"/>
      <c r="O59" s="99"/>
      <c r="P59" s="99"/>
      <c r="Q59" s="99"/>
      <c r="R59" s="99"/>
      <c r="S59" s="99"/>
      <c r="T59" s="99"/>
      <c r="U59" s="99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A60" s="84">
        <f>EXP(2*LN(A62/A58)/4+LN(A58))</f>
        <v>0.56568542494923801</v>
      </c>
      <c r="B60" s="84">
        <f t="shared" si="3"/>
        <v>0.61688433016317634</v>
      </c>
      <c r="C60" s="84">
        <f t="shared" si="2"/>
        <v>0.87814387240900937</v>
      </c>
      <c r="D60"/>
      <c r="E60"/>
      <c r="F60"/>
      <c r="J60" s="99"/>
      <c r="K60" s="169"/>
      <c r="L60" s="113"/>
      <c r="M60" s="99"/>
      <c r="N60" s="99"/>
      <c r="O60" s="99"/>
      <c r="P60" s="99"/>
      <c r="Q60" s="99"/>
      <c r="R60" s="99"/>
      <c r="S60" s="99"/>
      <c r="T60" s="99"/>
      <c r="U60" s="99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A61" s="84">
        <f>EXP(3*LN(A62/A58)/4+LN(A58))</f>
        <v>0.67271713220297169</v>
      </c>
      <c r="B61" s="84">
        <f t="shared" si="3"/>
        <v>0.73360323456373699</v>
      </c>
      <c r="C61" s="84">
        <f t="shared" si="2"/>
        <v>0.92710575214368762</v>
      </c>
      <c r="D61"/>
      <c r="E61"/>
      <c r="F61"/>
      <c r="J61" s="99"/>
      <c r="K61" s="169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84">
        <v>0.8</v>
      </c>
      <c r="B62" s="84">
        <f t="shared" si="3"/>
        <v>0.84159160440691538</v>
      </c>
      <c r="C62" s="84">
        <f t="shared" si="2"/>
        <v>0.95385570465796798</v>
      </c>
      <c r="D62"/>
      <c r="E62"/>
      <c r="F62"/>
      <c r="J62" s="99"/>
      <c r="K62" s="169"/>
      <c r="L62" s="113"/>
      <c r="M62" s="99"/>
      <c r="N62" s="99"/>
      <c r="O62" s="99"/>
      <c r="P62" s="99"/>
      <c r="Q62" s="99"/>
      <c r="R62" s="99"/>
      <c r="S62" s="99"/>
      <c r="T62" s="99"/>
      <c r="U62" s="99"/>
      <c r="V62" s="98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84">
        <f>EXP(LN(A66/A62)/4+LN(A62))</f>
        <v>0.88534553576025732</v>
      </c>
      <c r="B63" s="84">
        <f t="shared" si="3"/>
        <v>0.93137421236871865</v>
      </c>
      <c r="C63" s="84">
        <f t="shared" si="2"/>
        <v>0.96801513712914178</v>
      </c>
      <c r="D63"/>
      <c r="E63"/>
      <c r="F63"/>
      <c r="J63" s="99"/>
      <c r="K63" s="169"/>
      <c r="L63" s="113"/>
      <c r="M63" s="99"/>
      <c r="N63" s="99"/>
      <c r="O63" s="99"/>
      <c r="P63" s="99"/>
      <c r="Q63" s="99"/>
      <c r="R63" s="99"/>
      <c r="S63" s="99"/>
      <c r="T63" s="99"/>
      <c r="U63" s="99"/>
      <c r="V63" s="98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4">
        <f>EXP(2*LN(A66/A62)/4+LN(A62))</f>
        <v>0.9797958971132712</v>
      </c>
      <c r="B64" s="84">
        <f t="shared" si="3"/>
        <v>1.0307350013035885</v>
      </c>
      <c r="C64" s="84">
        <f t="shared" si="2"/>
        <v>0.97837742975914543</v>
      </c>
      <c r="D64"/>
      <c r="E64"/>
      <c r="F64"/>
      <c r="J64" s="99"/>
      <c r="K64" s="169"/>
      <c r="L64" s="113"/>
      <c r="M64" s="99"/>
      <c r="N64" s="99"/>
      <c r="O64" s="99"/>
      <c r="P64" s="99"/>
      <c r="Q64" s="99"/>
      <c r="R64" s="99"/>
      <c r="S64" s="99"/>
      <c r="T64" s="99"/>
      <c r="U64" s="99"/>
      <c r="V64" s="98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5" x14ac:dyDescent="0.25">
      <c r="A65" s="84">
        <f>EXP(3*LN(A66/A62)/4+LN(A62))</f>
        <v>1.0843224043318138</v>
      </c>
      <c r="B65" s="84">
        <f t="shared" si="3"/>
        <v>1.1406957899449688</v>
      </c>
      <c r="C65" s="84">
        <f t="shared" si="2"/>
        <v>0.98574797338131381</v>
      </c>
      <c r="D65"/>
      <c r="E65" t="s">
        <v>263</v>
      </c>
      <c r="F65"/>
      <c r="J65" s="99"/>
      <c r="K65" s="169"/>
      <c r="L65" s="113"/>
      <c r="M65" s="99"/>
      <c r="N65" s="99"/>
      <c r="O65" s="99"/>
      <c r="P65" s="99"/>
      <c r="Q65" s="99"/>
      <c r="R65" s="99"/>
      <c r="S65" s="99"/>
      <c r="T65" s="99"/>
      <c r="U65" s="99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5" x14ac:dyDescent="0.25">
      <c r="A66" s="84">
        <v>1.2</v>
      </c>
      <c r="B66" s="84">
        <f t="shared" si="3"/>
        <v>1.2439375795536929</v>
      </c>
      <c r="C66" s="84">
        <f t="shared" si="2"/>
        <v>0.99022003396415348</v>
      </c>
      <c r="D66"/>
      <c r="E66" t="s">
        <v>264</v>
      </c>
      <c r="F66"/>
      <c r="J66" s="99"/>
      <c r="K66" s="169"/>
      <c r="L66" s="113"/>
      <c r="M66" s="99"/>
      <c r="N66" s="99"/>
      <c r="O66" s="99"/>
      <c r="P66" s="99"/>
      <c r="Q66" s="99"/>
      <c r="R66" s="99"/>
      <c r="S66" s="99"/>
      <c r="T66" s="99"/>
      <c r="U66" s="99"/>
      <c r="V66" s="98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5" x14ac:dyDescent="0.25">
      <c r="A67" s="84">
        <f>EXP(LN(A70/A66)/4+LN(A66))</f>
        <v>1.2894839181882503</v>
      </c>
      <c r="B67" s="84">
        <f t="shared" si="3"/>
        <v>1.3366979200537537</v>
      </c>
      <c r="C67" s="84">
        <f t="shared" si="2"/>
        <v>0.9929469787068449</v>
      </c>
      <c r="D67"/>
      <c r="E67"/>
      <c r="F67"/>
      <c r="J67" s="99"/>
      <c r="K67" s="169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5" x14ac:dyDescent="0.25">
      <c r="A68" s="84">
        <f>EXP(2*LN(A70/A66)/4+LN(A66))</f>
        <v>1.3856406460551018</v>
      </c>
      <c r="B68" s="84">
        <f t="shared" si="3"/>
        <v>1.4363753928208323</v>
      </c>
      <c r="C68" s="84">
        <f t="shared" si="2"/>
        <v>0.99497957190542763</v>
      </c>
      <c r="D68"/>
      <c r="E68"/>
      <c r="F68"/>
      <c r="J68" s="99"/>
      <c r="K68" s="169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5" x14ac:dyDescent="0.25">
      <c r="A69" s="84">
        <f>EXP(3*LN(A70/A66)/4+LN(A66))</f>
        <v>1.4889677745633594</v>
      </c>
      <c r="B69" s="84">
        <f t="shared" si="3"/>
        <v>1.5434858079364953</v>
      </c>
      <c r="C69" s="84">
        <f t="shared" si="2"/>
        <v>0.99647302639142921</v>
      </c>
      <c r="D69"/>
      <c r="E69"/>
      <c r="F69"/>
      <c r="J69" s="99"/>
      <c r="K69" s="169"/>
      <c r="L69" s="113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5" x14ac:dyDescent="0.25">
      <c r="A70" s="84">
        <v>1.6</v>
      </c>
      <c r="B70" s="84">
        <f t="shared" si="3"/>
        <v>1.6742525317171835</v>
      </c>
      <c r="C70" s="84">
        <f t="shared" si="2"/>
        <v>0.99767133167272581</v>
      </c>
      <c r="D70"/>
      <c r="E70"/>
      <c r="F70"/>
      <c r="J70" s="99"/>
      <c r="K70" s="169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  <c r="AF70" s="150"/>
      <c r="AG70" s="150"/>
      <c r="AH70" s="150"/>
      <c r="AI70" s="150"/>
    </row>
    <row r="71" spans="1:35" x14ac:dyDescent="0.25">
      <c r="A71" s="84">
        <f>EXP(LN(A74/A70)/4+LN(A70))</f>
        <v>1.7519509624758738</v>
      </c>
      <c r="B71" s="84">
        <f t="shared" si="3"/>
        <v>1.8332552089809921</v>
      </c>
      <c r="C71" s="84">
        <f t="shared" si="2"/>
        <v>0.99856362649521457</v>
      </c>
      <c r="D71"/>
      <c r="E71"/>
      <c r="F71"/>
      <c r="J71" s="99"/>
      <c r="K71" s="169"/>
      <c r="L71" s="113"/>
      <c r="M71" s="99"/>
      <c r="N71" s="103"/>
      <c r="O71" s="99"/>
      <c r="P71" s="99"/>
      <c r="Q71" s="99"/>
      <c r="R71" s="99"/>
      <c r="S71" s="99"/>
      <c r="T71" s="99"/>
      <c r="U71" s="99"/>
      <c r="V71" s="99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5" x14ac:dyDescent="0.25">
      <c r="A72" s="84">
        <f>EXP(2*LN(A74/A70)/4+LN(A70))</f>
        <v>1.9183326093250876</v>
      </c>
      <c r="B72" s="84">
        <f t="shared" si="3"/>
        <v>2.0073582673988493</v>
      </c>
      <c r="C72" s="84">
        <f t="shared" si="2"/>
        <v>0.99913263055696899</v>
      </c>
      <c r="D72"/>
      <c r="E72"/>
      <c r="F72"/>
      <c r="J72" s="99"/>
      <c r="K72" s="169"/>
      <c r="L72" s="113"/>
      <c r="M72" s="99"/>
      <c r="N72" s="103"/>
      <c r="O72" s="99"/>
      <c r="P72" s="99"/>
      <c r="Q72" s="99"/>
      <c r="R72" s="99"/>
      <c r="S72" s="99"/>
      <c r="T72" s="99"/>
      <c r="U72" s="99"/>
      <c r="V72" s="99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5" x14ac:dyDescent="0.25">
      <c r="A73" s="84">
        <f>EXP(3*LN(A74/A70)/4+LN(A70))</f>
        <v>2.1005154132849637</v>
      </c>
      <c r="B73" s="84">
        <f t="shared" si="3"/>
        <v>2.1979957803770724</v>
      </c>
      <c r="C73" s="84">
        <f t="shared" si="2"/>
        <v>0.99948728962932387</v>
      </c>
      <c r="D73"/>
      <c r="E73"/>
      <c r="F73"/>
      <c r="J73" s="99"/>
      <c r="K73" s="169"/>
      <c r="L73" s="113"/>
      <c r="M73" s="99"/>
      <c r="N73" s="103"/>
      <c r="O73" s="99"/>
      <c r="P73" s="99"/>
      <c r="Q73" s="99"/>
      <c r="R73" s="99"/>
      <c r="S73" s="99"/>
      <c r="T73" s="99"/>
      <c r="U73" s="99"/>
      <c r="V73" s="99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5" ht="15.75" x14ac:dyDescent="0.25">
      <c r="A74" s="84">
        <v>2.2999999999999998</v>
      </c>
      <c r="B74" s="84">
        <f t="shared" si="3"/>
        <v>2.377672382641121</v>
      </c>
      <c r="C74" s="84">
        <f t="shared" si="2"/>
        <v>0.99968040752132792</v>
      </c>
      <c r="D74"/>
      <c r="E74"/>
      <c r="F74"/>
      <c r="J74" s="99"/>
      <c r="K74" s="169"/>
      <c r="L74" s="114"/>
      <c r="M74" s="99"/>
      <c r="N74" s="103"/>
      <c r="O74" s="99"/>
      <c r="P74" s="99"/>
      <c r="Q74" s="99"/>
      <c r="R74" s="99"/>
      <c r="S74" s="99"/>
      <c r="T74" s="99"/>
      <c r="U74" s="99"/>
      <c r="V74" s="99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5" x14ac:dyDescent="0.25">
      <c r="A75" s="84">
        <f>EXP(LN(A78/A74)/4+LN(A74))</f>
        <v>2.457967808336655</v>
      </c>
      <c r="B75" s="84">
        <f t="shared" si="3"/>
        <v>2.5409748588273868</v>
      </c>
      <c r="C75" s="84">
        <f t="shared" si="2"/>
        <v>0.99978836039408481</v>
      </c>
      <c r="D75"/>
      <c r="E75"/>
      <c r="F75"/>
      <c r="J75" s="99"/>
      <c r="K75" s="169"/>
      <c r="L75" s="113"/>
      <c r="M75" s="99"/>
      <c r="N75" s="103"/>
      <c r="O75" s="99"/>
      <c r="P75" s="99"/>
      <c r="Q75" s="99"/>
      <c r="R75" s="99"/>
      <c r="S75" s="99"/>
      <c r="T75" s="99"/>
      <c r="U75" s="99"/>
      <c r="V75" s="99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5" x14ac:dyDescent="0.25">
      <c r="A76" s="84">
        <f>EXP(2*LN(A78/A74)/4+LN(A74))</f>
        <v>2.6267851073127391</v>
      </c>
      <c r="B76" s="84">
        <f t="shared" si="3"/>
        <v>2.7154932194741281</v>
      </c>
      <c r="C76" s="84">
        <f t="shared" si="2"/>
        <v>0.99986146026375633</v>
      </c>
      <c r="D76"/>
      <c r="E76"/>
      <c r="F76"/>
      <c r="J76" s="99"/>
      <c r="K76" s="169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5" x14ac:dyDescent="0.25">
      <c r="A77" s="84">
        <f>EXP(3*LN(A78/A74)/4+LN(A74))</f>
        <v>2.807197057909939</v>
      </c>
      <c r="B77" s="84">
        <f t="shared" si="3"/>
        <v>2.9019977900973353</v>
      </c>
      <c r="C77" s="84">
        <f t="shared" si="2"/>
        <v>0.99991035717296273</v>
      </c>
      <c r="D77"/>
      <c r="E77"/>
      <c r="F77"/>
      <c r="J77" s="99"/>
      <c r="K77" s="169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5" x14ac:dyDescent="0.25">
      <c r="A78" s="84">
        <v>3</v>
      </c>
      <c r="B78" s="84">
        <f t="shared" si="3"/>
        <v>3.1978077331521191</v>
      </c>
      <c r="C78" s="84">
        <f t="shared" si="2"/>
        <v>0.99995353059838277</v>
      </c>
      <c r="D78"/>
      <c r="E78"/>
      <c r="F78"/>
      <c r="J78" s="99"/>
      <c r="K78" s="169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5" x14ac:dyDescent="0.25">
      <c r="A79" s="84">
        <f>EXP(LN(A82/A78)/4+LN(A78))</f>
        <v>3.4086580994024982</v>
      </c>
      <c r="B79" s="84">
        <f t="shared" si="3"/>
        <v>3.6334110766469716</v>
      </c>
      <c r="C79" s="84">
        <f t="shared" si="2"/>
        <v>0.99998115214048833</v>
      </c>
      <c r="D79"/>
      <c r="E79"/>
      <c r="F79"/>
      <c r="J79" s="99"/>
      <c r="K79" s="169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5" x14ac:dyDescent="0.25">
      <c r="A80" s="84">
        <f>EXP(2*LN(A82/A78)/4+LN(A78))</f>
        <v>3.8729833462074179</v>
      </c>
      <c r="B80" s="84">
        <f t="shared" si="3"/>
        <v>4.1283520316238169</v>
      </c>
      <c r="C80" s="84">
        <f t="shared" si="2"/>
        <v>0.99999267917494739</v>
      </c>
      <c r="D80"/>
      <c r="E80"/>
      <c r="F80"/>
      <c r="J80" s="99"/>
      <c r="K80" s="169"/>
      <c r="L80" s="113"/>
      <c r="M80" s="99"/>
      <c r="N80" s="99"/>
      <c r="O80" s="99"/>
      <c r="P80" s="99"/>
      <c r="Q80" s="99"/>
      <c r="R80" s="99"/>
      <c r="S80" s="99"/>
      <c r="T80" s="99"/>
      <c r="U80" s="99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f>EXP(3*LN(A82/A78)/4+LN(A78))</f>
        <v>4.4005586839669677</v>
      </c>
      <c r="B81" s="84">
        <f t="shared" si="3"/>
        <v>4.6907135299264269</v>
      </c>
      <c r="C81" s="84">
        <f t="shared" si="2"/>
        <v>0.99999727733269439</v>
      </c>
      <c r="D81"/>
      <c r="E81"/>
      <c r="F81"/>
      <c r="J81" s="99"/>
      <c r="K81" s="169"/>
      <c r="L81" s="113"/>
      <c r="M81" s="99"/>
      <c r="N81" s="99"/>
      <c r="O81" s="99"/>
      <c r="P81" s="99"/>
      <c r="Q81" s="99"/>
      <c r="R81" s="99"/>
      <c r="S81" s="99"/>
      <c r="T81" s="99"/>
      <c r="U81" s="99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v>5</v>
      </c>
      <c r="B82" s="84">
        <f t="shared" si="3"/>
        <v>5.4525386633262878</v>
      </c>
      <c r="C82" s="84">
        <f t="shared" si="2"/>
        <v>0.99999919744312904</v>
      </c>
      <c r="D82"/>
      <c r="E82"/>
      <c r="F82"/>
      <c r="J82" s="99"/>
      <c r="K82" s="169"/>
      <c r="L82" s="113"/>
      <c r="M82" s="99"/>
      <c r="N82" s="99"/>
      <c r="O82" s="99"/>
      <c r="P82" s="99"/>
      <c r="Q82" s="99"/>
      <c r="R82" s="99"/>
      <c r="S82" s="99"/>
      <c r="T82" s="99"/>
      <c r="U82" s="99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EXP(LN(A86/A82)/4+LN(A82))</f>
        <v>5.9460355750136049</v>
      </c>
      <c r="B83" s="84">
        <f t="shared" si="3"/>
        <v>6.4841977732550484</v>
      </c>
      <c r="C83" s="84">
        <f t="shared" si="2"/>
        <v>0.99999981762888512</v>
      </c>
      <c r="D83"/>
      <c r="E83"/>
      <c r="F83"/>
      <c r="J83" s="99"/>
      <c r="K83" s="169"/>
      <c r="L83" s="113"/>
      <c r="M83" s="99"/>
      <c r="N83" s="99"/>
      <c r="O83" s="99"/>
      <c r="P83" s="99"/>
      <c r="Q83" s="99"/>
      <c r="R83" s="99"/>
      <c r="S83" s="99"/>
      <c r="T83" s="99"/>
      <c r="U83" s="99"/>
      <c r="V83" s="98"/>
      <c r="W83" s="98"/>
      <c r="X83" s="98"/>
      <c r="Y83" s="98"/>
      <c r="Z83" s="98"/>
      <c r="AA83" s="98"/>
      <c r="AB83" s="98"/>
      <c r="AC83" s="98"/>
      <c r="AD83" s="98"/>
      <c r="AE83" s="98"/>
    </row>
    <row r="84" spans="1:31" x14ac:dyDescent="0.25">
      <c r="A84" s="84">
        <f>EXP(2*LN(A86/A82)/4+LN(A82))</f>
        <v>7.0710678118654746</v>
      </c>
      <c r="B84" s="84">
        <f t="shared" si="3"/>
        <v>7.7110541270397031</v>
      </c>
      <c r="C84" s="84">
        <f t="shared" si="2"/>
        <v>0.99999996177360506</v>
      </c>
      <c r="D84"/>
      <c r="E84"/>
      <c r="F84"/>
      <c r="J84" s="99"/>
      <c r="K84" s="169"/>
      <c r="L84" s="113"/>
      <c r="M84" s="99"/>
      <c r="N84" s="99"/>
      <c r="O84" s="99"/>
      <c r="P84" s="99"/>
      <c r="Q84" s="99"/>
      <c r="R84" s="99"/>
      <c r="S84" s="99"/>
      <c r="T84" s="99"/>
      <c r="U84" s="99"/>
      <c r="V84" s="98"/>
      <c r="W84" s="98"/>
      <c r="X84" s="98"/>
      <c r="Y84" s="98"/>
      <c r="Z84" s="98"/>
      <c r="AA84" s="98"/>
      <c r="AB84" s="98"/>
      <c r="AC84" s="98"/>
      <c r="AD84" s="98"/>
      <c r="AE84" s="98"/>
    </row>
    <row r="85" spans="1:31" x14ac:dyDescent="0.25">
      <c r="A85" s="84">
        <f>EXP(3*LN(A86/A82)/4+LN(A82))</f>
        <v>8.408964152537143</v>
      </c>
      <c r="B85" s="84">
        <f t="shared" si="3"/>
        <v>9.1700404320467115</v>
      </c>
      <c r="C85" s="84">
        <f t="shared" si="2"/>
        <v>0.99999999261083039</v>
      </c>
      <c r="D85"/>
      <c r="E85"/>
      <c r="F85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v>10</v>
      </c>
      <c r="B86" s="84">
        <v>10</v>
      </c>
      <c r="C86" s="84">
        <f t="shared" si="2"/>
        <v>0.99999999684867846</v>
      </c>
      <c r="D86"/>
      <c r="E86"/>
      <c r="F86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J88" s="125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98"/>
    </row>
    <row r="89" spans="1:31" x14ac:dyDescent="0.25">
      <c r="J89" s="125"/>
      <c r="K89" s="127"/>
      <c r="L89" s="127"/>
      <c r="M89" s="116"/>
      <c r="N89" s="116"/>
      <c r="O89" s="116"/>
      <c r="P89" s="116"/>
      <c r="Q89" s="116"/>
      <c r="R89" s="116"/>
      <c r="S89" s="116"/>
      <c r="T89" s="116"/>
      <c r="U89" s="117"/>
      <c r="V89" s="98"/>
      <c r="W89" s="98"/>
      <c r="X89" s="98"/>
      <c r="Y89" s="98"/>
      <c r="Z89" s="98"/>
      <c r="AA89" s="98"/>
      <c r="AB89" s="98"/>
      <c r="AC89" s="98"/>
      <c r="AD89" s="98"/>
      <c r="AE89" s="125" t="s">
        <v>201</v>
      </c>
    </row>
    <row r="90" spans="1:31" x14ac:dyDescent="0.25">
      <c r="J90" s="125"/>
      <c r="K90" s="169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J91" s="125"/>
      <c r="K91" s="169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J92" s="125"/>
      <c r="K92" s="169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J93" s="125"/>
      <c r="K93" s="169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J94" s="119"/>
      <c r="K94" s="169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J95" s="99"/>
      <c r="K95" s="169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J96" s="99"/>
      <c r="K96" s="169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0:31" x14ac:dyDescent="0.25">
      <c r="J97" s="99"/>
      <c r="K97" s="169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0:31" x14ac:dyDescent="0.25">
      <c r="J98" s="99"/>
      <c r="K98" s="169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0:31" x14ac:dyDescent="0.25">
      <c r="J99" s="99"/>
      <c r="K99" s="169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0:31" x14ac:dyDescent="0.25">
      <c r="J100" s="99"/>
      <c r="K100" s="169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0:31" x14ac:dyDescent="0.25">
      <c r="J101" s="99"/>
      <c r="K101" s="169"/>
      <c r="L101" s="113"/>
      <c r="M101" s="118"/>
      <c r="N101" s="118"/>
      <c r="O101" s="118"/>
      <c r="P101" s="118"/>
      <c r="Q101" s="118"/>
      <c r="R101" s="118"/>
      <c r="S101" s="118"/>
      <c r="T101" s="118"/>
      <c r="U101" s="11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</row>
    <row r="102" spans="10:31" x14ac:dyDescent="0.25">
      <c r="J102" s="99"/>
      <c r="K102" s="169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0:31" x14ac:dyDescent="0.25">
      <c r="J103" s="99"/>
      <c r="K103" s="169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0:31" x14ac:dyDescent="0.25">
      <c r="J104" s="99"/>
      <c r="K104" s="169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0:31" x14ac:dyDescent="0.25">
      <c r="J105" s="99"/>
      <c r="K105" s="169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0:31" ht="15.75" x14ac:dyDescent="0.25">
      <c r="J106" s="99"/>
      <c r="K106" s="169"/>
      <c r="L106" s="120"/>
      <c r="M106" s="121"/>
      <c r="N106" s="121"/>
      <c r="O106" s="121"/>
      <c r="P106" s="121"/>
      <c r="Q106" s="121"/>
      <c r="R106" s="121"/>
      <c r="S106" s="121"/>
      <c r="T106" s="121"/>
      <c r="U106" s="121"/>
      <c r="V106" s="98"/>
      <c r="W106" s="98"/>
      <c r="X106" s="98"/>
      <c r="Y106" s="98"/>
      <c r="Z106" s="98"/>
      <c r="AA106" s="98"/>
      <c r="AB106" s="98"/>
      <c r="AC106" s="98"/>
      <c r="AD106" s="98"/>
      <c r="AE106" s="98">
        <v>0.628</v>
      </c>
    </row>
    <row r="107" spans="10:31" x14ac:dyDescent="0.25">
      <c r="J107" s="99"/>
      <c r="K107" s="169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0:31" x14ac:dyDescent="0.25">
      <c r="J108" s="99"/>
      <c r="K108" s="169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0:31" x14ac:dyDescent="0.25">
      <c r="J109" s="99"/>
      <c r="K109" s="169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0:31" x14ac:dyDescent="0.25">
      <c r="J110" s="99"/>
      <c r="K110" s="169"/>
      <c r="L110" s="113"/>
      <c r="M110" s="118"/>
      <c r="N110" s="118"/>
      <c r="O110" s="118"/>
      <c r="P110" s="118"/>
      <c r="Q110" s="118"/>
      <c r="R110" s="118"/>
      <c r="S110" s="118"/>
      <c r="T110" s="118"/>
      <c r="U110" s="11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</row>
    <row r="111" spans="10:31" x14ac:dyDescent="0.25">
      <c r="J111" s="99"/>
      <c r="K111" s="169"/>
      <c r="L111" s="113"/>
      <c r="M111" s="118"/>
      <c r="N111" s="118"/>
      <c r="O111" s="118"/>
      <c r="P111" s="118"/>
      <c r="Q111" s="118"/>
      <c r="R111" s="118"/>
      <c r="S111" s="118"/>
      <c r="T111" s="118"/>
      <c r="U111" s="11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</row>
    <row r="112" spans="10:31" x14ac:dyDescent="0.25">
      <c r="J112" s="99"/>
      <c r="K112" s="169"/>
      <c r="L112" s="113"/>
      <c r="M112" s="118"/>
      <c r="N112" s="118"/>
      <c r="O112" s="118"/>
      <c r="P112" s="118"/>
      <c r="Q112" s="118"/>
      <c r="R112" s="118"/>
      <c r="S112" s="118"/>
      <c r="T112" s="118"/>
      <c r="U112" s="11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</row>
    <row r="113" spans="1:31" x14ac:dyDescent="0.25">
      <c r="J113" s="99"/>
      <c r="K113" s="169"/>
      <c r="L113" s="113"/>
      <c r="M113" s="118"/>
      <c r="N113" s="118"/>
      <c r="O113" s="118"/>
      <c r="P113" s="118"/>
      <c r="Q113" s="118"/>
      <c r="R113" s="118"/>
      <c r="S113" s="118"/>
      <c r="T113" s="118"/>
      <c r="U113" s="11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</row>
    <row r="114" spans="1:31" x14ac:dyDescent="0.25">
      <c r="J114" s="99"/>
      <c r="K114" s="170"/>
      <c r="L114" s="113"/>
      <c r="M114" s="118"/>
      <c r="N114" s="118"/>
      <c r="O114" s="118"/>
      <c r="P114" s="118"/>
      <c r="Q114" s="118"/>
      <c r="R114" s="118"/>
      <c r="S114" s="118"/>
      <c r="T114" s="118"/>
      <c r="U114" s="11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</row>
    <row r="115" spans="1:31" x14ac:dyDescent="0.25">
      <c r="A115"/>
      <c r="B115"/>
      <c r="C115"/>
      <c r="D115"/>
      <c r="E115"/>
      <c r="F115"/>
      <c r="G115"/>
      <c r="H115"/>
      <c r="K115" s="170"/>
      <c r="L115" s="81"/>
      <c r="M115" s="93"/>
      <c r="N115" s="93"/>
      <c r="O115" s="93"/>
      <c r="P115" s="93"/>
      <c r="Q115" s="93"/>
      <c r="R115" s="93"/>
      <c r="S115" s="93"/>
      <c r="T115" s="93"/>
      <c r="U115" s="3"/>
    </row>
    <row r="116" spans="1:31" x14ac:dyDescent="0.25">
      <c r="K116" s="170"/>
      <c r="L116" s="81"/>
      <c r="M116" s="93"/>
      <c r="N116" s="93"/>
      <c r="O116" s="93"/>
      <c r="P116" s="93"/>
      <c r="Q116" s="93"/>
      <c r="R116" s="93"/>
      <c r="S116" s="93"/>
      <c r="T116" s="93"/>
      <c r="U116" s="3"/>
    </row>
  </sheetData>
  <mergeCells count="53">
    <mergeCell ref="K108:K110"/>
    <mergeCell ref="K111:K113"/>
    <mergeCell ref="K114:K116"/>
    <mergeCell ref="K90:K92"/>
    <mergeCell ref="K93:K95"/>
    <mergeCell ref="K96:K98"/>
    <mergeCell ref="K99:K101"/>
    <mergeCell ref="K102:K104"/>
    <mergeCell ref="K105:K107"/>
    <mergeCell ref="AF70:AI70"/>
    <mergeCell ref="K73:K75"/>
    <mergeCell ref="K76:K78"/>
    <mergeCell ref="K79:K81"/>
    <mergeCell ref="K82:K84"/>
    <mergeCell ref="K88:AD88"/>
    <mergeCell ref="K56:V56"/>
    <mergeCell ref="K58:K60"/>
    <mergeCell ref="K61:K63"/>
    <mergeCell ref="K64:K66"/>
    <mergeCell ref="K67:K69"/>
    <mergeCell ref="K70:K72"/>
    <mergeCell ref="K54:L54"/>
    <mergeCell ref="AG14:AK14"/>
    <mergeCell ref="AG15:AK15"/>
    <mergeCell ref="AG16:AK16"/>
    <mergeCell ref="AG17:AK17"/>
    <mergeCell ref="AG18:AK18"/>
    <mergeCell ref="AG19:AK19"/>
    <mergeCell ref="AG20:AK20"/>
    <mergeCell ref="AG21:AK21"/>
    <mergeCell ref="J23:K23"/>
    <mergeCell ref="J37:K37"/>
    <mergeCell ref="J53:L53"/>
    <mergeCell ref="AF13:AK13"/>
    <mergeCell ref="A7:H7"/>
    <mergeCell ref="J7:V7"/>
    <mergeCell ref="AF7:AK7"/>
    <mergeCell ref="AG8:AH8"/>
    <mergeCell ref="AI8:AK8"/>
    <mergeCell ref="J9:K9"/>
    <mergeCell ref="AG9:AH9"/>
    <mergeCell ref="AI9:AK9"/>
    <mergeCell ref="AG10:AH10"/>
    <mergeCell ref="AI10:AK10"/>
    <mergeCell ref="J11:K11"/>
    <mergeCell ref="AG11:AH11"/>
    <mergeCell ref="AI11:AK11"/>
    <mergeCell ref="AR6:AR7"/>
    <mergeCell ref="AM5:AO5"/>
    <mergeCell ref="AM6:AM7"/>
    <mergeCell ref="AN6:AN7"/>
    <mergeCell ref="AO6:AO7"/>
    <mergeCell ref="AP6:AQ6"/>
  </mergeCells>
  <dataValidations count="2">
    <dataValidation type="list" allowBlank="1" showInputMessage="1" showErrorMessage="1" sqref="B15" xr:uid="{A2887F6D-CBB9-4AFB-99A1-D6E8A5E51616}">
      <formula1>"Cohesionless (Sand),Cohesive (Clay)"</formula1>
    </dataValidation>
    <dataValidation type="list" allowBlank="1" showInputMessage="1" showErrorMessage="1" sqref="G14 G9:G10" xr:uid="{91A903DB-05CB-451C-935E-0BD18E1DA8B3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599-BA16-48E5-8857-D822CA103486}">
  <dimension ref="A1:BR46"/>
  <sheetViews>
    <sheetView topLeftCell="P1" zoomScale="55" zoomScaleNormal="55" workbookViewId="0">
      <selection activeCell="A2" sqref="A2"/>
    </sheetView>
  </sheetViews>
  <sheetFormatPr defaultRowHeight="15" x14ac:dyDescent="0.25"/>
  <cols>
    <col min="1" max="1" width="10.7109375" customWidth="1"/>
    <col min="2" max="5" width="12.85546875" customWidth="1"/>
    <col min="6" max="6" width="12" customWidth="1"/>
    <col min="7" max="7" width="8.5703125" bestFit="1" customWidth="1"/>
    <col min="8" max="8" width="11.42578125" bestFit="1" customWidth="1"/>
    <col min="10" max="15" width="12" customWidth="1"/>
    <col min="16" max="16" width="7.42578125" bestFit="1" customWidth="1"/>
    <col min="17" max="17" width="12" customWidth="1"/>
    <col min="18" max="18" width="20.85546875" bestFit="1" customWidth="1"/>
    <col min="19" max="19" width="15" bestFit="1" customWidth="1"/>
    <col min="20" max="20" width="11.28515625" bestFit="1" customWidth="1"/>
    <col min="21" max="21" width="11.42578125" bestFit="1" customWidth="1"/>
    <col min="22" max="22" width="13.42578125" bestFit="1" customWidth="1"/>
    <col min="23" max="23" width="13.42578125" customWidth="1"/>
    <col min="24" max="24" width="8.85546875" bestFit="1" customWidth="1"/>
    <col min="25" max="29" width="12" bestFit="1" customWidth="1"/>
    <col min="61" max="61" width="23.28515625" bestFit="1" customWidth="1"/>
    <col min="62" max="63" width="26.5703125" bestFit="1" customWidth="1"/>
    <col min="64" max="64" width="20.7109375" customWidth="1"/>
    <col min="65" max="65" width="17.28515625" customWidth="1"/>
    <col min="66" max="68" width="20.7109375" customWidth="1"/>
  </cols>
  <sheetData>
    <row r="1" spans="1:70" ht="18" x14ac:dyDescent="0.25">
      <c r="A1" s="1" t="s">
        <v>87</v>
      </c>
      <c r="B1" s="1" t="s">
        <v>88</v>
      </c>
      <c r="C1" s="1"/>
      <c r="D1" s="1" t="s">
        <v>89</v>
      </c>
      <c r="E1" s="1"/>
      <c r="F1" s="1" t="s">
        <v>90</v>
      </c>
      <c r="G1" s="1" t="s">
        <v>91</v>
      </c>
      <c r="H1" s="1" t="s">
        <v>92</v>
      </c>
      <c r="J1" s="144"/>
      <c r="K1" s="144"/>
      <c r="L1" s="144"/>
      <c r="M1" s="144"/>
      <c r="N1" s="1" t="s">
        <v>93</v>
      </c>
      <c r="O1" s="1" t="s">
        <v>94</v>
      </c>
      <c r="P1" s="13" t="s">
        <v>50</v>
      </c>
      <c r="Q1" s="10" t="s">
        <v>95</v>
      </c>
      <c r="R1" s="10" t="s">
        <v>96</v>
      </c>
      <c r="S1" s="13" t="s">
        <v>129</v>
      </c>
      <c r="T1" s="13" t="s">
        <v>130</v>
      </c>
      <c r="U1" s="10" t="s">
        <v>131</v>
      </c>
      <c r="V1" s="13" t="s">
        <v>132</v>
      </c>
      <c r="W1" s="145"/>
      <c r="X1" s="10" t="s">
        <v>97</v>
      </c>
      <c r="Y1" s="10" t="s">
        <v>98</v>
      </c>
      <c r="Z1" s="10" t="s">
        <v>133</v>
      </c>
      <c r="AA1" s="10" t="s">
        <v>134</v>
      </c>
      <c r="AB1" s="10" t="s">
        <v>135</v>
      </c>
      <c r="AC1" s="10" t="s">
        <v>136</v>
      </c>
      <c r="AD1" s="10" t="s">
        <v>137</v>
      </c>
      <c r="AE1" s="10" t="s">
        <v>99</v>
      </c>
      <c r="AF1" s="10" t="s">
        <v>138</v>
      </c>
      <c r="AG1" s="10" t="s">
        <v>139</v>
      </c>
      <c r="AH1" s="10" t="s">
        <v>140</v>
      </c>
      <c r="AI1" s="10" t="s">
        <v>141</v>
      </c>
      <c r="AJ1" s="10" t="s">
        <v>142</v>
      </c>
      <c r="AK1" s="10" t="s">
        <v>143</v>
      </c>
      <c r="AL1" s="10" t="s">
        <v>144</v>
      </c>
      <c r="AM1" s="10" t="s">
        <v>145</v>
      </c>
      <c r="AN1" s="10" t="s">
        <v>146</v>
      </c>
      <c r="AO1" s="10" t="s">
        <v>147</v>
      </c>
      <c r="AP1" s="10" t="s">
        <v>148</v>
      </c>
      <c r="AQ1" s="10" t="s">
        <v>149</v>
      </c>
      <c r="AR1" s="10" t="s">
        <v>150</v>
      </c>
      <c r="AS1" s="10" t="s">
        <v>151</v>
      </c>
      <c r="AT1" s="10" t="s">
        <v>152</v>
      </c>
      <c r="AU1" s="10" t="s">
        <v>153</v>
      </c>
      <c r="AV1" s="10" t="s">
        <v>154</v>
      </c>
      <c r="AW1" s="10" t="s">
        <v>155</v>
      </c>
      <c r="AX1" s="10" t="s">
        <v>156</v>
      </c>
      <c r="AY1" s="10" t="s">
        <v>157</v>
      </c>
      <c r="AZ1" s="10" t="s">
        <v>158</v>
      </c>
      <c r="BA1" s="10" t="s">
        <v>159</v>
      </c>
      <c r="BB1" s="10" t="s">
        <v>160</v>
      </c>
      <c r="BC1" s="10" t="s">
        <v>161</v>
      </c>
      <c r="BD1" s="10" t="s">
        <v>162</v>
      </c>
      <c r="BE1" s="10" t="s">
        <v>163</v>
      </c>
      <c r="BF1" s="10" t="s">
        <v>164</v>
      </c>
      <c r="BG1" s="10" t="s">
        <v>108</v>
      </c>
      <c r="BH1" s="10" t="s">
        <v>109</v>
      </c>
      <c r="BI1" s="10" t="s">
        <v>110</v>
      </c>
      <c r="BJ1" s="10" t="s">
        <v>165</v>
      </c>
      <c r="BK1" s="10" t="s">
        <v>166</v>
      </c>
      <c r="BL1" s="10" t="s">
        <v>167</v>
      </c>
      <c r="BM1" s="10" t="s">
        <v>168</v>
      </c>
      <c r="BN1" s="10" t="s">
        <v>169</v>
      </c>
      <c r="BO1" s="10" t="s">
        <v>170</v>
      </c>
      <c r="BP1" s="10" t="s">
        <v>171</v>
      </c>
    </row>
    <row r="2" spans="1:70" x14ac:dyDescent="0.25">
      <c r="A2" t="s">
        <v>38</v>
      </c>
      <c r="B2" t="s">
        <v>288</v>
      </c>
      <c r="C2" t="s">
        <v>1</v>
      </c>
      <c r="D2" t="s">
        <v>289</v>
      </c>
      <c r="E2" t="s">
        <v>2</v>
      </c>
      <c r="F2" t="s">
        <v>124</v>
      </c>
      <c r="G2" t="s">
        <v>125</v>
      </c>
      <c r="H2" t="s">
        <v>15</v>
      </c>
      <c r="I2" s="144" t="s">
        <v>4</v>
      </c>
      <c r="J2" s="144" t="s">
        <v>5</v>
      </c>
      <c r="K2" s="144" t="s">
        <v>3</v>
      </c>
      <c r="L2" s="144" t="s">
        <v>16</v>
      </c>
      <c r="M2" s="18" t="s">
        <v>17</v>
      </c>
      <c r="N2" t="s">
        <v>412</v>
      </c>
      <c r="O2" t="s">
        <v>126</v>
      </c>
      <c r="P2" t="s">
        <v>29</v>
      </c>
      <c r="Q2" t="s">
        <v>0</v>
      </c>
      <c r="R2" t="s">
        <v>86</v>
      </c>
      <c r="S2" t="s">
        <v>84</v>
      </c>
      <c r="T2" t="s">
        <v>85</v>
      </c>
      <c r="U2" t="s">
        <v>83</v>
      </c>
      <c r="V2" t="s">
        <v>82</v>
      </c>
      <c r="W2" t="s">
        <v>406</v>
      </c>
      <c r="X2" t="s">
        <v>287</v>
      </c>
      <c r="Y2" t="s">
        <v>127</v>
      </c>
      <c r="Z2" t="s">
        <v>7</v>
      </c>
      <c r="AA2" t="s">
        <v>282</v>
      </c>
      <c r="AB2" t="s">
        <v>128</v>
      </c>
      <c r="AC2" t="s">
        <v>281</v>
      </c>
      <c r="AD2" t="s">
        <v>280</v>
      </c>
      <c r="AE2" t="s">
        <v>172</v>
      </c>
      <c r="AF2" t="s">
        <v>285</v>
      </c>
      <c r="AG2" t="s">
        <v>14</v>
      </c>
      <c r="AH2" t="s">
        <v>11</v>
      </c>
      <c r="AI2" t="s">
        <v>12</v>
      </c>
      <c r="AJ2" t="s">
        <v>100</v>
      </c>
      <c r="AK2" t="s">
        <v>101</v>
      </c>
      <c r="AL2" t="s">
        <v>102</v>
      </c>
      <c r="AM2" t="s">
        <v>103</v>
      </c>
      <c r="AN2" t="s">
        <v>271</v>
      </c>
      <c r="AO2" t="s">
        <v>18</v>
      </c>
      <c r="AP2" t="s">
        <v>104</v>
      </c>
      <c r="AQ2" t="s">
        <v>105</v>
      </c>
      <c r="AR2" t="s">
        <v>106</v>
      </c>
      <c r="AS2" t="s">
        <v>107</v>
      </c>
      <c r="AT2" t="s">
        <v>20</v>
      </c>
      <c r="AU2" t="s">
        <v>21</v>
      </c>
      <c r="AV2" t="s">
        <v>22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272</v>
      </c>
      <c r="BD2" t="s">
        <v>273</v>
      </c>
      <c r="BE2" t="s">
        <v>286</v>
      </c>
      <c r="BF2" t="s">
        <v>19</v>
      </c>
      <c r="BG2" t="s">
        <v>6</v>
      </c>
      <c r="BH2" t="s">
        <v>274</v>
      </c>
      <c r="BI2" t="s">
        <v>275</v>
      </c>
      <c r="BJ2" t="s">
        <v>276</v>
      </c>
      <c r="BK2" t="s">
        <v>277</v>
      </c>
      <c r="BL2" t="s">
        <v>278</v>
      </c>
      <c r="BM2" t="s">
        <v>279</v>
      </c>
      <c r="BN2" t="s">
        <v>283</v>
      </c>
      <c r="BO2" t="s">
        <v>284</v>
      </c>
      <c r="BP2" t="s">
        <v>8</v>
      </c>
      <c r="BQ2" t="s">
        <v>290</v>
      </c>
      <c r="BR2" t="s">
        <v>291</v>
      </c>
    </row>
    <row r="3" spans="1:70" x14ac:dyDescent="0.25">
      <c r="A3" s="1">
        <v>1</v>
      </c>
      <c r="B3">
        <v>1.0668</v>
      </c>
      <c r="C3">
        <f>B3*1000</f>
        <v>1066.8</v>
      </c>
      <c r="D3">
        <v>9.5250000000000005E-3</v>
      </c>
      <c r="E3">
        <f>D3*1000</f>
        <v>9.5250000000000004</v>
      </c>
      <c r="F3" s="4">
        <f>C3/E3</f>
        <v>111.99999999999999</v>
      </c>
      <c r="G3" s="1">
        <v>30</v>
      </c>
      <c r="H3" s="10" t="s">
        <v>117</v>
      </c>
      <c r="I3" s="144">
        <f>IF(H3="Grade-B",3,IF(H3="X-42",3,IF(H3="X-52",8,IF(H3="X-60",8,IF(H3="X-70",14,IF(H3="X-80",15,8))))))</f>
        <v>8</v>
      </c>
      <c r="J3" s="144">
        <f>IF(H3="Grade-B",8,IF(H3="X-42",9,IF(H3="X-52",10,IF(H3="X-60",12,IF(H3="X-70",15,IF(H3="X-80",20,10))))))</f>
        <v>10</v>
      </c>
      <c r="K3" s="144">
        <f>IF(H3="Grade-B",241,IF(H3="X-42",290,IF(H3="X-52",359,IF(H3="X-60",414,IF(H3="X-70",483,IF(H3="X-80",552,359))))))*1000</f>
        <v>359000</v>
      </c>
      <c r="L3" s="144">
        <f>IF(H3="Grade-B",344,IF(H3="X-42",414,IF(H3="X-52",455,IF(H3="X-60",517,IF(H3="X-70",565,IF(H3="X-80",625,K3*1.2/1000))))))*1000</f>
        <v>455000</v>
      </c>
      <c r="M3" s="144">
        <f>L3/200000000*(1+I3/(1+J3)*(L3/K3)^J3)*100</f>
        <v>1.9969902892117808</v>
      </c>
      <c r="N3" s="4">
        <f>100*IF(H3='Estimation Model Normal-Slip'!$J$8,'Estimation Model Normal-Slip'!$O$8,IF(H3='Estimation Model Normal-Slip'!$J$9,'Estimation Model Normal-Slip'!$O$9,IF(H3='Estimation Model Normal-Slip'!$J$10,'Estimation Model Normal-Slip'!$O$10,IF(H3='Estimation Model Normal-Slip'!$J$11,'Estimation Model Normal-Slip'!$O$11,IF(H3='Estimation Model Normal-Slip'!$J$12,'Estimation Model Normal-Slip'!$O$12,IF(H3='Estimation Model Normal-Slip'!$J$13,'Estimation Model Normal-Slip'!$O$13,2))))))</f>
        <v>1.9041242414694344</v>
      </c>
      <c r="O3" s="1">
        <f>LN(M3)</f>
        <v>0.69164119173371341</v>
      </c>
      <c r="P3" s="1">
        <v>45</v>
      </c>
      <c r="Q3" s="1" t="s">
        <v>10</v>
      </c>
      <c r="R3" t="s">
        <v>265</v>
      </c>
      <c r="S3">
        <f>IF(R3="medium dense",18,IF(R3="dense",18.5,IF(R3="very dense",19,IF(R3="soft",17.5,IF(R3="medium stiff",18,IF(R3="stiff",18.5,0))))))</f>
        <v>17.5</v>
      </c>
      <c r="T3" s="1">
        <f>IF(R3="medium dense",37,IF(R3="dense",40,IF(R3="very dense",43,0)))</f>
        <v>0</v>
      </c>
      <c r="U3">
        <f>IF(R3="soft",37.5,IF(R3="medium stiff",75,IF(R3="stiff",125,0)))</f>
        <v>37.5</v>
      </c>
      <c r="V3">
        <f>IF(R3="soft",1.1,IF(R3="medium stiff",0.72,IF(R3="stiff",0.4,0)))</f>
        <v>1.1000000000000001</v>
      </c>
      <c r="W3">
        <v>0.9</v>
      </c>
      <c r="X3" s="1">
        <v>0.78739999999999999</v>
      </c>
      <c r="Y3" s="1">
        <f t="shared" ref="Y3:Y22" si="0">MIN(11.5,MAX(1.8,X3/B3))</f>
        <v>1.8</v>
      </c>
      <c r="Z3">
        <f>IF(Q3="sand", PI() * B3 * X3*S3* TAN(RADIANS(W3*T3)), PI() * B3 * V3 * U3)</f>
        <v>138.24735551754566</v>
      </c>
      <c r="AA3">
        <f>IF(R3="medium dense",'Coefficient Normal'!$E$18 + ('Coefficient Normal'!$E$19*Y3) + ('Coefficient Normal'!$E$20*(Y3^2)) + ('Coefficient Normal'!$E$21*(Y3^3)) + ('Coefficient Normal'!$E$22*(Y3^4)),IF(R3="dense",'Coefficient Normal'!$F$18 + ('Coefficient Normal'!$F$19*Y3) + ('Coefficient Normal'!$F$20*(Y3^2)) + ('Coefficient Normal'!$F$21*(Y3^3)) + ('Coefficient Normal'!$F$22*(Y3^4)),IF(R3="very dense",'Coefficient Normal'!$G$18 + ('Coefficient Normal'!$G$19*Y3) + ('Coefficient Normal'!$G$20*(Y3^2)) + ('Coefficient Normal'!$G$21*(Y3^3)) + ('Coefficient Normal'!$G$22*(Y3^4)),0)))</f>
        <v>0</v>
      </c>
      <c r="AB3">
        <f>IF(Q3="sand",MIN(80,EXP(0.18*T3-2.5)),0)</f>
        <v>0</v>
      </c>
      <c r="AC3">
        <f t="shared" ref="AC3:AC22" si="1">IF(Q3="sand",AA3*S3*X3*B3 + 0.5*S3*(B3^2)*AB3,5.14*U3*B3)</f>
        <v>205.62569999999999</v>
      </c>
      <c r="AD3">
        <f>LN(AC3)</f>
        <v>5.3260575257691611</v>
      </c>
      <c r="AE3">
        <f t="shared" ref="AE3:AE22" si="2">LN(F3)</f>
        <v>4.7184988712950942</v>
      </c>
      <c r="AF3">
        <f t="shared" ref="AF3:AF23" si="3">LN(Z3)</f>
        <v>4.9290445119558122</v>
      </c>
      <c r="AG3" s="38">
        <f>VLOOKUP(P3,'Coefficient Normal'!$A$3:$H$7,2,TRUE)</f>
        <v>3.7532999999999999</v>
      </c>
      <c r="AH3" s="38">
        <f>VLOOKUP(P3,'Coefficient Normal'!$A$3:$H$7,3,TRUE)</f>
        <v>0.14510000000000001</v>
      </c>
      <c r="AI3" s="38">
        <f>VLOOKUP(P3,'Coefficient Normal'!$A$3:$H$7,4,TRUE)</f>
        <v>1.2497</v>
      </c>
      <c r="AJ3" s="38">
        <f>VLOOKUP(P3,'Coefficient Normal'!$A$3:$H$7,5,TRUE)</f>
        <v>-0.46100000000000002</v>
      </c>
      <c r="AK3" s="38">
        <f>VLOOKUP(P3,'Coefficient Normal'!$A$3:$H$7,6,TRUE)</f>
        <v>0.39140000000000003</v>
      </c>
      <c r="AL3" s="38">
        <f>VLOOKUP(P3,'Coefficient Normal'!$A$3:$H$7,7,TRUE)</f>
        <v>-0.21310000000000001</v>
      </c>
      <c r="AM3" s="38">
        <f>VLOOKUP(P3,'Coefficient Normal'!$A$3:$H$7,8,TRUE)</f>
        <v>-0.34139999999999998</v>
      </c>
      <c r="AN3" s="38">
        <f t="shared" ref="AN3:AN22" si="4">AG3+AH3*LN(G3) + AI3*LN(B3) + AJ3*AE3 + AK3*O3 + AL3*AD3 + AM3*AF3</f>
        <v>-0.39465453966325215</v>
      </c>
      <c r="AO3" s="38">
        <f>VLOOKUP(P3,'Coefficient Normal'!$A$10:$P$14,2,TRUE)</f>
        <v>-1.1082000000000001</v>
      </c>
      <c r="AP3" s="38">
        <f>VLOOKUP(P3,'Coefficient Normal'!$A$10:$P$14,3,TRUE)</f>
        <v>0.10630000000000001</v>
      </c>
      <c r="AQ3" s="38">
        <f>VLOOKUP(P3,'Coefficient Normal'!$A$10:$P$14,4,TRUE)</f>
        <v>-0.1439</v>
      </c>
      <c r="AR3" s="38">
        <f>VLOOKUP(P3,'Coefficient Normal'!$A$10:$P$14,5,TRUE)</f>
        <v>0.27879999999999999</v>
      </c>
      <c r="AS3" s="38">
        <f>VLOOKUP(P3,'Coefficient Normal'!$A$10:$P$14,6,TRUE)</f>
        <v>-0.31030000000000002</v>
      </c>
      <c r="AT3" s="38">
        <f>VLOOKUP(P3,'Coefficient Normal'!$A$10:$P$14,7,TRUE)</f>
        <v>1.2553000000000001</v>
      </c>
      <c r="AU3" s="38">
        <f>VLOOKUP(P3,'Coefficient Normal'!$A$10:$P$14,8,TRUE)</f>
        <v>2.9999999999999997E-4</v>
      </c>
      <c r="AV3" s="38">
        <f>VLOOKUP(P3,'Coefficient Normal'!$A$10:$P$14,9,TRUE)</f>
        <v>5.1999999999999998E-3</v>
      </c>
      <c r="AW3" s="38">
        <f>VLOOKUP(P3,'Coefficient Normal'!$A$10:$P$14,10,TRUE)</f>
        <v>-8.5900000000000004E-2</v>
      </c>
      <c r="AX3" s="38">
        <f>VLOOKUP(P3,'Coefficient Normal'!$A$10:$P$14,11,TRUE)</f>
        <v>5.9999999999999995E-4</v>
      </c>
      <c r="AY3" s="38">
        <f>VLOOKUP(P3,'Coefficient Normal'!$A$10:$P$14,12,TRUE)</f>
        <v>-0.21759999999999999</v>
      </c>
      <c r="AZ3" s="38">
        <f>VLOOKUP(P3,'Coefficient Normal'!$A$10:$P$14,13,TRUE)</f>
        <v>-2.69E-2</v>
      </c>
      <c r="BA3" s="38">
        <f>VLOOKUP(P3,'Coefficient Normal'!$A$10:$P$14,14,TRUE)</f>
        <v>0.57389999999999997</v>
      </c>
      <c r="BB3" s="38">
        <f>VLOOKUP(P3,'Coefficient Normal'!$A$10:$P$14,15,TRUE)</f>
        <v>0.34460000000000002</v>
      </c>
      <c r="BC3" s="5">
        <f>IF(BH3&lt;AN3,1,0)</f>
        <v>0</v>
      </c>
      <c r="BD3" s="5">
        <f t="shared" ref="BD3:BD22" si="5">IF(G3&lt;100,1,0)</f>
        <v>1</v>
      </c>
      <c r="BE3" s="5">
        <f>IF(Q3="sand",1,0)</f>
        <v>0</v>
      </c>
      <c r="BF3" s="38">
        <f t="shared" ref="BF3:BF22" si="6">BC3 * (AT3+AU3*Z3 + AV3*BD3*(G3-100) + AW3*(1-BD3) + AX3*F3) + (1-BC3) * (AY3 + AZ3*BD3*(G3-100) + BA3*(1-BD3) + BB3*O3)</f>
        <v>1.9037395546714377</v>
      </c>
      <c r="BG3" s="1">
        <v>2.2496671510000001</v>
      </c>
      <c r="BH3">
        <f>LN(BG3)</f>
        <v>0.8107822723842909</v>
      </c>
      <c r="BI3" s="38">
        <f>BH3-AN3</f>
        <v>1.2054368120475432</v>
      </c>
      <c r="BJ3" s="38">
        <f>BF3*BI3</f>
        <v>2.2948377397519475</v>
      </c>
      <c r="BK3" s="38">
        <f>AP3*AE3</f>
        <v>0.50157643001866858</v>
      </c>
      <c r="BL3" s="38">
        <f>AQ3*BE3*AF3</f>
        <v>0</v>
      </c>
      <c r="BM3" s="38">
        <f>AR3*AD3</f>
        <v>1.4849048381844421</v>
      </c>
      <c r="BN3" s="38">
        <f t="shared" ref="BN3:BN22" si="7">AS3* LN(B3)</f>
        <v>-2.0065088184971575E-2</v>
      </c>
      <c r="BO3" s="38">
        <f>AO3+BJ3+BK3+BL3+BM3+BN3</f>
        <v>3.1530539197700866</v>
      </c>
      <c r="BP3" s="3">
        <f>EXP(BO3)</f>
        <v>23.407439981823291</v>
      </c>
      <c r="BQ3">
        <f>VLOOKUP(P3,'Coefficient Normal'!$A$10:$P$14,16,TRUE)</f>
        <v>0.3997</v>
      </c>
      <c r="BR3">
        <v>0.3</v>
      </c>
    </row>
    <row r="4" spans="1:70" x14ac:dyDescent="0.25">
      <c r="A4" s="1">
        <v>2</v>
      </c>
      <c r="B4">
        <v>0.60960000000000003</v>
      </c>
      <c r="C4">
        <f t="shared" ref="C4:E22" si="8">B4*1000</f>
        <v>609.6</v>
      </c>
      <c r="D4">
        <v>9.5250000000000005E-3</v>
      </c>
      <c r="E4">
        <f t="shared" si="8"/>
        <v>9.5250000000000004</v>
      </c>
      <c r="F4" s="4">
        <f t="shared" ref="F4:F22" si="9">C4/E4</f>
        <v>64</v>
      </c>
      <c r="G4" s="1">
        <v>50</v>
      </c>
      <c r="H4" s="10" t="s">
        <v>118</v>
      </c>
      <c r="I4" s="144">
        <f t="shared" ref="I4:I22" si="10">IF(H4="Grade-B",3,IF(H4="X-42",3,IF(H4="X-52",8,IF(H4="X-60",8,IF(H4="X-70",14,IF(H4="X-80",15,8))))))</f>
        <v>8</v>
      </c>
      <c r="J4" s="144">
        <f t="shared" ref="J4:J22" si="11">IF(H4="Grade-B",8,IF(H4="X-42",9,IF(H4="X-52",10,IF(H4="X-60",12,IF(H4="X-70",15,IF(H4="X-80",20,10))))))</f>
        <v>12</v>
      </c>
      <c r="K4" s="144">
        <f t="shared" ref="K4:K22" si="12">IF(H4="Grade-B",241,IF(H4="X-42",290,IF(H4="X-52",359,IF(H4="X-60",414,IF(H4="X-70",483,IF(H4="X-80",552,359))))))*1000</f>
        <v>414000</v>
      </c>
      <c r="L4" s="144">
        <f t="shared" ref="L4:L22" si="13">IF(H4="Grade-B",344,IF(H4="X-42",414,IF(H4="X-52",455,IF(H4="X-60",517,IF(H4="X-70",565,IF(H4="X-80",625,K4*1.2/1000))))))*1000</f>
        <v>517000</v>
      </c>
      <c r="M4" s="144">
        <f t="shared" ref="M4:M22" si="14">L4/200000000*(1+I4/(1+J4)*(L4/K4)^J4)*100</f>
        <v>2.5466769467238102</v>
      </c>
      <c r="N4" s="4">
        <f>100*IF(H4='Estimation Model Normal-Slip'!$J$8,'Estimation Model Normal-Slip'!$O$8,IF(H4='Estimation Model Normal-Slip'!$J$9,'Estimation Model Normal-Slip'!$O$9,IF(H4='Estimation Model Normal-Slip'!$J$10,'Estimation Model Normal-Slip'!$O$10,IF(H4='Estimation Model Normal-Slip'!$J$11,'Estimation Model Normal-Slip'!$O$11,IF(H4='Estimation Model Normal-Slip'!$J$12,'Estimation Model Normal-Slip'!$O$12,IF(H4='Estimation Model Normal-Slip'!$J$13,'Estimation Model Normal-Slip'!$O$13,2))))))</f>
        <v>2.4313344008036557</v>
      </c>
      <c r="O4" s="144">
        <f t="shared" ref="O4:O22" si="15">LN(M4)</f>
        <v>0.93478935117382533</v>
      </c>
      <c r="P4" s="1">
        <v>60</v>
      </c>
      <c r="Q4" s="1" t="s">
        <v>10</v>
      </c>
      <c r="R4" t="s">
        <v>269</v>
      </c>
      <c r="S4">
        <f t="shared" ref="S4:S22" si="16">IF(R4="medium dense",18,IF(R4="dense",18.5,IF(R4="very dense",19,IF(R4="soft",17.5,IF(R4="medium stiff",18,IF(R4="stiff",18.5,0))))))</f>
        <v>18</v>
      </c>
      <c r="T4" s="1">
        <f t="shared" ref="T4:T22" si="17">IF(R4="medium dense",37,IF(R4="dense",40,IF(R4="very dense",43,0)))</f>
        <v>0</v>
      </c>
      <c r="U4">
        <f t="shared" ref="U4:U22" si="18">IF(R4="soft",37.5,IF(R4="medium stiff",75,IF(R4="stiff",125,0)))</f>
        <v>75</v>
      </c>
      <c r="V4">
        <f t="shared" ref="V4:V22" si="19">IF(R4="soft",1.1,IF(R4="medium stiff",0.72,IF(R4="stiff",0.4,0)))</f>
        <v>0.72</v>
      </c>
      <c r="W4">
        <v>0.9</v>
      </c>
      <c r="X4" s="1">
        <v>1</v>
      </c>
      <c r="Y4" s="1">
        <f t="shared" si="0"/>
        <v>1.8</v>
      </c>
      <c r="Z4">
        <f t="shared" ref="Z4:Z22" si="20">IF(Q4="sand", PI() * B4 * X4*S4* TAN(RADIANS(W4*T4)), PI() * B4 * V4 * U4)</f>
        <v>103.41620360793024</v>
      </c>
      <c r="AA4">
        <f>IF(R4="medium dense",'Coefficient Normal'!$E$18 + ('Coefficient Normal'!$E$19*Y4) + ('Coefficient Normal'!$E$20*(Y4^2)) + ('Coefficient Normal'!$E$21*(Y4^3)) + ('Coefficient Normal'!$E$22*(Y4^4)),IF(R4="dense",'Coefficient Normal'!$F$18 + ('Coefficient Normal'!$F$19*Y4) + ('Coefficient Normal'!$F$20*(Y4^2)) + ('Coefficient Normal'!$F$21*(Y4^3)) + ('Coefficient Normal'!$F$22*(Y4^4)),IF(R4="very dense",'Coefficient Normal'!$G$18 + ('Coefficient Normal'!$G$19*Y4) + ('Coefficient Normal'!$G$20*(Y4^2)) + ('Coefficient Normal'!$G$21*(Y4^3)) + ('Coefficient Normal'!$G$22*(Y4^4)),0)))</f>
        <v>0</v>
      </c>
      <c r="AB4">
        <f t="shared" ref="AB4:AB22" si="21">IF(Q4="sand",MIN(80,EXP(0.18*T4-2.5)),0)</f>
        <v>0</v>
      </c>
      <c r="AC4">
        <f t="shared" si="1"/>
        <v>235.0008</v>
      </c>
      <c r="AD4">
        <f t="shared" ref="AD4:AD22" si="22">LN(AC4)</f>
        <v>5.4595889183936839</v>
      </c>
      <c r="AE4">
        <f t="shared" si="2"/>
        <v>4.1588830833596715</v>
      </c>
      <c r="AF4">
        <f t="shared" si="3"/>
        <v>4.6387616578039736</v>
      </c>
      <c r="AG4" s="38">
        <f>VLOOKUP(P4,'Coefficient Normal'!$A$3:$H$7,2,TRUE)</f>
        <v>4.3182999999999998</v>
      </c>
      <c r="AH4" s="38">
        <f>VLOOKUP(P4,'Coefficient Normal'!$A$3:$H$7,3,TRUE)</f>
        <v>-2.7900000000000001E-2</v>
      </c>
      <c r="AI4" s="38">
        <f>VLOOKUP(P4,'Coefficient Normal'!$A$3:$H$7,4,TRUE)</f>
        <v>1.0497000000000001</v>
      </c>
      <c r="AJ4" s="38">
        <f>VLOOKUP(P4,'Coefficient Normal'!$A$3:$H$7,5,TRUE)</f>
        <v>-0.46910000000000002</v>
      </c>
      <c r="AK4" s="38">
        <f>VLOOKUP(P4,'Coefficient Normal'!$A$3:$H$7,6,TRUE)</f>
        <v>0.29149999999999998</v>
      </c>
      <c r="AL4" s="38">
        <f>VLOOKUP(P4,'Coefficient Normal'!$A$3:$H$7,7,TRUE)</f>
        <v>-0.28610000000000002</v>
      </c>
      <c r="AM4" s="38">
        <f>VLOOKUP(P4,'Coefficient Normal'!$A$3:$H$7,8,TRUE)</f>
        <v>-0.1348</v>
      </c>
      <c r="AN4" s="38">
        <f t="shared" si="4"/>
        <v>-0.17613126407050839</v>
      </c>
      <c r="AO4" s="38">
        <f>VLOOKUP(P4,'Coefficient Normal'!$A$10:$P$14,2,TRUE)</f>
        <v>-2.1276999999999999</v>
      </c>
      <c r="AP4" s="38">
        <f>VLOOKUP(P4,'Coefficient Normal'!$A$10:$P$14,3,TRUE)</f>
        <v>0.14760000000000001</v>
      </c>
      <c r="AQ4" s="38">
        <f>VLOOKUP(P4,'Coefficient Normal'!$A$10:$P$14,4,TRUE)</f>
        <v>-0.21829999999999999</v>
      </c>
      <c r="AR4" s="38">
        <f>VLOOKUP(P4,'Coefficient Normal'!$A$10:$P$14,5,TRUE)</f>
        <v>0.42270000000000002</v>
      </c>
      <c r="AS4" s="38">
        <f>VLOOKUP(P4,'Coefficient Normal'!$A$10:$P$14,6,TRUE)</f>
        <v>-0.53720000000000001</v>
      </c>
      <c r="AT4" s="38">
        <f>VLOOKUP(P4,'Coefficient Normal'!$A$10:$P$14,7,TRUE)</f>
        <v>1.252</v>
      </c>
      <c r="AU4" s="38">
        <f>VLOOKUP(P4,'Coefficient Normal'!$A$10:$P$14,8,TRUE)</f>
        <v>-5.9999999999999995E-4</v>
      </c>
      <c r="AV4" s="38">
        <f>VLOOKUP(P4,'Coefficient Normal'!$A$10:$P$14,9,TRUE)</f>
        <v>5.3E-3</v>
      </c>
      <c r="AW4" s="38">
        <f>VLOOKUP(P4,'Coefficient Normal'!$A$10:$P$14,10,TRUE)</f>
        <v>-4.8500000000000001E-2</v>
      </c>
      <c r="AX4" s="38">
        <f>VLOOKUP(P4,'Coefficient Normal'!$A$10:$P$14,11,TRUE)</f>
        <v>1.2999999999999999E-3</v>
      </c>
      <c r="AY4" s="38">
        <f>VLOOKUP(P4,'Coefficient Normal'!$A$10:$P$14,12,TRUE)</f>
        <v>-0.56599999999999995</v>
      </c>
      <c r="AZ4" s="38">
        <f>VLOOKUP(P4,'Coefficient Normal'!$A$10:$P$14,13,TRUE)</f>
        <v>-3.2099999999999997E-2</v>
      </c>
      <c r="BA4" s="38">
        <f>VLOOKUP(P4,'Coefficient Normal'!$A$10:$P$14,14,TRUE)</f>
        <v>0.84970000000000001</v>
      </c>
      <c r="BB4" s="38">
        <f>VLOOKUP(P4,'Coefficient Normal'!$A$10:$P$14,15,TRUE)</f>
        <v>9.01E-2</v>
      </c>
      <c r="BC4" s="5">
        <f t="shared" ref="BC4:BC22" si="23">IF(BH4&lt;AN4,1,0)</f>
        <v>0</v>
      </c>
      <c r="BD4" s="5">
        <f t="shared" si="5"/>
        <v>1</v>
      </c>
      <c r="BE4" s="5">
        <f t="shared" ref="BE4:BE22" si="24">IF(Q4="sand",1,0)</f>
        <v>0</v>
      </c>
      <c r="BF4" s="38">
        <f t="shared" si="6"/>
        <v>1.1232245205407614</v>
      </c>
      <c r="BG4" s="1">
        <v>2.3997944580000001</v>
      </c>
      <c r="BH4">
        <f t="shared" ref="BH4:BH22" si="25">LN(BG4)</f>
        <v>0.8753830911863717</v>
      </c>
      <c r="BI4" s="38">
        <f t="shared" ref="BI4:BI22" si="26">BH4-AN4</f>
        <v>1.05151435525688</v>
      </c>
      <c r="BJ4" s="38">
        <f t="shared" ref="BJ4:BJ22" si="27">BF4*BI4</f>
        <v>1.1810867075251368</v>
      </c>
      <c r="BK4" s="38">
        <f t="shared" ref="BK4:BK22" si="28">AP4*AE4</f>
        <v>0.61385114310388755</v>
      </c>
      <c r="BL4" s="38">
        <f t="shared" ref="BL4:BL22" si="29">AQ4*BE4*AF4</f>
        <v>0</v>
      </c>
      <c r="BM4" s="38">
        <f t="shared" ref="BM4:BM22" si="30">AR4*AD4</f>
        <v>2.3077682358050104</v>
      </c>
      <c r="BN4" s="38">
        <f t="shared" si="7"/>
        <v>0.26588836192033111</v>
      </c>
      <c r="BO4" s="38">
        <f t="shared" ref="BO4:BO22" si="31">AO4+BJ4+BK4+BL4+BM4+BN4</f>
        <v>2.240894448354366</v>
      </c>
      <c r="BP4" s="3">
        <f t="shared" ref="BP4:BP22" si="32">EXP(BO4)</f>
        <v>9.4017368957857244</v>
      </c>
      <c r="BQ4">
        <f>VLOOKUP(P4,'Coefficient Normal'!$A$10:$P$14,16,TRUE)</f>
        <v>0.50170000000000003</v>
      </c>
      <c r="BR4">
        <v>0.3</v>
      </c>
    </row>
    <row r="5" spans="1:70" x14ac:dyDescent="0.25">
      <c r="A5" s="1">
        <v>3</v>
      </c>
      <c r="B5">
        <v>0.40960000000000002</v>
      </c>
      <c r="C5">
        <f t="shared" si="8"/>
        <v>409.6</v>
      </c>
      <c r="D5">
        <v>9.5250000000000005E-3</v>
      </c>
      <c r="E5">
        <f t="shared" si="8"/>
        <v>9.5250000000000004</v>
      </c>
      <c r="F5" s="4">
        <f t="shared" si="9"/>
        <v>43.00262467191601</v>
      </c>
      <c r="G5" s="1">
        <v>100</v>
      </c>
      <c r="H5" s="10" t="s">
        <v>119</v>
      </c>
      <c r="I5" s="144">
        <f t="shared" si="10"/>
        <v>14</v>
      </c>
      <c r="J5" s="144">
        <f t="shared" si="11"/>
        <v>15</v>
      </c>
      <c r="K5" s="144">
        <f t="shared" si="12"/>
        <v>483000</v>
      </c>
      <c r="L5" s="144">
        <f t="shared" si="13"/>
        <v>565000</v>
      </c>
      <c r="M5" s="144">
        <f t="shared" si="14"/>
        <v>2.8799444073326219</v>
      </c>
      <c r="N5" s="4">
        <f>100*IF(H5='Estimation Model Normal-Slip'!$J$8,'Estimation Model Normal-Slip'!$O$8,IF(H5='Estimation Model Normal-Slip'!$J$9,'Estimation Model Normal-Slip'!$O$9,IF(H5='Estimation Model Normal-Slip'!$J$10,'Estimation Model Normal-Slip'!$O$10,IF(H5='Estimation Model Normal-Slip'!$J$11,'Estimation Model Normal-Slip'!$O$11,IF(H5='Estimation Model Normal-Slip'!$J$12,'Estimation Model Normal-Slip'!$O$12,IF(H5='Estimation Model Normal-Slip'!$J$13,'Estimation Model Normal-Slip'!$O$13,2))))))</f>
        <v>2.7690517990613435</v>
      </c>
      <c r="O5" s="144">
        <f t="shared" si="15"/>
        <v>1.0577709909520427</v>
      </c>
      <c r="P5" s="1">
        <v>75</v>
      </c>
      <c r="Q5" s="1" t="s">
        <v>10</v>
      </c>
      <c r="R5" t="s">
        <v>266</v>
      </c>
      <c r="S5">
        <f t="shared" si="16"/>
        <v>18.5</v>
      </c>
      <c r="T5" s="1">
        <f t="shared" si="17"/>
        <v>0</v>
      </c>
      <c r="U5">
        <f t="shared" si="18"/>
        <v>125</v>
      </c>
      <c r="V5">
        <f t="shared" si="19"/>
        <v>0.4</v>
      </c>
      <c r="W5">
        <v>0.9</v>
      </c>
      <c r="X5" s="1">
        <v>1.2</v>
      </c>
      <c r="Y5" s="1">
        <f t="shared" si="0"/>
        <v>2.9296874999999996</v>
      </c>
      <c r="Z5">
        <f t="shared" si="20"/>
        <v>64.339817545518969</v>
      </c>
      <c r="AA5">
        <f>IF(R5="medium dense",'Coefficient Normal'!$E$18 + ('Coefficient Normal'!$E$19*Y5) + ('Coefficient Normal'!$E$20*(Y5^2)) + ('Coefficient Normal'!$E$21*(Y5^3)) + ('Coefficient Normal'!$E$22*(Y5^4)),IF(R5="dense",'Coefficient Normal'!$F$18 + ('Coefficient Normal'!$F$19*Y5) + ('Coefficient Normal'!$F$20*(Y5^2)) + ('Coefficient Normal'!$F$21*(Y5^3)) + ('Coefficient Normal'!$F$22*(Y5^4)),IF(R5="very dense",'Coefficient Normal'!$G$18 + ('Coefficient Normal'!$G$19*Y5) + ('Coefficient Normal'!$G$20*(Y5^2)) + ('Coefficient Normal'!$G$21*(Y5^3)) + ('Coefficient Normal'!$G$22*(Y5^4)),0)))</f>
        <v>0</v>
      </c>
      <c r="AB5">
        <f t="shared" si="21"/>
        <v>0</v>
      </c>
      <c r="AC5">
        <f t="shared" si="1"/>
        <v>263.16800000000001</v>
      </c>
      <c r="AD5">
        <f t="shared" si="22"/>
        <v>5.5727926115125355</v>
      </c>
      <c r="AE5">
        <f t="shared" si="2"/>
        <v>3.7612611527125335</v>
      </c>
      <c r="AF5">
        <f t="shared" si="3"/>
        <v>4.1641786860207075</v>
      </c>
      <c r="AG5" s="38">
        <f>VLOOKUP(P5,'Coefficient Normal'!$A$3:$H$7,2,TRUE)</f>
        <v>5.5951000000000004</v>
      </c>
      <c r="AH5" s="38">
        <f>VLOOKUP(P5,'Coefficient Normal'!$A$3:$H$7,3,TRUE)</f>
        <v>1.6E-2</v>
      </c>
      <c r="AI5" s="38">
        <f>VLOOKUP(P5,'Coefficient Normal'!$A$3:$H$7,4,TRUE)</f>
        <v>1.2641</v>
      </c>
      <c r="AJ5" s="38">
        <f>VLOOKUP(P5,'Coefficient Normal'!$A$3:$H$7,5,TRUE)</f>
        <v>-0.52429999999999999</v>
      </c>
      <c r="AK5" s="38">
        <f>VLOOKUP(P5,'Coefficient Normal'!$A$3:$H$7,6,TRUE)</f>
        <v>0.35830000000000001</v>
      </c>
      <c r="AL5" s="38">
        <f>VLOOKUP(P5,'Coefficient Normal'!$A$3:$H$7,7,TRUE)</f>
        <v>-0.35920000000000002</v>
      </c>
      <c r="AM5" s="38">
        <f>VLOOKUP(P5,'Coefficient Normal'!$A$3:$H$7,8,TRUE)</f>
        <v>-0.2482</v>
      </c>
      <c r="AN5" s="38">
        <f t="shared" si="4"/>
        <v>-8.7846462124065994E-2</v>
      </c>
      <c r="AO5" s="38">
        <f>VLOOKUP(P5,'Coefficient Normal'!$A$10:$P$14,2,TRUE)</f>
        <v>-2.3450000000000002</v>
      </c>
      <c r="AP5" s="38">
        <f>VLOOKUP(P5,'Coefficient Normal'!$A$10:$P$14,3,TRUE)</f>
        <v>0.19470000000000001</v>
      </c>
      <c r="AQ5" s="38">
        <f>VLOOKUP(P5,'Coefficient Normal'!$A$10:$P$14,4,TRUE)</f>
        <v>-0.2044</v>
      </c>
      <c r="AR5" s="38">
        <f>VLOOKUP(P5,'Coefficient Normal'!$A$10:$P$14,5,TRUE)</f>
        <v>0.4143</v>
      </c>
      <c r="AS5" s="38">
        <f>VLOOKUP(P5,'Coefficient Normal'!$A$10:$P$14,6,TRUE)</f>
        <v>-0.55710000000000004</v>
      </c>
      <c r="AT5" s="38">
        <f>VLOOKUP(P5,'Coefficient Normal'!$A$10:$P$14,7,TRUE)</f>
        <v>1.0931</v>
      </c>
      <c r="AU5" s="38">
        <f>VLOOKUP(P5,'Coefficient Normal'!$A$10:$P$14,8,TRUE)</f>
        <v>1E-4</v>
      </c>
      <c r="AV5" s="38">
        <f>VLOOKUP(P5,'Coefficient Normal'!$A$10:$P$14,9,TRUE)</f>
        <v>3.5000000000000001E-3</v>
      </c>
      <c r="AW5" s="38">
        <f>VLOOKUP(P5,'Coefficient Normal'!$A$10:$P$14,10,TRUE)</f>
        <v>-4.07E-2</v>
      </c>
      <c r="AX5" s="38">
        <f>VLOOKUP(P5,'Coefficient Normal'!$A$10:$P$14,11,TRUE)</f>
        <v>1.6000000000000001E-3</v>
      </c>
      <c r="AY5" s="38">
        <f>VLOOKUP(P5,'Coefficient Normal'!$A$10:$P$14,12,TRUE)</f>
        <v>-0.65949999999999998</v>
      </c>
      <c r="AZ5" s="38">
        <f>VLOOKUP(P5,'Coefficient Normal'!$A$10:$P$14,13,TRUE)</f>
        <v>-3.0099999999999998E-2</v>
      </c>
      <c r="BA5" s="38">
        <f>VLOOKUP(P5,'Coefficient Normal'!$A$10:$P$14,14,TRUE)</f>
        <v>0.84219999999999995</v>
      </c>
      <c r="BB5" s="38">
        <f>VLOOKUP(P5,'Coefficient Normal'!$A$10:$P$14,15,TRUE)</f>
        <v>0.50680000000000003</v>
      </c>
      <c r="BC5" s="5">
        <f t="shared" si="23"/>
        <v>0</v>
      </c>
      <c r="BD5" s="5">
        <f t="shared" si="5"/>
        <v>0</v>
      </c>
      <c r="BE5" s="5">
        <f t="shared" si="24"/>
        <v>0</v>
      </c>
      <c r="BF5" s="38">
        <f t="shared" si="6"/>
        <v>0.71877833821449522</v>
      </c>
      <c r="BG5" s="1">
        <v>2.5498958799999998</v>
      </c>
      <c r="BH5">
        <f t="shared" si="25"/>
        <v>0.93605252696416252</v>
      </c>
      <c r="BI5" s="38">
        <f t="shared" si="26"/>
        <v>1.0238989890882286</v>
      </c>
      <c r="BJ5" s="38">
        <f t="shared" si="27"/>
        <v>0.73595641387633859</v>
      </c>
      <c r="BK5" s="38">
        <f t="shared" si="28"/>
        <v>0.7323175464331303</v>
      </c>
      <c r="BL5" s="38">
        <f t="shared" si="29"/>
        <v>0</v>
      </c>
      <c r="BM5" s="38">
        <f t="shared" si="30"/>
        <v>2.3088079789496434</v>
      </c>
      <c r="BN5" s="38">
        <f t="shared" si="7"/>
        <v>0.49725308974858501</v>
      </c>
      <c r="BO5" s="38">
        <f t="shared" si="31"/>
        <v>1.9293350290076969</v>
      </c>
      <c r="BP5" s="3">
        <f t="shared" si="32"/>
        <v>6.8849304400058262</v>
      </c>
      <c r="BQ5">
        <f>VLOOKUP(P5,'Coefficient Normal'!$A$10:$P$14,16,TRUE)</f>
        <v>0.43780000000000002</v>
      </c>
      <c r="BR5">
        <v>0.3</v>
      </c>
    </row>
    <row r="6" spans="1:70" x14ac:dyDescent="0.25">
      <c r="A6" s="1">
        <v>4</v>
      </c>
      <c r="B6">
        <v>0.89600000000000002</v>
      </c>
      <c r="C6">
        <f t="shared" si="8"/>
        <v>896</v>
      </c>
      <c r="D6">
        <v>9.5250000000000005E-3</v>
      </c>
      <c r="E6">
        <f t="shared" si="8"/>
        <v>9.5250000000000004</v>
      </c>
      <c r="F6" s="4">
        <f t="shared" si="9"/>
        <v>94.068241469816272</v>
      </c>
      <c r="G6" s="1">
        <v>300</v>
      </c>
      <c r="H6" s="10" t="s">
        <v>117</v>
      </c>
      <c r="I6" s="144">
        <f t="shared" si="10"/>
        <v>8</v>
      </c>
      <c r="J6" s="144">
        <f t="shared" si="11"/>
        <v>10</v>
      </c>
      <c r="K6" s="144">
        <f t="shared" si="12"/>
        <v>359000</v>
      </c>
      <c r="L6" s="144">
        <f t="shared" si="13"/>
        <v>455000</v>
      </c>
      <c r="M6" s="144">
        <f t="shared" si="14"/>
        <v>1.9969902892117808</v>
      </c>
      <c r="N6" s="4">
        <f>100*IF(H6='Estimation Model Normal-Slip'!$J$8,'Estimation Model Normal-Slip'!$O$8,IF(H6='Estimation Model Normal-Slip'!$J$9,'Estimation Model Normal-Slip'!$O$9,IF(H6='Estimation Model Normal-Slip'!$J$10,'Estimation Model Normal-Slip'!$O$10,IF(H6='Estimation Model Normal-Slip'!$J$11,'Estimation Model Normal-Slip'!$O$11,IF(H6='Estimation Model Normal-Slip'!$J$12,'Estimation Model Normal-Slip'!$O$12,IF(H6='Estimation Model Normal-Slip'!$J$13,'Estimation Model Normal-Slip'!$O$13,2))))))</f>
        <v>1.9041242414694344</v>
      </c>
      <c r="O6" s="144">
        <f t="shared" si="15"/>
        <v>0.69164119173371341</v>
      </c>
      <c r="P6" s="1">
        <v>90</v>
      </c>
      <c r="Q6" s="1" t="s">
        <v>10</v>
      </c>
      <c r="R6" t="s">
        <v>265</v>
      </c>
      <c r="S6">
        <f t="shared" si="16"/>
        <v>17.5</v>
      </c>
      <c r="T6" s="1">
        <f t="shared" si="17"/>
        <v>0</v>
      </c>
      <c r="U6">
        <f t="shared" si="18"/>
        <v>37.5</v>
      </c>
      <c r="V6">
        <f t="shared" si="19"/>
        <v>1.1000000000000001</v>
      </c>
      <c r="W6">
        <v>0.9</v>
      </c>
      <c r="X6" s="1">
        <v>2.5</v>
      </c>
      <c r="Y6" s="1">
        <f t="shared" si="0"/>
        <v>2.7901785714285712</v>
      </c>
      <c r="Z6">
        <f t="shared" si="20"/>
        <v>116.11326447667876</v>
      </c>
      <c r="AA6">
        <f>IF(R6="medium dense",'Coefficient Normal'!$E$18 + ('Coefficient Normal'!$E$19*Y6) + ('Coefficient Normal'!$E$20*(Y6^2)) + ('Coefficient Normal'!$E$21*(Y6^3)) + ('Coefficient Normal'!$E$22*(Y6^4)),IF(R6="dense",'Coefficient Normal'!$F$18 + ('Coefficient Normal'!$F$19*Y6) + ('Coefficient Normal'!$F$20*(Y6^2)) + ('Coefficient Normal'!$F$21*(Y6^3)) + ('Coefficient Normal'!$F$22*(Y6^4)),IF(R6="very dense",'Coefficient Normal'!$G$18 + ('Coefficient Normal'!$G$19*Y6) + ('Coefficient Normal'!$G$20*(Y6^2)) + ('Coefficient Normal'!$G$21*(Y6^3)) + ('Coefficient Normal'!$G$22*(Y6^4)),0)))</f>
        <v>0</v>
      </c>
      <c r="AB6">
        <f t="shared" si="21"/>
        <v>0</v>
      </c>
      <c r="AC6">
        <f t="shared" si="1"/>
        <v>172.70400000000001</v>
      </c>
      <c r="AD6">
        <f t="shared" si="22"/>
        <v>5.1515791464362319</v>
      </c>
      <c r="AE6">
        <f t="shared" si="2"/>
        <v>4.5440204919621658</v>
      </c>
      <c r="AF6">
        <f t="shared" si="3"/>
        <v>4.7545661326228839</v>
      </c>
      <c r="AG6" s="38">
        <f>VLOOKUP(P6,'Coefficient Normal'!$A$3:$H$7,2,TRUE)</f>
        <v>14.575100000000001</v>
      </c>
      <c r="AH6" s="38">
        <f>VLOOKUP(P6,'Coefficient Normal'!$A$3:$H$7,3,TRUE)</f>
        <v>0.1356</v>
      </c>
      <c r="AI6" s="38">
        <f>VLOOKUP(P6,'Coefficient Normal'!$A$3:$H$7,4,TRUE)</f>
        <v>2.9990000000000001</v>
      </c>
      <c r="AJ6" s="38">
        <f>VLOOKUP(P6,'Coefficient Normal'!$A$3:$H$7,5,TRUE)</f>
        <v>-0.94710000000000005</v>
      </c>
      <c r="AK6" s="38">
        <f>VLOOKUP(P6,'Coefficient Normal'!$A$3:$H$7,6,TRUE)</f>
        <v>0.6603</v>
      </c>
      <c r="AL6" s="38">
        <f>VLOOKUP(P6,'Coefficient Normal'!$A$3:$H$7,7,TRUE)</f>
        <v>-1.2488999999999999</v>
      </c>
      <c r="AM6" s="38">
        <f>VLOOKUP(P6,'Coefficient Normal'!$A$3:$H$7,8,TRUE)</f>
        <v>-0.44140000000000001</v>
      </c>
      <c r="AN6" s="38">
        <f t="shared" si="4"/>
        <v>2.6397743044482214</v>
      </c>
      <c r="AO6" s="38">
        <f>VLOOKUP(P6,'Coefficient Normal'!$A$10:$P$14,2,TRUE)</f>
        <v>5.1353999999999997</v>
      </c>
      <c r="AP6" s="38">
        <f>VLOOKUP(P6,'Coefficient Normal'!$A$10:$P$14,3,TRUE)</f>
        <v>-4.9599999999999998E-2</v>
      </c>
      <c r="AQ6" s="38">
        <f>VLOOKUP(P6,'Coefficient Normal'!$A$10:$P$14,4,TRUE)</f>
        <v>0.44590000000000002</v>
      </c>
      <c r="AR6" s="38">
        <f>VLOOKUP(P6,'Coefficient Normal'!$A$10:$P$14,5,TRUE)</f>
        <v>-0.83709999999999996</v>
      </c>
      <c r="AS6" s="38">
        <f>VLOOKUP(P6,'Coefficient Normal'!$A$10:$P$14,6,TRUE)</f>
        <v>0.63090000000000002</v>
      </c>
      <c r="AT6" s="38">
        <f>VLOOKUP(P6,'Coefficient Normal'!$A$10:$P$14,7,TRUE)</f>
        <v>0.91390000000000005</v>
      </c>
      <c r="AU6" s="38">
        <f>VLOOKUP(P6,'Coefficient Normal'!$A$10:$P$14,8,TRUE)</f>
        <v>2.5000000000000001E-3</v>
      </c>
      <c r="AV6" s="38">
        <f>VLOOKUP(P6,'Coefficient Normal'!$A$10:$P$14,9,TRUE)</f>
        <v>1.6000000000000001E-3</v>
      </c>
      <c r="AW6" s="38">
        <f>VLOOKUP(P6,'Coefficient Normal'!$A$10:$P$14,10,TRUE)</f>
        <v>-9.7500000000000003E-2</v>
      </c>
      <c r="AX6" s="38">
        <f>VLOOKUP(P6,'Coefficient Normal'!$A$10:$P$14,11,TRUE)</f>
        <v>1.1999999999999999E-3</v>
      </c>
      <c r="AY6" s="38">
        <f>VLOOKUP(P6,'Coefficient Normal'!$A$10:$P$14,12,TRUE)</f>
        <v>0.46479999999999999</v>
      </c>
      <c r="AZ6" s="38">
        <f>VLOOKUP(P6,'Coefficient Normal'!$A$10:$P$14,13,TRUE)</f>
        <v>8.0000000000000004E-4</v>
      </c>
      <c r="BA6" s="38">
        <f>VLOOKUP(P6,'Coefficient Normal'!$A$10:$P$14,14,TRUE)</f>
        <v>6.7900000000000002E-2</v>
      </c>
      <c r="BB6" s="38">
        <f>VLOOKUP(P6,'Coefficient Normal'!$A$10:$P$14,15,TRUE)</f>
        <v>0.58979999999999999</v>
      </c>
      <c r="BC6" s="5">
        <f t="shared" si="23"/>
        <v>1</v>
      </c>
      <c r="BD6" s="5">
        <f t="shared" si="5"/>
        <v>0</v>
      </c>
      <c r="BE6" s="5">
        <f t="shared" si="24"/>
        <v>0</v>
      </c>
      <c r="BF6" s="38">
        <f t="shared" si="6"/>
        <v>1.2195650509554765</v>
      </c>
      <c r="BG6" s="1">
        <v>2.699997304</v>
      </c>
      <c r="BH6">
        <f t="shared" si="25"/>
        <v>0.99325077449126642</v>
      </c>
      <c r="BI6" s="38">
        <f t="shared" si="26"/>
        <v>-1.6465235299569549</v>
      </c>
      <c r="BJ6" s="38">
        <f t="shared" si="27"/>
        <v>-2.0080425527113448</v>
      </c>
      <c r="BK6" s="38">
        <f t="shared" si="28"/>
        <v>-0.22538341640132342</v>
      </c>
      <c r="BL6" s="38">
        <f t="shared" si="29"/>
        <v>0</v>
      </c>
      <c r="BM6" s="38">
        <f t="shared" si="30"/>
        <v>-4.3123869034817695</v>
      </c>
      <c r="BN6" s="38">
        <f t="shared" si="7"/>
        <v>-6.928219896394662E-2</v>
      </c>
      <c r="BO6" s="38">
        <f t="shared" si="31"/>
        <v>-1.4796950715583848</v>
      </c>
      <c r="BP6" s="3">
        <f t="shared" si="32"/>
        <v>0.22770711217349057</v>
      </c>
      <c r="BQ6">
        <f>VLOOKUP(P6,'Coefficient Normal'!$A$10:$P$14,16,TRUE)</f>
        <v>0.34749999999999998</v>
      </c>
      <c r="BR6">
        <v>0.3</v>
      </c>
    </row>
    <row r="7" spans="1:70" x14ac:dyDescent="0.25">
      <c r="A7" s="1">
        <v>5</v>
      </c>
      <c r="B7">
        <v>0.5</v>
      </c>
      <c r="C7">
        <f t="shared" si="8"/>
        <v>500</v>
      </c>
      <c r="D7">
        <v>9.5250000000000005E-3</v>
      </c>
      <c r="E7">
        <f t="shared" si="8"/>
        <v>9.5250000000000004</v>
      </c>
      <c r="F7" s="4">
        <f t="shared" si="9"/>
        <v>52.493438320209975</v>
      </c>
      <c r="G7" s="1">
        <v>30</v>
      </c>
      <c r="H7" s="10" t="s">
        <v>119</v>
      </c>
      <c r="I7" s="144">
        <f t="shared" si="10"/>
        <v>14</v>
      </c>
      <c r="J7" s="144">
        <f t="shared" si="11"/>
        <v>15</v>
      </c>
      <c r="K7" s="144">
        <f t="shared" si="12"/>
        <v>483000</v>
      </c>
      <c r="L7" s="144">
        <f t="shared" si="13"/>
        <v>565000</v>
      </c>
      <c r="M7" s="144">
        <f t="shared" si="14"/>
        <v>2.8799444073326219</v>
      </c>
      <c r="N7" s="4">
        <f>100*IF(H7='Estimation Model Normal-Slip'!$J$8,'Estimation Model Normal-Slip'!$O$8,IF(H7='Estimation Model Normal-Slip'!$J$9,'Estimation Model Normal-Slip'!$O$9,IF(H7='Estimation Model Normal-Slip'!$J$10,'Estimation Model Normal-Slip'!$O$10,IF(H7='Estimation Model Normal-Slip'!$J$11,'Estimation Model Normal-Slip'!$O$11,IF(H7='Estimation Model Normal-Slip'!$J$12,'Estimation Model Normal-Slip'!$O$12,IF(H7='Estimation Model Normal-Slip'!$J$13,'Estimation Model Normal-Slip'!$O$13,2))))))</f>
        <v>2.7690517990613435</v>
      </c>
      <c r="O7" s="144">
        <f t="shared" si="15"/>
        <v>1.0577709909520427</v>
      </c>
      <c r="P7" s="1">
        <v>45</v>
      </c>
      <c r="Q7" s="1" t="s">
        <v>10</v>
      </c>
      <c r="R7" t="s">
        <v>269</v>
      </c>
      <c r="S7">
        <f t="shared" si="16"/>
        <v>18</v>
      </c>
      <c r="T7" s="1">
        <f t="shared" si="17"/>
        <v>0</v>
      </c>
      <c r="U7">
        <f t="shared" si="18"/>
        <v>75</v>
      </c>
      <c r="V7">
        <f t="shared" si="19"/>
        <v>0.72</v>
      </c>
      <c r="W7">
        <v>0.9</v>
      </c>
      <c r="X7" s="1">
        <v>1</v>
      </c>
      <c r="Y7" s="1">
        <f t="shared" si="0"/>
        <v>2</v>
      </c>
      <c r="Z7">
        <f t="shared" si="20"/>
        <v>84.823001646924411</v>
      </c>
      <c r="AA7">
        <f>IF(R7="medium dense",'Coefficient Normal'!$E$18 + ('Coefficient Normal'!$E$19*Y7) + ('Coefficient Normal'!$E$20*(Y7^2)) + ('Coefficient Normal'!$E$21*(Y7^3)) + ('Coefficient Normal'!$E$22*(Y7^4)),IF(R7="dense",'Coefficient Normal'!$F$18 + ('Coefficient Normal'!$F$19*Y7) + ('Coefficient Normal'!$F$20*(Y7^2)) + ('Coefficient Normal'!$F$21*(Y7^3)) + ('Coefficient Normal'!$F$22*(Y7^4)),IF(R7="very dense",'Coefficient Normal'!$G$18 + ('Coefficient Normal'!$G$19*Y7) + ('Coefficient Normal'!$G$20*(Y7^2)) + ('Coefficient Normal'!$G$21*(Y7^3)) + ('Coefficient Normal'!$G$22*(Y7^4)),0)))</f>
        <v>0</v>
      </c>
      <c r="AB7">
        <f t="shared" si="21"/>
        <v>0</v>
      </c>
      <c r="AC7">
        <f t="shared" si="1"/>
        <v>192.75</v>
      </c>
      <c r="AD7">
        <f t="shared" si="22"/>
        <v>5.2613940124434393</v>
      </c>
      <c r="AE7">
        <f t="shared" si="2"/>
        <v>3.9606881774094269</v>
      </c>
      <c r="AF7">
        <f t="shared" si="3"/>
        <v>4.4405667518537291</v>
      </c>
      <c r="AG7" s="38">
        <f>VLOOKUP(P7,'Coefficient Normal'!$A$3:$H$7,2,TRUE)</f>
        <v>3.7532999999999999</v>
      </c>
      <c r="AH7" s="38">
        <f>VLOOKUP(P7,'Coefficient Normal'!$A$3:$H$7,3,TRUE)</f>
        <v>0.14510000000000001</v>
      </c>
      <c r="AI7" s="38">
        <f>VLOOKUP(P7,'Coefficient Normal'!$A$3:$H$7,4,TRUE)</f>
        <v>1.2497</v>
      </c>
      <c r="AJ7" s="38">
        <f>VLOOKUP(P7,'Coefficient Normal'!$A$3:$H$7,5,TRUE)</f>
        <v>-0.46100000000000002</v>
      </c>
      <c r="AK7" s="38">
        <f>VLOOKUP(P7,'Coefficient Normal'!$A$3:$H$7,6,TRUE)</f>
        <v>0.39140000000000003</v>
      </c>
      <c r="AL7" s="38">
        <f>VLOOKUP(P7,'Coefficient Normal'!$A$3:$H$7,7,TRUE)</f>
        <v>-0.21310000000000001</v>
      </c>
      <c r="AM7" s="38">
        <f>VLOOKUP(P7,'Coefficient Normal'!$A$3:$H$7,8,TRUE)</f>
        <v>-0.34139999999999998</v>
      </c>
      <c r="AN7" s="38">
        <f t="shared" si="4"/>
        <v>-0.66849052852826096</v>
      </c>
      <c r="AO7" s="38">
        <f>VLOOKUP(P7,'Coefficient Normal'!$A$10:$P$14,2,TRUE)</f>
        <v>-1.1082000000000001</v>
      </c>
      <c r="AP7" s="38">
        <f>VLOOKUP(P7,'Coefficient Normal'!$A$10:$P$14,3,TRUE)</f>
        <v>0.10630000000000001</v>
      </c>
      <c r="AQ7" s="38">
        <f>VLOOKUP(P7,'Coefficient Normal'!$A$10:$P$14,4,TRUE)</f>
        <v>-0.1439</v>
      </c>
      <c r="AR7" s="38">
        <f>VLOOKUP(P7,'Coefficient Normal'!$A$10:$P$14,5,TRUE)</f>
        <v>0.27879999999999999</v>
      </c>
      <c r="AS7" s="38">
        <f>VLOOKUP(P7,'Coefficient Normal'!$A$10:$P$14,6,TRUE)</f>
        <v>-0.31030000000000002</v>
      </c>
      <c r="AT7" s="38">
        <f>VLOOKUP(P7,'Coefficient Normal'!$A$10:$P$14,7,TRUE)</f>
        <v>1.2553000000000001</v>
      </c>
      <c r="AU7" s="38">
        <f>VLOOKUP(P7,'Coefficient Normal'!$A$10:$P$14,8,TRUE)</f>
        <v>2.9999999999999997E-4</v>
      </c>
      <c r="AV7" s="38">
        <f>VLOOKUP(P7,'Coefficient Normal'!$A$10:$P$14,9,TRUE)</f>
        <v>5.1999999999999998E-3</v>
      </c>
      <c r="AW7" s="38">
        <f>VLOOKUP(P7,'Coefficient Normal'!$A$10:$P$14,10,TRUE)</f>
        <v>-8.5900000000000004E-2</v>
      </c>
      <c r="AX7" s="38">
        <f>VLOOKUP(P7,'Coefficient Normal'!$A$10:$P$14,11,TRUE)</f>
        <v>5.9999999999999995E-4</v>
      </c>
      <c r="AY7" s="38">
        <f>VLOOKUP(P7,'Coefficient Normal'!$A$10:$P$14,12,TRUE)</f>
        <v>-0.21759999999999999</v>
      </c>
      <c r="AZ7" s="38">
        <f>VLOOKUP(P7,'Coefficient Normal'!$A$10:$P$14,13,TRUE)</f>
        <v>-2.69E-2</v>
      </c>
      <c r="BA7" s="38">
        <f>VLOOKUP(P7,'Coefficient Normal'!$A$10:$P$14,14,TRUE)</f>
        <v>0.57389999999999997</v>
      </c>
      <c r="BB7" s="38">
        <f>VLOOKUP(P7,'Coefficient Normal'!$A$10:$P$14,15,TRUE)</f>
        <v>0.34460000000000002</v>
      </c>
      <c r="BC7" s="5">
        <f t="shared" si="23"/>
        <v>0</v>
      </c>
      <c r="BD7" s="5">
        <f t="shared" si="5"/>
        <v>1</v>
      </c>
      <c r="BE7" s="5">
        <f t="shared" si="24"/>
        <v>0</v>
      </c>
      <c r="BF7" s="38">
        <f t="shared" si="6"/>
        <v>2.0299078834820738</v>
      </c>
      <c r="BG7" s="1">
        <v>2.8500987279999999</v>
      </c>
      <c r="BH7">
        <f t="shared" si="25"/>
        <v>1.0473536350840684</v>
      </c>
      <c r="BI7" s="38">
        <f t="shared" si="26"/>
        <v>1.7158441636123294</v>
      </c>
      <c r="BJ7" s="38">
        <f t="shared" si="27"/>
        <v>3.4830055945433727</v>
      </c>
      <c r="BK7" s="38">
        <f t="shared" si="28"/>
        <v>0.42102115325862211</v>
      </c>
      <c r="BL7" s="38">
        <f t="shared" si="29"/>
        <v>0</v>
      </c>
      <c r="BM7" s="38">
        <f t="shared" si="30"/>
        <v>1.4668766506692308</v>
      </c>
      <c r="BN7" s="38">
        <f t="shared" si="7"/>
        <v>0.21508357012775103</v>
      </c>
      <c r="BO7" s="38">
        <f t="shared" si="31"/>
        <v>4.4777869685989762</v>
      </c>
      <c r="BP7" s="3">
        <f t="shared" si="32"/>
        <v>88.03962248006998</v>
      </c>
      <c r="BQ7">
        <f>VLOOKUP(P7,'Coefficient Normal'!$A$10:$P$14,16,TRUE)</f>
        <v>0.3997</v>
      </c>
      <c r="BR7">
        <v>0.3</v>
      </c>
    </row>
    <row r="8" spans="1:70" x14ac:dyDescent="0.25">
      <c r="A8" s="1">
        <v>6</v>
      </c>
      <c r="B8">
        <v>1.0668</v>
      </c>
      <c r="C8">
        <f t="shared" si="8"/>
        <v>1066.8</v>
      </c>
      <c r="D8">
        <v>9.5250000000000005E-3</v>
      </c>
      <c r="E8">
        <f t="shared" si="8"/>
        <v>9.5250000000000004</v>
      </c>
      <c r="F8" s="4">
        <f t="shared" si="9"/>
        <v>111.99999999999999</v>
      </c>
      <c r="G8" s="1">
        <v>50</v>
      </c>
      <c r="H8" s="10" t="s">
        <v>120</v>
      </c>
      <c r="I8" s="144">
        <f t="shared" si="10"/>
        <v>15</v>
      </c>
      <c r="J8" s="144">
        <f t="shared" si="11"/>
        <v>20</v>
      </c>
      <c r="K8" s="144">
        <f t="shared" si="12"/>
        <v>552000</v>
      </c>
      <c r="L8" s="144">
        <f t="shared" si="13"/>
        <v>625000</v>
      </c>
      <c r="M8" s="144">
        <f t="shared" si="14"/>
        <v>2.9888368774026359</v>
      </c>
      <c r="N8" s="4">
        <f>100*IF(H8='Estimation Model Normal-Slip'!$J$8,'Estimation Model Normal-Slip'!$O$8,IF(H8='Estimation Model Normal-Slip'!$J$9,'Estimation Model Normal-Slip'!$O$9,IF(H8='Estimation Model Normal-Slip'!$J$10,'Estimation Model Normal-Slip'!$O$10,IF(H8='Estimation Model Normal-Slip'!$J$11,'Estimation Model Normal-Slip'!$O$11,IF(H8='Estimation Model Normal-Slip'!$J$12,'Estimation Model Normal-Slip'!$O$12,IF(H8='Estimation Model Normal-Slip'!$J$13,'Estimation Model Normal-Slip'!$O$13,2))))))</f>
        <v>2.8464933991254466</v>
      </c>
      <c r="O8" s="144">
        <f t="shared" si="15"/>
        <v>1.0948843075076633</v>
      </c>
      <c r="P8" s="1">
        <v>60</v>
      </c>
      <c r="Q8" s="1" t="s">
        <v>10</v>
      </c>
      <c r="R8" t="s">
        <v>266</v>
      </c>
      <c r="S8">
        <f t="shared" si="16"/>
        <v>18.5</v>
      </c>
      <c r="T8" s="1">
        <f t="shared" si="17"/>
        <v>0</v>
      </c>
      <c r="U8">
        <f t="shared" si="18"/>
        <v>125</v>
      </c>
      <c r="V8">
        <f t="shared" si="19"/>
        <v>0.4</v>
      </c>
      <c r="W8">
        <v>0.9</v>
      </c>
      <c r="X8" s="1">
        <v>1.2</v>
      </c>
      <c r="Y8" s="1">
        <f t="shared" si="0"/>
        <v>1.8</v>
      </c>
      <c r="Z8">
        <f t="shared" si="20"/>
        <v>167.57255214247957</v>
      </c>
      <c r="AA8">
        <f>IF(R8="medium dense",'Coefficient Normal'!$E$18 + ('Coefficient Normal'!$E$19*Y8) + ('Coefficient Normal'!$E$20*(Y8^2)) + ('Coefficient Normal'!$E$21*(Y8^3)) + ('Coefficient Normal'!$E$22*(Y8^4)),IF(R8="dense",'Coefficient Normal'!$F$18 + ('Coefficient Normal'!$F$19*Y8) + ('Coefficient Normal'!$F$20*(Y8^2)) + ('Coefficient Normal'!$F$21*(Y8^3)) + ('Coefficient Normal'!$F$22*(Y8^4)),IF(R8="very dense",'Coefficient Normal'!$G$18 + ('Coefficient Normal'!$G$19*Y8) + ('Coefficient Normal'!$G$20*(Y8^2)) + ('Coefficient Normal'!$G$21*(Y8^3)) + ('Coefficient Normal'!$G$22*(Y8^4)),0)))</f>
        <v>0</v>
      </c>
      <c r="AB8">
        <f t="shared" si="21"/>
        <v>0</v>
      </c>
      <c r="AC8">
        <f t="shared" si="1"/>
        <v>685.41899999999998</v>
      </c>
      <c r="AD8">
        <f t="shared" si="22"/>
        <v>6.530030330095097</v>
      </c>
      <c r="AE8">
        <f t="shared" si="2"/>
        <v>4.7184988712950942</v>
      </c>
      <c r="AF8">
        <f t="shared" si="3"/>
        <v>5.1214164046032682</v>
      </c>
      <c r="AG8" s="38">
        <f>VLOOKUP(P8,'Coefficient Normal'!$A$3:$H$7,2,TRUE)</f>
        <v>4.3182999999999998</v>
      </c>
      <c r="AH8" s="38">
        <f>VLOOKUP(P8,'Coefficient Normal'!$A$3:$H$7,3,TRUE)</f>
        <v>-2.7900000000000001E-2</v>
      </c>
      <c r="AI8" s="38">
        <f>VLOOKUP(P8,'Coefficient Normal'!$A$3:$H$7,4,TRUE)</f>
        <v>1.0497000000000001</v>
      </c>
      <c r="AJ8" s="38">
        <f>VLOOKUP(P8,'Coefficient Normal'!$A$3:$H$7,5,TRUE)</f>
        <v>-0.46910000000000002</v>
      </c>
      <c r="AK8" s="38">
        <f>VLOOKUP(P8,'Coefficient Normal'!$A$3:$H$7,6,TRUE)</f>
        <v>0.29149999999999998</v>
      </c>
      <c r="AL8" s="38">
        <f>VLOOKUP(P8,'Coefficient Normal'!$A$3:$H$7,7,TRUE)</f>
        <v>-0.28610000000000002</v>
      </c>
      <c r="AM8" s="38">
        <f>VLOOKUP(P8,'Coefficient Normal'!$A$3:$H$7,8,TRUE)</f>
        <v>-0.1348</v>
      </c>
      <c r="AN8" s="38">
        <f t="shared" si="4"/>
        <v>-0.17586580558020715</v>
      </c>
      <c r="AO8" s="38">
        <f>VLOOKUP(P8,'Coefficient Normal'!$A$10:$P$14,2,TRUE)</f>
        <v>-2.1276999999999999</v>
      </c>
      <c r="AP8" s="38">
        <f>VLOOKUP(P8,'Coefficient Normal'!$A$10:$P$14,3,TRUE)</f>
        <v>0.14760000000000001</v>
      </c>
      <c r="AQ8" s="38">
        <f>VLOOKUP(P8,'Coefficient Normal'!$A$10:$P$14,4,TRUE)</f>
        <v>-0.21829999999999999</v>
      </c>
      <c r="AR8" s="38">
        <f>VLOOKUP(P8,'Coefficient Normal'!$A$10:$P$14,5,TRUE)</f>
        <v>0.42270000000000002</v>
      </c>
      <c r="AS8" s="38">
        <f>VLOOKUP(P8,'Coefficient Normal'!$A$10:$P$14,6,TRUE)</f>
        <v>-0.53720000000000001</v>
      </c>
      <c r="AT8" s="38">
        <f>VLOOKUP(P8,'Coefficient Normal'!$A$10:$P$14,7,TRUE)</f>
        <v>1.252</v>
      </c>
      <c r="AU8" s="38">
        <f>VLOOKUP(P8,'Coefficient Normal'!$A$10:$P$14,8,TRUE)</f>
        <v>-5.9999999999999995E-4</v>
      </c>
      <c r="AV8" s="38">
        <f>VLOOKUP(P8,'Coefficient Normal'!$A$10:$P$14,9,TRUE)</f>
        <v>5.3E-3</v>
      </c>
      <c r="AW8" s="38">
        <f>VLOOKUP(P8,'Coefficient Normal'!$A$10:$P$14,10,TRUE)</f>
        <v>-4.8500000000000001E-2</v>
      </c>
      <c r="AX8" s="38">
        <f>VLOOKUP(P8,'Coefficient Normal'!$A$10:$P$14,11,TRUE)</f>
        <v>1.2999999999999999E-3</v>
      </c>
      <c r="AY8" s="38">
        <f>VLOOKUP(P8,'Coefficient Normal'!$A$10:$P$14,12,TRUE)</f>
        <v>-0.56599999999999995</v>
      </c>
      <c r="AZ8" s="38">
        <f>VLOOKUP(P8,'Coefficient Normal'!$A$10:$P$14,13,TRUE)</f>
        <v>-3.2099999999999997E-2</v>
      </c>
      <c r="BA8" s="38">
        <f>VLOOKUP(P8,'Coefficient Normal'!$A$10:$P$14,14,TRUE)</f>
        <v>0.84970000000000001</v>
      </c>
      <c r="BB8" s="38">
        <f>VLOOKUP(P8,'Coefficient Normal'!$A$10:$P$14,15,TRUE)</f>
        <v>9.01E-2</v>
      </c>
      <c r="BC8" s="5">
        <f t="shared" si="23"/>
        <v>0</v>
      </c>
      <c r="BD8" s="5">
        <f t="shared" si="5"/>
        <v>1</v>
      </c>
      <c r="BE8" s="5">
        <f t="shared" si="24"/>
        <v>0</v>
      </c>
      <c r="BF8" s="38">
        <f t="shared" si="6"/>
        <v>1.1376490761064402</v>
      </c>
      <c r="BG8" s="1">
        <v>3.0002260330000001</v>
      </c>
      <c r="BH8">
        <f t="shared" si="25"/>
        <v>1.0986876301632014</v>
      </c>
      <c r="BI8" s="38">
        <f t="shared" si="26"/>
        <v>1.2745534357434085</v>
      </c>
      <c r="BJ8" s="38">
        <f t="shared" si="27"/>
        <v>1.4499945386217779</v>
      </c>
      <c r="BK8" s="38">
        <f t="shared" si="28"/>
        <v>0.69645043340315593</v>
      </c>
      <c r="BL8" s="38">
        <f t="shared" si="29"/>
        <v>0</v>
      </c>
      <c r="BM8" s="38">
        <f t="shared" si="30"/>
        <v>2.7602438205311977</v>
      </c>
      <c r="BN8" s="38">
        <f t="shared" si="7"/>
        <v>-3.4737239358577927E-2</v>
      </c>
      <c r="BO8" s="38">
        <f t="shared" si="31"/>
        <v>2.7442515531975533</v>
      </c>
      <c r="BP8" s="3">
        <f t="shared" si="32"/>
        <v>15.552969005003565</v>
      </c>
      <c r="BQ8">
        <f>VLOOKUP(P8,'Coefficient Normal'!$A$10:$P$14,16,TRUE)</f>
        <v>0.50170000000000003</v>
      </c>
      <c r="BR8">
        <v>0.3</v>
      </c>
    </row>
    <row r="9" spans="1:70" x14ac:dyDescent="0.25">
      <c r="A9" s="1">
        <v>7</v>
      </c>
      <c r="B9">
        <v>0.60960000000000003</v>
      </c>
      <c r="C9">
        <f t="shared" si="8"/>
        <v>609.6</v>
      </c>
      <c r="D9">
        <v>9.5250000000000005E-3</v>
      </c>
      <c r="E9">
        <f t="shared" si="8"/>
        <v>9.5250000000000004</v>
      </c>
      <c r="F9" s="4">
        <f t="shared" si="9"/>
        <v>64</v>
      </c>
      <c r="G9" s="1">
        <v>100</v>
      </c>
      <c r="H9" s="10" t="s">
        <v>117</v>
      </c>
      <c r="I9" s="144">
        <f t="shared" si="10"/>
        <v>8</v>
      </c>
      <c r="J9" s="144">
        <f t="shared" si="11"/>
        <v>10</v>
      </c>
      <c r="K9" s="144">
        <f t="shared" si="12"/>
        <v>359000</v>
      </c>
      <c r="L9" s="144">
        <f t="shared" si="13"/>
        <v>455000</v>
      </c>
      <c r="M9" s="144">
        <f t="shared" si="14"/>
        <v>1.9969902892117808</v>
      </c>
      <c r="N9" s="4">
        <f>100*IF(H9='Estimation Model Normal-Slip'!$J$8,'Estimation Model Normal-Slip'!$O$8,IF(H9='Estimation Model Normal-Slip'!$J$9,'Estimation Model Normal-Slip'!$O$9,IF(H9='Estimation Model Normal-Slip'!$J$10,'Estimation Model Normal-Slip'!$O$10,IF(H9='Estimation Model Normal-Slip'!$J$11,'Estimation Model Normal-Slip'!$O$11,IF(H9='Estimation Model Normal-Slip'!$J$12,'Estimation Model Normal-Slip'!$O$12,IF(H9='Estimation Model Normal-Slip'!$J$13,'Estimation Model Normal-Slip'!$O$13,2))))))</f>
        <v>1.9041242414694344</v>
      </c>
      <c r="O9" s="144">
        <f t="shared" si="15"/>
        <v>0.69164119173371341</v>
      </c>
      <c r="P9" s="1">
        <v>75</v>
      </c>
      <c r="Q9" s="1" t="s">
        <v>10</v>
      </c>
      <c r="R9" t="s">
        <v>265</v>
      </c>
      <c r="S9">
        <f t="shared" si="16"/>
        <v>17.5</v>
      </c>
      <c r="T9" s="1">
        <f t="shared" si="17"/>
        <v>0</v>
      </c>
      <c r="U9">
        <f t="shared" si="18"/>
        <v>37.5</v>
      </c>
      <c r="V9">
        <f t="shared" si="19"/>
        <v>1.1000000000000001</v>
      </c>
      <c r="W9">
        <v>0.9</v>
      </c>
      <c r="X9" s="1">
        <v>0.78739999999999999</v>
      </c>
      <c r="Y9" s="1">
        <f t="shared" si="0"/>
        <v>1.8</v>
      </c>
      <c r="Z9">
        <f t="shared" si="20"/>
        <v>78.998488867168945</v>
      </c>
      <c r="AA9">
        <f>IF(R9="medium dense",'Coefficient Normal'!$E$18 + ('Coefficient Normal'!$E$19*Y9) + ('Coefficient Normal'!$E$20*(Y9^2)) + ('Coefficient Normal'!$E$21*(Y9^3)) + ('Coefficient Normal'!$E$22*(Y9^4)),IF(R9="dense",'Coefficient Normal'!$F$18 + ('Coefficient Normal'!$F$19*Y9) + ('Coefficient Normal'!$F$20*(Y9^2)) + ('Coefficient Normal'!$F$21*(Y9^3)) + ('Coefficient Normal'!$F$22*(Y9^4)),IF(R9="very dense",'Coefficient Normal'!$G$18 + ('Coefficient Normal'!$G$19*Y9) + ('Coefficient Normal'!$G$20*(Y9^2)) + ('Coefficient Normal'!$G$21*(Y9^3)) + ('Coefficient Normal'!$G$22*(Y9^4)),0)))</f>
        <v>0</v>
      </c>
      <c r="AB9">
        <f t="shared" si="21"/>
        <v>0</v>
      </c>
      <c r="AC9">
        <f t="shared" si="1"/>
        <v>117.5004</v>
      </c>
      <c r="AD9">
        <f t="shared" si="22"/>
        <v>4.7664417378337385</v>
      </c>
      <c r="AE9">
        <f t="shared" si="2"/>
        <v>4.1588830833596715</v>
      </c>
      <c r="AF9">
        <f t="shared" si="3"/>
        <v>4.3694287240203895</v>
      </c>
      <c r="AG9" s="38">
        <f>VLOOKUP(P9,'Coefficient Normal'!$A$3:$H$7,2,TRUE)</f>
        <v>5.5951000000000004</v>
      </c>
      <c r="AH9" s="38">
        <f>VLOOKUP(P9,'Coefficient Normal'!$A$3:$H$7,3,TRUE)</f>
        <v>1.6E-2</v>
      </c>
      <c r="AI9" s="38">
        <f>VLOOKUP(P9,'Coefficient Normal'!$A$3:$H$7,4,TRUE)</f>
        <v>1.2641</v>
      </c>
      <c r="AJ9" s="38">
        <f>VLOOKUP(P9,'Coefficient Normal'!$A$3:$H$7,5,TRUE)</f>
        <v>-0.52429999999999999</v>
      </c>
      <c r="AK9" s="38">
        <f>VLOOKUP(P9,'Coefficient Normal'!$A$3:$H$7,6,TRUE)</f>
        <v>0.35830000000000001</v>
      </c>
      <c r="AL9" s="38">
        <f>VLOOKUP(P9,'Coefficient Normal'!$A$3:$H$7,7,TRUE)</f>
        <v>-0.35920000000000002</v>
      </c>
      <c r="AM9" s="38">
        <f>VLOOKUP(P9,'Coefficient Normal'!$A$3:$H$7,8,TRUE)</f>
        <v>-0.2482</v>
      </c>
      <c r="AN9" s="38">
        <f t="shared" si="4"/>
        <v>0.31382810950266227</v>
      </c>
      <c r="AO9" s="38">
        <f>VLOOKUP(P9,'Coefficient Normal'!$A$10:$P$14,2,TRUE)</f>
        <v>-2.3450000000000002</v>
      </c>
      <c r="AP9" s="38">
        <f>VLOOKUP(P9,'Coefficient Normal'!$A$10:$P$14,3,TRUE)</f>
        <v>0.19470000000000001</v>
      </c>
      <c r="AQ9" s="38">
        <f>VLOOKUP(P9,'Coefficient Normal'!$A$10:$P$14,4,TRUE)</f>
        <v>-0.2044</v>
      </c>
      <c r="AR9" s="38">
        <f>VLOOKUP(P9,'Coefficient Normal'!$A$10:$P$14,5,TRUE)</f>
        <v>0.4143</v>
      </c>
      <c r="AS9" s="38">
        <f>VLOOKUP(P9,'Coefficient Normal'!$A$10:$P$14,6,TRUE)</f>
        <v>-0.55710000000000004</v>
      </c>
      <c r="AT9" s="38">
        <f>VLOOKUP(P9,'Coefficient Normal'!$A$10:$P$14,7,TRUE)</f>
        <v>1.0931</v>
      </c>
      <c r="AU9" s="38">
        <f>VLOOKUP(P9,'Coefficient Normal'!$A$10:$P$14,8,TRUE)</f>
        <v>1E-4</v>
      </c>
      <c r="AV9" s="38">
        <f>VLOOKUP(P9,'Coefficient Normal'!$A$10:$P$14,9,TRUE)</f>
        <v>3.5000000000000001E-3</v>
      </c>
      <c r="AW9" s="38">
        <f>VLOOKUP(P9,'Coefficient Normal'!$A$10:$P$14,10,TRUE)</f>
        <v>-4.07E-2</v>
      </c>
      <c r="AX9" s="38">
        <f>VLOOKUP(P9,'Coefficient Normal'!$A$10:$P$14,11,TRUE)</f>
        <v>1.6000000000000001E-3</v>
      </c>
      <c r="AY9" s="38">
        <f>VLOOKUP(P9,'Coefficient Normal'!$A$10:$P$14,12,TRUE)</f>
        <v>-0.65949999999999998</v>
      </c>
      <c r="AZ9" s="38">
        <f>VLOOKUP(P9,'Coefficient Normal'!$A$10:$P$14,13,TRUE)</f>
        <v>-3.0099999999999998E-2</v>
      </c>
      <c r="BA9" s="38">
        <f>VLOOKUP(P9,'Coefficient Normal'!$A$10:$P$14,14,TRUE)</f>
        <v>0.84219999999999995</v>
      </c>
      <c r="BB9" s="38">
        <f>VLOOKUP(P9,'Coefficient Normal'!$A$10:$P$14,15,TRUE)</f>
        <v>0.50680000000000003</v>
      </c>
      <c r="BC9" s="5">
        <f t="shared" si="23"/>
        <v>1</v>
      </c>
      <c r="BD9" s="5">
        <f t="shared" si="5"/>
        <v>0</v>
      </c>
      <c r="BE9" s="5">
        <f t="shared" si="24"/>
        <v>0</v>
      </c>
      <c r="BF9" s="38">
        <f t="shared" si="6"/>
        <v>1.1626998488867168</v>
      </c>
      <c r="BG9" s="1">
        <v>0.14999670000000001</v>
      </c>
      <c r="BH9">
        <f t="shared" si="25"/>
        <v>-1.8971419851278848</v>
      </c>
      <c r="BI9" s="38">
        <f t="shared" si="26"/>
        <v>-2.2109700946305471</v>
      </c>
      <c r="BJ9" s="38">
        <f t="shared" si="27"/>
        <v>-2.5706945949199871</v>
      </c>
      <c r="BK9" s="38">
        <f t="shared" si="28"/>
        <v>0.80973453633012804</v>
      </c>
      <c r="BL9" s="38">
        <f t="shared" si="29"/>
        <v>0</v>
      </c>
      <c r="BM9" s="38">
        <f t="shared" si="30"/>
        <v>1.9747368119845179</v>
      </c>
      <c r="BN9" s="38">
        <f t="shared" si="7"/>
        <v>0.27573791218506416</v>
      </c>
      <c r="BO9" s="38">
        <f t="shared" si="31"/>
        <v>-1.8554853344202775</v>
      </c>
      <c r="BP9" s="3">
        <f t="shared" si="32"/>
        <v>0.15637702909994644</v>
      </c>
      <c r="BQ9">
        <f>VLOOKUP(P9,'Coefficient Normal'!$A$10:$P$14,16,TRUE)</f>
        <v>0.43780000000000002</v>
      </c>
      <c r="BR9">
        <v>0.3</v>
      </c>
    </row>
    <row r="10" spans="1:70" x14ac:dyDescent="0.25">
      <c r="A10" s="1">
        <v>8</v>
      </c>
      <c r="B10">
        <v>0.40960000000000002</v>
      </c>
      <c r="C10">
        <f t="shared" si="8"/>
        <v>409.6</v>
      </c>
      <c r="D10">
        <v>9.5250000000000005E-3</v>
      </c>
      <c r="E10">
        <f t="shared" si="8"/>
        <v>9.5250000000000004</v>
      </c>
      <c r="F10" s="4">
        <f t="shared" si="9"/>
        <v>43.00262467191601</v>
      </c>
      <c r="G10" s="1">
        <v>300</v>
      </c>
      <c r="H10" s="10" t="s">
        <v>118</v>
      </c>
      <c r="I10" s="144">
        <f t="shared" si="10"/>
        <v>8</v>
      </c>
      <c r="J10" s="144">
        <f t="shared" si="11"/>
        <v>12</v>
      </c>
      <c r="K10" s="144">
        <f t="shared" si="12"/>
        <v>414000</v>
      </c>
      <c r="L10" s="144">
        <f t="shared" si="13"/>
        <v>517000</v>
      </c>
      <c r="M10" s="144">
        <f t="shared" si="14"/>
        <v>2.5466769467238102</v>
      </c>
      <c r="N10" s="4">
        <f>100*IF(H10='Estimation Model Normal-Slip'!$J$8,'Estimation Model Normal-Slip'!$O$8,IF(H10='Estimation Model Normal-Slip'!$J$9,'Estimation Model Normal-Slip'!$O$9,IF(H10='Estimation Model Normal-Slip'!$J$10,'Estimation Model Normal-Slip'!$O$10,IF(H10='Estimation Model Normal-Slip'!$J$11,'Estimation Model Normal-Slip'!$O$11,IF(H10='Estimation Model Normal-Slip'!$J$12,'Estimation Model Normal-Slip'!$O$12,IF(H10='Estimation Model Normal-Slip'!$J$13,'Estimation Model Normal-Slip'!$O$13,2))))))</f>
        <v>2.4313344008036557</v>
      </c>
      <c r="O10" s="144">
        <f t="shared" si="15"/>
        <v>0.93478935117382533</v>
      </c>
      <c r="P10" s="1">
        <v>90</v>
      </c>
      <c r="Q10" s="1" t="s">
        <v>10</v>
      </c>
      <c r="R10" t="s">
        <v>269</v>
      </c>
      <c r="S10">
        <f t="shared" si="16"/>
        <v>18</v>
      </c>
      <c r="T10" s="1">
        <f t="shared" si="17"/>
        <v>0</v>
      </c>
      <c r="U10">
        <f t="shared" si="18"/>
        <v>75</v>
      </c>
      <c r="V10">
        <f t="shared" si="19"/>
        <v>0.72</v>
      </c>
      <c r="W10">
        <v>0.9</v>
      </c>
      <c r="X10" s="1">
        <v>1</v>
      </c>
      <c r="Y10" s="1">
        <f t="shared" si="0"/>
        <v>2.44140625</v>
      </c>
      <c r="Z10">
        <f t="shared" si="20"/>
        <v>69.487002949160484</v>
      </c>
      <c r="AA10">
        <f>IF(R10="medium dense",'Coefficient Normal'!$E$18 + ('Coefficient Normal'!$E$19*Y10) + ('Coefficient Normal'!$E$20*(Y10^2)) + ('Coefficient Normal'!$E$21*(Y10^3)) + ('Coefficient Normal'!$E$22*(Y10^4)),IF(R10="dense",'Coefficient Normal'!$F$18 + ('Coefficient Normal'!$F$19*Y10) + ('Coefficient Normal'!$F$20*(Y10^2)) + ('Coefficient Normal'!$F$21*(Y10^3)) + ('Coefficient Normal'!$F$22*(Y10^4)),IF(R10="very dense",'Coefficient Normal'!$G$18 + ('Coefficient Normal'!$G$19*Y10) + ('Coefficient Normal'!$G$20*(Y10^2)) + ('Coefficient Normal'!$G$21*(Y10^3)) + ('Coefficient Normal'!$G$22*(Y10^4)),0)))</f>
        <v>0</v>
      </c>
      <c r="AB10">
        <f t="shared" si="21"/>
        <v>0</v>
      </c>
      <c r="AC10">
        <f t="shared" si="1"/>
        <v>157.9008</v>
      </c>
      <c r="AD10">
        <f t="shared" si="22"/>
        <v>5.061966987746545</v>
      </c>
      <c r="AE10">
        <f t="shared" si="2"/>
        <v>3.7612611527125335</v>
      </c>
      <c r="AF10">
        <f t="shared" si="3"/>
        <v>4.2411397271568356</v>
      </c>
      <c r="AG10" s="38">
        <f>VLOOKUP(P10,'Coefficient Normal'!$A$3:$H$7,2,TRUE)</f>
        <v>14.575100000000001</v>
      </c>
      <c r="AH10" s="38">
        <f>VLOOKUP(P10,'Coefficient Normal'!$A$3:$H$7,3,TRUE)</f>
        <v>0.1356</v>
      </c>
      <c r="AI10" s="38">
        <f>VLOOKUP(P10,'Coefficient Normal'!$A$3:$H$7,4,TRUE)</f>
        <v>2.9990000000000001</v>
      </c>
      <c r="AJ10" s="38">
        <f>VLOOKUP(P10,'Coefficient Normal'!$A$3:$H$7,5,TRUE)</f>
        <v>-0.94710000000000005</v>
      </c>
      <c r="AK10" s="38">
        <f>VLOOKUP(P10,'Coefficient Normal'!$A$3:$H$7,6,TRUE)</f>
        <v>0.6603</v>
      </c>
      <c r="AL10" s="38">
        <f>VLOOKUP(P10,'Coefficient Normal'!$A$3:$H$7,7,TRUE)</f>
        <v>-1.2488999999999999</v>
      </c>
      <c r="AM10" s="38">
        <f>VLOOKUP(P10,'Coefficient Normal'!$A$3:$H$7,8,TRUE)</f>
        <v>-0.44140000000000001</v>
      </c>
      <c r="AN10" s="38">
        <f t="shared" si="4"/>
        <v>1.5327241862804701</v>
      </c>
      <c r="AO10" s="38">
        <f>VLOOKUP(P10,'Coefficient Normal'!$A$10:$P$14,2,TRUE)</f>
        <v>5.1353999999999997</v>
      </c>
      <c r="AP10" s="38">
        <f>VLOOKUP(P10,'Coefficient Normal'!$A$10:$P$14,3,TRUE)</f>
        <v>-4.9599999999999998E-2</v>
      </c>
      <c r="AQ10" s="38">
        <f>VLOOKUP(P10,'Coefficient Normal'!$A$10:$P$14,4,TRUE)</f>
        <v>0.44590000000000002</v>
      </c>
      <c r="AR10" s="38">
        <f>VLOOKUP(P10,'Coefficient Normal'!$A$10:$P$14,5,TRUE)</f>
        <v>-0.83709999999999996</v>
      </c>
      <c r="AS10" s="38">
        <f>VLOOKUP(P10,'Coefficient Normal'!$A$10:$P$14,6,TRUE)</f>
        <v>0.63090000000000002</v>
      </c>
      <c r="AT10" s="38">
        <f>VLOOKUP(P10,'Coefficient Normal'!$A$10:$P$14,7,TRUE)</f>
        <v>0.91390000000000005</v>
      </c>
      <c r="AU10" s="38">
        <f>VLOOKUP(P10,'Coefficient Normal'!$A$10:$P$14,8,TRUE)</f>
        <v>2.5000000000000001E-3</v>
      </c>
      <c r="AV10" s="38">
        <f>VLOOKUP(P10,'Coefficient Normal'!$A$10:$P$14,9,TRUE)</f>
        <v>1.6000000000000001E-3</v>
      </c>
      <c r="AW10" s="38">
        <f>VLOOKUP(P10,'Coefficient Normal'!$A$10:$P$14,10,TRUE)</f>
        <v>-9.7500000000000003E-2</v>
      </c>
      <c r="AX10" s="38">
        <f>VLOOKUP(P10,'Coefficient Normal'!$A$10:$P$14,11,TRUE)</f>
        <v>1.1999999999999999E-3</v>
      </c>
      <c r="AY10" s="38">
        <f>VLOOKUP(P10,'Coefficient Normal'!$A$10:$P$14,12,TRUE)</f>
        <v>0.46479999999999999</v>
      </c>
      <c r="AZ10" s="38">
        <f>VLOOKUP(P10,'Coefficient Normal'!$A$10:$P$14,13,TRUE)</f>
        <v>8.0000000000000004E-4</v>
      </c>
      <c r="BA10" s="38">
        <f>VLOOKUP(P10,'Coefficient Normal'!$A$10:$P$14,14,TRUE)</f>
        <v>6.7900000000000002E-2</v>
      </c>
      <c r="BB10" s="38">
        <f>VLOOKUP(P10,'Coefficient Normal'!$A$10:$P$14,15,TRUE)</f>
        <v>0.58979999999999999</v>
      </c>
      <c r="BC10" s="5">
        <f t="shared" si="23"/>
        <v>1</v>
      </c>
      <c r="BD10" s="5">
        <f t="shared" si="5"/>
        <v>0</v>
      </c>
      <c r="BE10" s="5">
        <f t="shared" si="24"/>
        <v>0</v>
      </c>
      <c r="BF10" s="38">
        <f t="shared" si="6"/>
        <v>1.0417206569792006</v>
      </c>
      <c r="BG10" s="1">
        <v>0.29999340000000002</v>
      </c>
      <c r="BH10">
        <f t="shared" si="25"/>
        <v>-1.2039948045679394</v>
      </c>
      <c r="BI10" s="38">
        <f t="shared" si="26"/>
        <v>-2.7367189908484093</v>
      </c>
      <c r="BJ10" s="38">
        <f t="shared" si="27"/>
        <v>-2.8508967051140597</v>
      </c>
      <c r="BK10" s="38">
        <f t="shared" si="28"/>
        <v>-0.18655855317454165</v>
      </c>
      <c r="BL10" s="38">
        <f t="shared" si="29"/>
        <v>0</v>
      </c>
      <c r="BM10" s="38">
        <f t="shared" si="30"/>
        <v>-4.2373725654426329</v>
      </c>
      <c r="BN10" s="38">
        <f t="shared" si="7"/>
        <v>-0.56312506609653967</v>
      </c>
      <c r="BO10" s="38">
        <f t="shared" si="31"/>
        <v>-2.702552889827774</v>
      </c>
      <c r="BP10" s="3">
        <f t="shared" si="32"/>
        <v>6.7034163281111642E-2</v>
      </c>
      <c r="BQ10">
        <f>VLOOKUP(P10,'Coefficient Normal'!$A$10:$P$14,16,TRUE)</f>
        <v>0.34749999999999998</v>
      </c>
      <c r="BR10">
        <v>0.3</v>
      </c>
    </row>
    <row r="11" spans="1:70" x14ac:dyDescent="0.25">
      <c r="A11" s="1">
        <v>9</v>
      </c>
      <c r="B11">
        <v>0.89600000000000002</v>
      </c>
      <c r="C11">
        <f t="shared" si="8"/>
        <v>896</v>
      </c>
      <c r="D11">
        <v>9.5250000000000005E-3</v>
      </c>
      <c r="E11">
        <f t="shared" si="8"/>
        <v>9.5250000000000004</v>
      </c>
      <c r="F11" s="4">
        <f t="shared" si="9"/>
        <v>94.068241469816272</v>
      </c>
      <c r="G11" s="1">
        <v>30</v>
      </c>
      <c r="H11" s="10" t="s">
        <v>119</v>
      </c>
      <c r="I11" s="144">
        <f t="shared" si="10"/>
        <v>14</v>
      </c>
      <c r="J11" s="144">
        <f t="shared" si="11"/>
        <v>15</v>
      </c>
      <c r="K11" s="144">
        <f t="shared" si="12"/>
        <v>483000</v>
      </c>
      <c r="L11" s="144">
        <f t="shared" si="13"/>
        <v>565000</v>
      </c>
      <c r="M11" s="144">
        <f t="shared" si="14"/>
        <v>2.8799444073326219</v>
      </c>
      <c r="N11" s="4">
        <f>100*IF(H11='Estimation Model Normal-Slip'!$J$8,'Estimation Model Normal-Slip'!$O$8,IF(H11='Estimation Model Normal-Slip'!$J$9,'Estimation Model Normal-Slip'!$O$9,IF(H11='Estimation Model Normal-Slip'!$J$10,'Estimation Model Normal-Slip'!$O$10,IF(H11='Estimation Model Normal-Slip'!$J$11,'Estimation Model Normal-Slip'!$O$11,IF(H11='Estimation Model Normal-Slip'!$J$12,'Estimation Model Normal-Slip'!$O$12,IF(H11='Estimation Model Normal-Slip'!$J$13,'Estimation Model Normal-Slip'!$O$13,2))))))</f>
        <v>2.7690517990613435</v>
      </c>
      <c r="O11" s="144">
        <f t="shared" si="15"/>
        <v>1.0577709909520427</v>
      </c>
      <c r="P11" s="1">
        <v>45</v>
      </c>
      <c r="Q11" s="1" t="s">
        <v>10</v>
      </c>
      <c r="R11" t="s">
        <v>266</v>
      </c>
      <c r="S11">
        <f t="shared" si="16"/>
        <v>18.5</v>
      </c>
      <c r="T11" s="1">
        <f t="shared" si="17"/>
        <v>0</v>
      </c>
      <c r="U11">
        <f t="shared" si="18"/>
        <v>125</v>
      </c>
      <c r="V11">
        <f t="shared" si="19"/>
        <v>0.4</v>
      </c>
      <c r="W11">
        <v>0.9</v>
      </c>
      <c r="X11" s="1">
        <v>1.2</v>
      </c>
      <c r="Y11" s="1">
        <f t="shared" si="0"/>
        <v>1.8</v>
      </c>
      <c r="Z11">
        <f t="shared" si="20"/>
        <v>140.74335088082273</v>
      </c>
      <c r="AA11">
        <f>IF(R11="medium dense",'Coefficient Normal'!$E$18 + ('Coefficient Normal'!$E$19*Y11) + ('Coefficient Normal'!$E$20*(Y11^2)) + ('Coefficient Normal'!$E$21*(Y11^3)) + ('Coefficient Normal'!$E$22*(Y11^4)),IF(R11="dense",'Coefficient Normal'!$F$18 + ('Coefficient Normal'!$F$19*Y11) + ('Coefficient Normal'!$F$20*(Y11^2)) + ('Coefficient Normal'!$F$21*(Y11^3)) + ('Coefficient Normal'!$F$22*(Y11^4)),IF(R11="very dense",'Coefficient Normal'!$G$18 + ('Coefficient Normal'!$G$19*Y11) + ('Coefficient Normal'!$G$20*(Y11^2)) + ('Coefficient Normal'!$G$21*(Y11^3)) + ('Coefficient Normal'!$G$22*(Y11^4)),0)))</f>
        <v>0</v>
      </c>
      <c r="AB11">
        <f t="shared" si="21"/>
        <v>0</v>
      </c>
      <c r="AC11">
        <f t="shared" si="1"/>
        <v>575.68000000000006</v>
      </c>
      <c r="AD11">
        <f t="shared" si="22"/>
        <v>6.3555519507621687</v>
      </c>
      <c r="AE11">
        <f t="shared" si="2"/>
        <v>4.5440204919621658</v>
      </c>
      <c r="AF11">
        <f t="shared" si="3"/>
        <v>4.9469380252703399</v>
      </c>
      <c r="AG11" s="38">
        <f>VLOOKUP(P11,'Coefficient Normal'!$A$3:$H$7,2,TRUE)</f>
        <v>3.7532999999999999</v>
      </c>
      <c r="AH11" s="38">
        <f>VLOOKUP(P11,'Coefficient Normal'!$A$3:$H$7,3,TRUE)</f>
        <v>0.14510000000000001</v>
      </c>
      <c r="AI11" s="38">
        <f>VLOOKUP(P11,'Coefficient Normal'!$A$3:$H$7,4,TRUE)</f>
        <v>1.2497</v>
      </c>
      <c r="AJ11" s="38">
        <f>VLOOKUP(P11,'Coefficient Normal'!$A$3:$H$7,5,TRUE)</f>
        <v>-0.46100000000000002</v>
      </c>
      <c r="AK11" s="38">
        <f>VLOOKUP(P11,'Coefficient Normal'!$A$3:$H$7,6,TRUE)</f>
        <v>0.39140000000000003</v>
      </c>
      <c r="AL11" s="38">
        <f>VLOOKUP(P11,'Coefficient Normal'!$A$3:$H$7,7,TRUE)</f>
        <v>-0.21310000000000001</v>
      </c>
      <c r="AM11" s="38">
        <f>VLOOKUP(P11,'Coefficient Normal'!$A$3:$H$7,8,TRUE)</f>
        <v>-0.34139999999999998</v>
      </c>
      <c r="AN11" s="38">
        <f t="shared" si="4"/>
        <v>-0.61445654144066819</v>
      </c>
      <c r="AO11" s="38">
        <f>VLOOKUP(P11,'Coefficient Normal'!$A$10:$P$14,2,TRUE)</f>
        <v>-1.1082000000000001</v>
      </c>
      <c r="AP11" s="38">
        <f>VLOOKUP(P11,'Coefficient Normal'!$A$10:$P$14,3,TRUE)</f>
        <v>0.10630000000000001</v>
      </c>
      <c r="AQ11" s="38">
        <f>VLOOKUP(P11,'Coefficient Normal'!$A$10:$P$14,4,TRUE)</f>
        <v>-0.1439</v>
      </c>
      <c r="AR11" s="38">
        <f>VLOOKUP(P11,'Coefficient Normal'!$A$10:$P$14,5,TRUE)</f>
        <v>0.27879999999999999</v>
      </c>
      <c r="AS11" s="38">
        <f>VLOOKUP(P11,'Coefficient Normal'!$A$10:$P$14,6,TRUE)</f>
        <v>-0.31030000000000002</v>
      </c>
      <c r="AT11" s="38">
        <f>VLOOKUP(P11,'Coefficient Normal'!$A$10:$P$14,7,TRUE)</f>
        <v>1.2553000000000001</v>
      </c>
      <c r="AU11" s="38">
        <f>VLOOKUP(P11,'Coefficient Normal'!$A$10:$P$14,8,TRUE)</f>
        <v>2.9999999999999997E-4</v>
      </c>
      <c r="AV11" s="38">
        <f>VLOOKUP(P11,'Coefficient Normal'!$A$10:$P$14,9,TRUE)</f>
        <v>5.1999999999999998E-3</v>
      </c>
      <c r="AW11" s="38">
        <f>VLOOKUP(P11,'Coefficient Normal'!$A$10:$P$14,10,TRUE)</f>
        <v>-8.5900000000000004E-2</v>
      </c>
      <c r="AX11" s="38">
        <f>VLOOKUP(P11,'Coefficient Normal'!$A$10:$P$14,11,TRUE)</f>
        <v>5.9999999999999995E-4</v>
      </c>
      <c r="AY11" s="38">
        <f>VLOOKUP(P11,'Coefficient Normal'!$A$10:$P$14,12,TRUE)</f>
        <v>-0.21759999999999999</v>
      </c>
      <c r="AZ11" s="38">
        <f>VLOOKUP(P11,'Coefficient Normal'!$A$10:$P$14,13,TRUE)</f>
        <v>-2.69E-2</v>
      </c>
      <c r="BA11" s="38">
        <f>VLOOKUP(P11,'Coefficient Normal'!$A$10:$P$14,14,TRUE)</f>
        <v>0.57389999999999997</v>
      </c>
      <c r="BB11" s="38">
        <f>VLOOKUP(P11,'Coefficient Normal'!$A$10:$P$14,15,TRUE)</f>
        <v>0.34460000000000002</v>
      </c>
      <c r="BC11" s="5">
        <f t="shared" si="23"/>
        <v>1</v>
      </c>
      <c r="BD11" s="5">
        <f t="shared" si="5"/>
        <v>1</v>
      </c>
      <c r="BE11" s="5">
        <f t="shared" si="24"/>
        <v>0</v>
      </c>
      <c r="BF11" s="38">
        <f t="shared" si="6"/>
        <v>0.98996395014613658</v>
      </c>
      <c r="BG11" s="1">
        <v>0.4499901</v>
      </c>
      <c r="BH11">
        <f t="shared" si="25"/>
        <v>-0.79852969645977512</v>
      </c>
      <c r="BI11" s="38">
        <f t="shared" si="26"/>
        <v>-0.18407315501910693</v>
      </c>
      <c r="BJ11" s="38">
        <f t="shared" si="27"/>
        <v>-0.18222578765857725</v>
      </c>
      <c r="BK11" s="38">
        <f t="shared" si="28"/>
        <v>0.48302937829557824</v>
      </c>
      <c r="BL11" s="38">
        <f t="shared" si="29"/>
        <v>0</v>
      </c>
      <c r="BM11" s="38">
        <f t="shared" si="30"/>
        <v>1.7719278838724926</v>
      </c>
      <c r="BN11" s="38">
        <f t="shared" si="7"/>
        <v>3.4075552922036199E-2</v>
      </c>
      <c r="BO11" s="38">
        <f t="shared" si="31"/>
        <v>0.99860702743152963</v>
      </c>
      <c r="BP11" s="3">
        <f t="shared" si="32"/>
        <v>2.7144979724542799</v>
      </c>
      <c r="BQ11">
        <f>VLOOKUP(P11,'Coefficient Normal'!$A$10:$P$14,16,TRUE)</f>
        <v>0.3997</v>
      </c>
      <c r="BR11">
        <v>0.3</v>
      </c>
    </row>
    <row r="12" spans="1:70" s="40" customFormat="1" x14ac:dyDescent="0.25">
      <c r="A12" s="39">
        <v>10</v>
      </c>
      <c r="B12">
        <v>0.5</v>
      </c>
      <c r="C12">
        <f t="shared" si="8"/>
        <v>500</v>
      </c>
      <c r="D12">
        <v>9.5250000000000005E-3</v>
      </c>
      <c r="E12">
        <f t="shared" si="8"/>
        <v>9.5250000000000004</v>
      </c>
      <c r="F12" s="4">
        <f t="shared" si="9"/>
        <v>52.493438320209975</v>
      </c>
      <c r="G12" s="1">
        <v>50</v>
      </c>
      <c r="H12" s="10" t="s">
        <v>117</v>
      </c>
      <c r="I12" s="144">
        <f t="shared" si="10"/>
        <v>8</v>
      </c>
      <c r="J12" s="144">
        <f t="shared" si="11"/>
        <v>10</v>
      </c>
      <c r="K12" s="144">
        <f t="shared" si="12"/>
        <v>359000</v>
      </c>
      <c r="L12" s="144">
        <f t="shared" si="13"/>
        <v>455000</v>
      </c>
      <c r="M12" s="144">
        <f t="shared" si="14"/>
        <v>1.9969902892117808</v>
      </c>
      <c r="N12" s="4">
        <f>100*IF(H12='Estimation Model Normal-Slip'!$J$8,'Estimation Model Normal-Slip'!$O$8,IF(H12='Estimation Model Normal-Slip'!$J$9,'Estimation Model Normal-Slip'!$O$9,IF(H12='Estimation Model Normal-Slip'!$J$10,'Estimation Model Normal-Slip'!$O$10,IF(H12='Estimation Model Normal-Slip'!$J$11,'Estimation Model Normal-Slip'!$O$11,IF(H12='Estimation Model Normal-Slip'!$J$12,'Estimation Model Normal-Slip'!$O$12,IF(H12='Estimation Model Normal-Slip'!$J$13,'Estimation Model Normal-Slip'!$O$13,2))))))</f>
        <v>1.9041242414694344</v>
      </c>
      <c r="O12" s="144">
        <f t="shared" si="15"/>
        <v>0.69164119173371341</v>
      </c>
      <c r="P12" s="1">
        <v>60</v>
      </c>
      <c r="Q12" s="1" t="s">
        <v>10</v>
      </c>
      <c r="R12" t="s">
        <v>265</v>
      </c>
      <c r="S12">
        <f t="shared" si="16"/>
        <v>17.5</v>
      </c>
      <c r="T12" s="1">
        <f t="shared" si="17"/>
        <v>0</v>
      </c>
      <c r="U12">
        <f t="shared" si="18"/>
        <v>37.5</v>
      </c>
      <c r="V12">
        <f t="shared" si="19"/>
        <v>1.1000000000000001</v>
      </c>
      <c r="W12">
        <v>0.9</v>
      </c>
      <c r="X12" s="1">
        <v>2.5</v>
      </c>
      <c r="Y12" s="1">
        <f t="shared" si="0"/>
        <v>5</v>
      </c>
      <c r="Z12">
        <f t="shared" si="20"/>
        <v>64.795348480289491</v>
      </c>
      <c r="AA12">
        <f>IF(R12="medium dense",'Coefficient Normal'!$E$18 + ('Coefficient Normal'!$E$19*Y12) + ('Coefficient Normal'!$E$20*(Y12^2)) + ('Coefficient Normal'!$E$21*(Y12^3)) + ('Coefficient Normal'!$E$22*(Y12^4)),IF(R12="dense",'Coefficient Normal'!$F$18 + ('Coefficient Normal'!$F$19*Y12) + ('Coefficient Normal'!$F$20*(Y12^2)) + ('Coefficient Normal'!$F$21*(Y12^3)) + ('Coefficient Normal'!$F$22*(Y12^4)),IF(R12="very dense",'Coefficient Normal'!$G$18 + ('Coefficient Normal'!$G$19*Y12) + ('Coefficient Normal'!$G$20*(Y12^2)) + ('Coefficient Normal'!$G$21*(Y12^3)) + ('Coefficient Normal'!$G$22*(Y12^4)),0)))</f>
        <v>0</v>
      </c>
      <c r="AB12">
        <f t="shared" si="21"/>
        <v>0</v>
      </c>
      <c r="AC12">
        <f t="shared" si="1"/>
        <v>96.375</v>
      </c>
      <c r="AD12" s="40">
        <f t="shared" si="22"/>
        <v>4.5682468318834939</v>
      </c>
      <c r="AE12" s="40">
        <f t="shared" si="2"/>
        <v>3.9606881774094269</v>
      </c>
      <c r="AF12" s="40">
        <f t="shared" si="3"/>
        <v>4.1712338180701449</v>
      </c>
      <c r="AG12" s="38">
        <f>VLOOKUP(P12,'Coefficient Normal'!$A$3:$H$7,2,TRUE)</f>
        <v>4.3182999999999998</v>
      </c>
      <c r="AH12" s="38">
        <f>VLOOKUP(P12,'Coefficient Normal'!$A$3:$H$7,3,TRUE)</f>
        <v>-2.7900000000000001E-2</v>
      </c>
      <c r="AI12" s="38">
        <f>VLOOKUP(P12,'Coefficient Normal'!$A$3:$H$7,4,TRUE)</f>
        <v>1.0497000000000001</v>
      </c>
      <c r="AJ12" s="38">
        <f>VLOOKUP(P12,'Coefficient Normal'!$A$3:$H$7,5,TRUE)</f>
        <v>-0.46910000000000002</v>
      </c>
      <c r="AK12" s="38">
        <f>VLOOKUP(P12,'Coefficient Normal'!$A$3:$H$7,6,TRUE)</f>
        <v>0.29149999999999998</v>
      </c>
      <c r="AL12" s="38">
        <f>VLOOKUP(P12,'Coefficient Normal'!$A$3:$H$7,7,TRUE)</f>
        <v>-0.28610000000000002</v>
      </c>
      <c r="AM12" s="38">
        <f>VLOOKUP(P12,'Coefficient Normal'!$A$3:$H$7,8,TRUE)</f>
        <v>-0.1348</v>
      </c>
      <c r="AN12" s="41">
        <f t="shared" si="4"/>
        <v>-4.4045191195327571E-2</v>
      </c>
      <c r="AO12" s="38">
        <f>VLOOKUP(P12,'Coefficient Normal'!$A$10:$P$14,2,TRUE)</f>
        <v>-2.1276999999999999</v>
      </c>
      <c r="AP12" s="38">
        <f>VLOOKUP(P12,'Coefficient Normal'!$A$10:$P$14,3,TRUE)</f>
        <v>0.14760000000000001</v>
      </c>
      <c r="AQ12" s="38">
        <f>VLOOKUP(P12,'Coefficient Normal'!$A$10:$P$14,4,TRUE)</f>
        <v>-0.21829999999999999</v>
      </c>
      <c r="AR12" s="38">
        <f>VLOOKUP(P12,'Coefficient Normal'!$A$10:$P$14,5,TRUE)</f>
        <v>0.42270000000000002</v>
      </c>
      <c r="AS12" s="38">
        <f>VLOOKUP(P12,'Coefficient Normal'!$A$10:$P$14,6,TRUE)</f>
        <v>-0.53720000000000001</v>
      </c>
      <c r="AT12" s="38">
        <f>VLOOKUP(P12,'Coefficient Normal'!$A$10:$P$14,7,TRUE)</f>
        <v>1.252</v>
      </c>
      <c r="AU12" s="38">
        <f>VLOOKUP(P12,'Coefficient Normal'!$A$10:$P$14,8,TRUE)</f>
        <v>-5.9999999999999995E-4</v>
      </c>
      <c r="AV12" s="38">
        <f>VLOOKUP(P12,'Coefficient Normal'!$A$10:$P$14,9,TRUE)</f>
        <v>5.3E-3</v>
      </c>
      <c r="AW12" s="38">
        <f>VLOOKUP(P12,'Coefficient Normal'!$A$10:$P$14,10,TRUE)</f>
        <v>-4.8500000000000001E-2</v>
      </c>
      <c r="AX12" s="38">
        <f>VLOOKUP(P12,'Coefficient Normal'!$A$10:$P$14,11,TRUE)</f>
        <v>1.2999999999999999E-3</v>
      </c>
      <c r="AY12" s="38">
        <f>VLOOKUP(P12,'Coefficient Normal'!$A$10:$P$14,12,TRUE)</f>
        <v>-0.56599999999999995</v>
      </c>
      <c r="AZ12" s="38">
        <f>VLOOKUP(P12,'Coefficient Normal'!$A$10:$P$14,13,TRUE)</f>
        <v>-3.2099999999999997E-2</v>
      </c>
      <c r="BA12" s="38">
        <f>VLOOKUP(P12,'Coefficient Normal'!$A$10:$P$14,14,TRUE)</f>
        <v>0.84970000000000001</v>
      </c>
      <c r="BB12" s="38">
        <f>VLOOKUP(P12,'Coefficient Normal'!$A$10:$P$14,15,TRUE)</f>
        <v>9.01E-2</v>
      </c>
      <c r="BC12" s="42">
        <f t="shared" si="23"/>
        <v>1</v>
      </c>
      <c r="BD12" s="42">
        <f t="shared" si="5"/>
        <v>1</v>
      </c>
      <c r="BE12" s="5">
        <f t="shared" si="24"/>
        <v>0</v>
      </c>
      <c r="BF12" s="41">
        <f t="shared" si="6"/>
        <v>1.0163642607280992</v>
      </c>
      <c r="BG12" s="39">
        <v>0.59998680000000004</v>
      </c>
      <c r="BH12" s="40">
        <f t="shared" si="25"/>
        <v>-0.51084762400799422</v>
      </c>
      <c r="BI12" s="41">
        <f t="shared" si="26"/>
        <v>-0.46680243281266665</v>
      </c>
      <c r="BJ12" s="41">
        <f t="shared" si="27"/>
        <v>-0.47444130953172409</v>
      </c>
      <c r="BK12" s="41">
        <f t="shared" si="28"/>
        <v>0.58459757498563147</v>
      </c>
      <c r="BL12" s="41">
        <f t="shared" si="29"/>
        <v>0</v>
      </c>
      <c r="BM12" s="41">
        <f t="shared" si="30"/>
        <v>1.930997935837153</v>
      </c>
      <c r="BN12" s="41">
        <f t="shared" si="7"/>
        <v>0.37235866539680262</v>
      </c>
      <c r="BO12" s="41">
        <f t="shared" si="31"/>
        <v>0.28581286668786332</v>
      </c>
      <c r="BP12" s="43">
        <f t="shared" si="32"/>
        <v>1.3308433868176077</v>
      </c>
      <c r="BQ12">
        <f>VLOOKUP(P12,'Coefficient Normal'!$A$10:$P$14,16,TRUE)</f>
        <v>0.50170000000000003</v>
      </c>
      <c r="BR12">
        <v>0.3</v>
      </c>
    </row>
    <row r="13" spans="1:70" s="40" customFormat="1" x14ac:dyDescent="0.25">
      <c r="A13" s="39">
        <v>11</v>
      </c>
      <c r="B13">
        <v>1.0668</v>
      </c>
      <c r="C13">
        <f t="shared" si="8"/>
        <v>1066.8</v>
      </c>
      <c r="D13" s="40">
        <v>9.5250000000000005E-3</v>
      </c>
      <c r="E13">
        <f t="shared" si="8"/>
        <v>9.5250000000000004</v>
      </c>
      <c r="F13" s="4">
        <f t="shared" si="9"/>
        <v>111.99999999999999</v>
      </c>
      <c r="G13" s="1">
        <v>100</v>
      </c>
      <c r="H13" s="10" t="s">
        <v>119</v>
      </c>
      <c r="I13" s="144">
        <f t="shared" si="10"/>
        <v>14</v>
      </c>
      <c r="J13" s="144">
        <f t="shared" si="11"/>
        <v>15</v>
      </c>
      <c r="K13" s="144">
        <f t="shared" si="12"/>
        <v>483000</v>
      </c>
      <c r="L13" s="144">
        <f t="shared" si="13"/>
        <v>565000</v>
      </c>
      <c r="M13" s="144">
        <f t="shared" si="14"/>
        <v>2.8799444073326219</v>
      </c>
      <c r="N13" s="4">
        <f>100*IF(H13='Estimation Model Normal-Slip'!$J$8,'Estimation Model Normal-Slip'!$O$8,IF(H13='Estimation Model Normal-Slip'!$J$9,'Estimation Model Normal-Slip'!$O$9,IF(H13='Estimation Model Normal-Slip'!$J$10,'Estimation Model Normal-Slip'!$O$10,IF(H13='Estimation Model Normal-Slip'!$J$11,'Estimation Model Normal-Slip'!$O$11,IF(H13='Estimation Model Normal-Slip'!$J$12,'Estimation Model Normal-Slip'!$O$12,IF(H13='Estimation Model Normal-Slip'!$J$13,'Estimation Model Normal-Slip'!$O$13,2))))))</f>
        <v>2.7690517990613435</v>
      </c>
      <c r="O13" s="144">
        <f t="shared" si="15"/>
        <v>1.0577709909520427</v>
      </c>
      <c r="P13" s="1">
        <v>75</v>
      </c>
      <c r="Q13" s="1" t="s">
        <v>9</v>
      </c>
      <c r="R13" t="s">
        <v>267</v>
      </c>
      <c r="S13">
        <f t="shared" si="16"/>
        <v>18</v>
      </c>
      <c r="T13" s="1">
        <f t="shared" si="17"/>
        <v>37</v>
      </c>
      <c r="U13">
        <f t="shared" si="18"/>
        <v>0</v>
      </c>
      <c r="V13">
        <f t="shared" si="19"/>
        <v>0</v>
      </c>
      <c r="W13">
        <v>0.9</v>
      </c>
      <c r="X13" s="1">
        <v>1</v>
      </c>
      <c r="Y13" s="1">
        <f t="shared" si="0"/>
        <v>1.8</v>
      </c>
      <c r="Z13">
        <f t="shared" si="20"/>
        <v>39.626853336736396</v>
      </c>
      <c r="AA13">
        <f>IF(R13="medium dense",'Coefficient Normal'!$E$18 + ('Coefficient Normal'!$E$19*Y13) + ('Coefficient Normal'!$E$20*(Y13^2)) + ('Coefficient Normal'!$E$21*(Y13^3)) + ('Coefficient Normal'!$E$22*(Y13^4)),IF(R13="dense",'Coefficient Normal'!$F$18 + ('Coefficient Normal'!$F$19*Y13) + ('Coefficient Normal'!$F$20*(Y13^2)) + ('Coefficient Normal'!$F$21*(Y13^3)) + ('Coefficient Normal'!$F$22*(Y13^4)),IF(R13="very dense",'Coefficient Normal'!$G$18 + ('Coefficient Normal'!$G$19*Y13) + ('Coefficient Normal'!$G$20*(Y13^2)) + ('Coefficient Normal'!$G$21*(Y13^3)) + ('Coefficient Normal'!$G$22*(Y13^4)),0)))</f>
        <v>12.698394373823998</v>
      </c>
      <c r="AB13">
        <f t="shared" si="21"/>
        <v>64.071522599936642</v>
      </c>
      <c r="AC13">
        <f t="shared" si="1"/>
        <v>900.09607289656856</v>
      </c>
      <c r="AD13" s="40">
        <f t="shared" si="22"/>
        <v>6.8025015052900386</v>
      </c>
      <c r="AE13" s="40">
        <f t="shared" si="2"/>
        <v>4.7184988712950942</v>
      </c>
      <c r="AF13" s="40">
        <f t="shared" si="3"/>
        <v>3.6795070030086925</v>
      </c>
      <c r="AG13" s="38">
        <f>VLOOKUP(P13,'Coefficient Normal'!$A$3:$H$7,2,TRUE)</f>
        <v>5.5951000000000004</v>
      </c>
      <c r="AH13" s="38">
        <f>VLOOKUP(P13,'Coefficient Normal'!$A$3:$H$7,3,TRUE)</f>
        <v>1.6E-2</v>
      </c>
      <c r="AI13" s="38">
        <f>VLOOKUP(P13,'Coefficient Normal'!$A$3:$H$7,4,TRUE)</f>
        <v>1.2641</v>
      </c>
      <c r="AJ13" s="38">
        <f>VLOOKUP(P13,'Coefficient Normal'!$A$3:$H$7,5,TRUE)</f>
        <v>-0.52429999999999999</v>
      </c>
      <c r="AK13" s="38">
        <f>VLOOKUP(P13,'Coefficient Normal'!$A$3:$H$7,6,TRUE)</f>
        <v>0.35830000000000001</v>
      </c>
      <c r="AL13" s="38">
        <f>VLOOKUP(P13,'Coefficient Normal'!$A$3:$H$7,7,TRUE)</f>
        <v>-0.35920000000000002</v>
      </c>
      <c r="AM13" s="38">
        <f>VLOOKUP(P13,'Coefficient Normal'!$A$3:$H$7,8,TRUE)</f>
        <v>-0.2482</v>
      </c>
      <c r="AN13" s="41">
        <f t="shared" si="4"/>
        <v>0.29890207916201494</v>
      </c>
      <c r="AO13" s="38">
        <f>VLOOKUP(P13,'Coefficient Normal'!$A$10:$P$14,2,TRUE)</f>
        <v>-2.3450000000000002</v>
      </c>
      <c r="AP13" s="38">
        <f>VLOOKUP(P13,'Coefficient Normal'!$A$10:$P$14,3,TRUE)</f>
        <v>0.19470000000000001</v>
      </c>
      <c r="AQ13" s="38">
        <f>VLOOKUP(P13,'Coefficient Normal'!$A$10:$P$14,4,TRUE)</f>
        <v>-0.2044</v>
      </c>
      <c r="AR13" s="38">
        <f>VLOOKUP(P13,'Coefficient Normal'!$A$10:$P$14,5,TRUE)</f>
        <v>0.4143</v>
      </c>
      <c r="AS13" s="38">
        <f>VLOOKUP(P13,'Coefficient Normal'!$A$10:$P$14,6,TRUE)</f>
        <v>-0.55710000000000004</v>
      </c>
      <c r="AT13" s="38">
        <f>VLOOKUP(P13,'Coefficient Normal'!$A$10:$P$14,7,TRUE)</f>
        <v>1.0931</v>
      </c>
      <c r="AU13" s="38">
        <f>VLOOKUP(P13,'Coefficient Normal'!$A$10:$P$14,8,TRUE)</f>
        <v>1E-4</v>
      </c>
      <c r="AV13" s="38">
        <f>VLOOKUP(P13,'Coefficient Normal'!$A$10:$P$14,9,TRUE)</f>
        <v>3.5000000000000001E-3</v>
      </c>
      <c r="AW13" s="38">
        <f>VLOOKUP(P13,'Coefficient Normal'!$A$10:$P$14,10,TRUE)</f>
        <v>-4.07E-2</v>
      </c>
      <c r="AX13" s="38">
        <f>VLOOKUP(P13,'Coefficient Normal'!$A$10:$P$14,11,TRUE)</f>
        <v>1.6000000000000001E-3</v>
      </c>
      <c r="AY13" s="38">
        <f>VLOOKUP(P13,'Coefficient Normal'!$A$10:$P$14,12,TRUE)</f>
        <v>-0.65949999999999998</v>
      </c>
      <c r="AZ13" s="38">
        <f>VLOOKUP(P13,'Coefficient Normal'!$A$10:$P$14,13,TRUE)</f>
        <v>-3.0099999999999998E-2</v>
      </c>
      <c r="BA13" s="38">
        <f>VLOOKUP(P13,'Coefficient Normal'!$A$10:$P$14,14,TRUE)</f>
        <v>0.84219999999999995</v>
      </c>
      <c r="BB13" s="38">
        <f>VLOOKUP(P13,'Coefficient Normal'!$A$10:$P$14,15,TRUE)</f>
        <v>0.50680000000000003</v>
      </c>
      <c r="BC13" s="42">
        <f t="shared" si="23"/>
        <v>1</v>
      </c>
      <c r="BD13" s="42">
        <f t="shared" si="5"/>
        <v>0</v>
      </c>
      <c r="BE13" s="5">
        <f t="shared" si="24"/>
        <v>1</v>
      </c>
      <c r="BF13" s="41">
        <f t="shared" si="6"/>
        <v>1.2355626853336736</v>
      </c>
      <c r="BG13" s="39">
        <v>0.74998350000000003</v>
      </c>
      <c r="BH13" s="40">
        <f t="shared" si="25"/>
        <v>-0.28770407269378445</v>
      </c>
      <c r="BI13" s="41">
        <f t="shared" si="26"/>
        <v>-0.58660615185579945</v>
      </c>
      <c r="BJ13" s="41">
        <f t="shared" si="27"/>
        <v>-0.72478867222020427</v>
      </c>
      <c r="BK13" s="41">
        <f t="shared" si="28"/>
        <v>0.91869173024115491</v>
      </c>
      <c r="BL13" s="41">
        <f t="shared" si="29"/>
        <v>-0.75209123141497669</v>
      </c>
      <c r="BM13" s="41">
        <f t="shared" si="30"/>
        <v>2.8182763736416629</v>
      </c>
      <c r="BN13" s="41">
        <f t="shared" si="7"/>
        <v>-3.6024043273759798E-2</v>
      </c>
      <c r="BO13" s="41">
        <f>AO13+BJ13+BK13+BL13+BM13+BN13</f>
        <v>-0.12093584302612276</v>
      </c>
      <c r="BP13" s="43">
        <f t="shared" si="32"/>
        <v>0.8860908066740244</v>
      </c>
      <c r="BQ13">
        <f>VLOOKUP(P13,'Coefficient Normal'!$A$10:$P$14,16,TRUE)</f>
        <v>0.43780000000000002</v>
      </c>
      <c r="BR13">
        <v>0.3</v>
      </c>
    </row>
    <row r="14" spans="1:70" x14ac:dyDescent="0.25">
      <c r="A14" s="1">
        <v>12</v>
      </c>
      <c r="B14">
        <v>0.60960000000000003</v>
      </c>
      <c r="C14">
        <f t="shared" si="8"/>
        <v>609.6</v>
      </c>
      <c r="D14">
        <v>9.5250000000000005E-3</v>
      </c>
      <c r="E14">
        <f t="shared" si="8"/>
        <v>9.5250000000000004</v>
      </c>
      <c r="F14" s="4">
        <f t="shared" si="9"/>
        <v>64</v>
      </c>
      <c r="G14" s="1">
        <v>300</v>
      </c>
      <c r="H14" s="10" t="s">
        <v>120</v>
      </c>
      <c r="I14" s="144">
        <f t="shared" si="10"/>
        <v>15</v>
      </c>
      <c r="J14" s="144">
        <f t="shared" si="11"/>
        <v>20</v>
      </c>
      <c r="K14" s="144">
        <f t="shared" si="12"/>
        <v>552000</v>
      </c>
      <c r="L14" s="144">
        <f t="shared" si="13"/>
        <v>625000</v>
      </c>
      <c r="M14" s="144">
        <f t="shared" si="14"/>
        <v>2.9888368774026359</v>
      </c>
      <c r="N14" s="4">
        <f>100*IF(H14='Estimation Model Normal-Slip'!$J$8,'Estimation Model Normal-Slip'!$O$8,IF(H14='Estimation Model Normal-Slip'!$J$9,'Estimation Model Normal-Slip'!$O$9,IF(H14='Estimation Model Normal-Slip'!$J$10,'Estimation Model Normal-Slip'!$O$10,IF(H14='Estimation Model Normal-Slip'!$J$11,'Estimation Model Normal-Slip'!$O$11,IF(H14='Estimation Model Normal-Slip'!$J$12,'Estimation Model Normal-Slip'!$O$12,IF(H14='Estimation Model Normal-Slip'!$J$13,'Estimation Model Normal-Slip'!$O$13,2))))))</f>
        <v>2.8464933991254466</v>
      </c>
      <c r="O14" s="144">
        <f t="shared" si="15"/>
        <v>1.0948843075076633</v>
      </c>
      <c r="P14" s="1">
        <v>90</v>
      </c>
      <c r="Q14" s="1" t="s">
        <v>9</v>
      </c>
      <c r="R14" t="s">
        <v>268</v>
      </c>
      <c r="S14">
        <f t="shared" si="16"/>
        <v>18.5</v>
      </c>
      <c r="T14" s="1">
        <f t="shared" si="17"/>
        <v>40</v>
      </c>
      <c r="U14">
        <f t="shared" si="18"/>
        <v>0</v>
      </c>
      <c r="V14">
        <f t="shared" si="19"/>
        <v>0</v>
      </c>
      <c r="W14">
        <v>0.9</v>
      </c>
      <c r="X14" s="1">
        <v>1.2</v>
      </c>
      <c r="Y14" s="1">
        <f t="shared" si="0"/>
        <v>1.9685039370078738</v>
      </c>
      <c r="Z14">
        <f t="shared" si="20"/>
        <v>30.889355446920469</v>
      </c>
      <c r="AA14">
        <f>IF(R14="medium dense",'Coefficient Normal'!$E$18 + ('Coefficient Normal'!$E$19*Y14) + ('Coefficient Normal'!$E$20*(Y14^2)) + ('Coefficient Normal'!$E$21*(Y14^3)) + ('Coefficient Normal'!$E$22*(Y14^4)),IF(R14="dense",'Coefficient Normal'!$F$18 + ('Coefficient Normal'!$F$19*Y14) + ('Coefficient Normal'!$F$20*(Y14^2)) + ('Coefficient Normal'!$F$21*(Y14^3)) + ('Coefficient Normal'!$F$22*(Y14^4)),IF(R14="very dense",'Coefficient Normal'!$G$18 + ('Coefficient Normal'!$G$19*Y14) + ('Coefficient Normal'!$G$20*(Y14^2)) + ('Coefficient Normal'!$G$21*(Y14^3)) + ('Coefficient Normal'!$G$22*(Y14^4)),0)))</f>
        <v>15.896480151009957</v>
      </c>
      <c r="AB14">
        <f t="shared" si="21"/>
        <v>80</v>
      </c>
      <c r="AC14">
        <f t="shared" si="1"/>
        <v>490.12197186123592</v>
      </c>
      <c r="AD14">
        <f t="shared" si="22"/>
        <v>6.1946542822944775</v>
      </c>
      <c r="AE14">
        <f t="shared" si="2"/>
        <v>4.1588830833596715</v>
      </c>
      <c r="AF14">
        <f t="shared" si="3"/>
        <v>3.4304116406370531</v>
      </c>
      <c r="AG14" s="38">
        <f>VLOOKUP(P14,'Coefficient Normal'!$A$3:$H$7,2,TRUE)</f>
        <v>14.575100000000001</v>
      </c>
      <c r="AH14" s="38">
        <f>VLOOKUP(P14,'Coefficient Normal'!$A$3:$H$7,3,TRUE)</f>
        <v>0.1356</v>
      </c>
      <c r="AI14" s="38">
        <f>VLOOKUP(P14,'Coefficient Normal'!$A$3:$H$7,4,TRUE)</f>
        <v>2.9990000000000001</v>
      </c>
      <c r="AJ14" s="38">
        <f>VLOOKUP(P14,'Coefficient Normal'!$A$3:$H$7,5,TRUE)</f>
        <v>-0.94710000000000005</v>
      </c>
      <c r="AK14" s="38">
        <f>VLOOKUP(P14,'Coefficient Normal'!$A$3:$H$7,6,TRUE)</f>
        <v>0.6603</v>
      </c>
      <c r="AL14" s="38">
        <f>VLOOKUP(P14,'Coefficient Normal'!$A$3:$H$7,7,TRUE)</f>
        <v>-1.2488999999999999</v>
      </c>
      <c r="AM14" s="38">
        <f>VLOOKUP(P14,'Coefficient Normal'!$A$3:$H$7,8,TRUE)</f>
        <v>-0.44140000000000001</v>
      </c>
      <c r="AN14" s="38">
        <f t="shared" si="4"/>
        <v>1.3975575406714862</v>
      </c>
      <c r="AO14" s="38">
        <f>VLOOKUP(P14,'Coefficient Normal'!$A$10:$P$14,2,TRUE)</f>
        <v>5.1353999999999997</v>
      </c>
      <c r="AP14" s="38">
        <f>VLOOKUP(P14,'Coefficient Normal'!$A$10:$P$14,3,TRUE)</f>
        <v>-4.9599999999999998E-2</v>
      </c>
      <c r="AQ14" s="38">
        <f>VLOOKUP(P14,'Coefficient Normal'!$A$10:$P$14,4,TRUE)</f>
        <v>0.44590000000000002</v>
      </c>
      <c r="AR14" s="38">
        <f>VLOOKUP(P14,'Coefficient Normal'!$A$10:$P$14,5,TRUE)</f>
        <v>-0.83709999999999996</v>
      </c>
      <c r="AS14" s="38">
        <f>VLOOKUP(P14,'Coefficient Normal'!$A$10:$P$14,6,TRUE)</f>
        <v>0.63090000000000002</v>
      </c>
      <c r="AT14" s="38">
        <f>VLOOKUP(P14,'Coefficient Normal'!$A$10:$P$14,7,TRUE)</f>
        <v>0.91390000000000005</v>
      </c>
      <c r="AU14" s="38">
        <f>VLOOKUP(P14,'Coefficient Normal'!$A$10:$P$14,8,TRUE)</f>
        <v>2.5000000000000001E-3</v>
      </c>
      <c r="AV14" s="38">
        <f>VLOOKUP(P14,'Coefficient Normal'!$A$10:$P$14,9,TRUE)</f>
        <v>1.6000000000000001E-3</v>
      </c>
      <c r="AW14" s="38">
        <f>VLOOKUP(P14,'Coefficient Normal'!$A$10:$P$14,10,TRUE)</f>
        <v>-9.7500000000000003E-2</v>
      </c>
      <c r="AX14" s="38">
        <f>VLOOKUP(P14,'Coefficient Normal'!$A$10:$P$14,11,TRUE)</f>
        <v>1.1999999999999999E-3</v>
      </c>
      <c r="AY14" s="38">
        <f>VLOOKUP(P14,'Coefficient Normal'!$A$10:$P$14,12,TRUE)</f>
        <v>0.46479999999999999</v>
      </c>
      <c r="AZ14" s="38">
        <f>VLOOKUP(P14,'Coefficient Normal'!$A$10:$P$14,13,TRUE)</f>
        <v>8.0000000000000004E-4</v>
      </c>
      <c r="BA14" s="38">
        <f>VLOOKUP(P14,'Coefficient Normal'!$A$10:$P$14,14,TRUE)</f>
        <v>6.7900000000000002E-2</v>
      </c>
      <c r="BB14" s="38">
        <f>VLOOKUP(P14,'Coefficient Normal'!$A$10:$P$14,15,TRUE)</f>
        <v>0.58979999999999999</v>
      </c>
      <c r="BC14" s="5">
        <f t="shared" si="23"/>
        <v>1</v>
      </c>
      <c r="BD14" s="5">
        <f t="shared" si="5"/>
        <v>0</v>
      </c>
      <c r="BE14" s="5">
        <f t="shared" si="24"/>
        <v>1</v>
      </c>
      <c r="BF14" s="38">
        <f t="shared" si="6"/>
        <v>0.97042338861730115</v>
      </c>
      <c r="BG14" s="1">
        <v>2.75</v>
      </c>
      <c r="BH14">
        <f t="shared" si="25"/>
        <v>1.0116009116784799</v>
      </c>
      <c r="BI14" s="38">
        <f t="shared" si="26"/>
        <v>-0.38595662899300631</v>
      </c>
      <c r="BJ14" s="38">
        <f t="shared" si="27"/>
        <v>-0.37454133976670367</v>
      </c>
      <c r="BK14" s="38">
        <f t="shared" si="28"/>
        <v>-0.20628060093463971</v>
      </c>
      <c r="BL14" s="38">
        <f t="shared" si="29"/>
        <v>1.529620550560062</v>
      </c>
      <c r="BM14" s="38">
        <f t="shared" si="30"/>
        <v>-5.1855450997087065</v>
      </c>
      <c r="BN14" s="38">
        <f t="shared" si="7"/>
        <v>-0.31226539005126003</v>
      </c>
      <c r="BO14" s="38">
        <f t="shared" si="31"/>
        <v>0.58638812009875241</v>
      </c>
      <c r="BP14" s="3">
        <f t="shared" si="32"/>
        <v>1.7974843788684016</v>
      </c>
      <c r="BQ14">
        <f>VLOOKUP(P14,'Coefficient Normal'!$A$10:$P$14,16,TRUE)</f>
        <v>0.34749999999999998</v>
      </c>
      <c r="BR14">
        <v>0.3</v>
      </c>
    </row>
    <row r="15" spans="1:70" x14ac:dyDescent="0.25">
      <c r="A15" s="1">
        <v>13</v>
      </c>
      <c r="B15">
        <v>0.40960000000000002</v>
      </c>
      <c r="C15">
        <f t="shared" si="8"/>
        <v>409.6</v>
      </c>
      <c r="D15">
        <v>9.5250000000000005E-3</v>
      </c>
      <c r="E15">
        <f t="shared" si="8"/>
        <v>9.5250000000000004</v>
      </c>
      <c r="F15" s="4">
        <f t="shared" si="9"/>
        <v>43.00262467191601</v>
      </c>
      <c r="G15" s="1">
        <v>30</v>
      </c>
      <c r="H15" s="10" t="s">
        <v>117</v>
      </c>
      <c r="I15" s="144">
        <f t="shared" si="10"/>
        <v>8</v>
      </c>
      <c r="J15" s="144">
        <f t="shared" si="11"/>
        <v>10</v>
      </c>
      <c r="K15" s="144">
        <f t="shared" si="12"/>
        <v>359000</v>
      </c>
      <c r="L15" s="144">
        <f t="shared" si="13"/>
        <v>455000</v>
      </c>
      <c r="M15" s="144">
        <f t="shared" si="14"/>
        <v>1.9969902892117808</v>
      </c>
      <c r="N15" s="4">
        <f>100*IF(H15='Estimation Model Normal-Slip'!$J$8,'Estimation Model Normal-Slip'!$O$8,IF(H15='Estimation Model Normal-Slip'!$J$9,'Estimation Model Normal-Slip'!$O$9,IF(H15='Estimation Model Normal-Slip'!$J$10,'Estimation Model Normal-Slip'!$O$10,IF(H15='Estimation Model Normal-Slip'!$J$11,'Estimation Model Normal-Slip'!$O$11,IF(H15='Estimation Model Normal-Slip'!$J$12,'Estimation Model Normal-Slip'!$O$12,IF(H15='Estimation Model Normal-Slip'!$J$13,'Estimation Model Normal-Slip'!$O$13,2))))))</f>
        <v>1.9041242414694344</v>
      </c>
      <c r="O15" s="144">
        <f t="shared" si="15"/>
        <v>0.69164119173371341</v>
      </c>
      <c r="P15" s="1">
        <v>45</v>
      </c>
      <c r="Q15" s="1" t="s">
        <v>9</v>
      </c>
      <c r="R15" t="s">
        <v>270</v>
      </c>
      <c r="S15">
        <f t="shared" si="16"/>
        <v>19</v>
      </c>
      <c r="T15" s="1">
        <f t="shared" si="17"/>
        <v>43</v>
      </c>
      <c r="U15">
        <f t="shared" si="18"/>
        <v>0</v>
      </c>
      <c r="V15">
        <f t="shared" si="19"/>
        <v>0</v>
      </c>
      <c r="W15">
        <v>0.9</v>
      </c>
      <c r="X15" s="1">
        <v>0.78739999999999999</v>
      </c>
      <c r="Y15" s="1">
        <f t="shared" si="0"/>
        <v>1.9223632812499998</v>
      </c>
      <c r="Z15">
        <f t="shared" si="20"/>
        <v>15.423155931843731</v>
      </c>
      <c r="AA15">
        <f>IF(R15="medium dense",'Coefficient Normal'!$E$18 + ('Coefficient Normal'!$E$19*Y15) + ('Coefficient Normal'!$E$20*(Y15^2)) + ('Coefficient Normal'!$E$21*(Y15^3)) + ('Coefficient Normal'!$E$22*(Y15^4)),IF(R15="dense",'Coefficient Normal'!$F$18 + ('Coefficient Normal'!$F$19*Y15) + ('Coefficient Normal'!$F$20*(Y15^2)) + ('Coefficient Normal'!$F$21*(Y15^3)) + ('Coefficient Normal'!$F$22*(Y15^4)),IF(R15="very dense",'Coefficient Normal'!$G$18 + ('Coefficient Normal'!$G$19*Y15) + ('Coefficient Normal'!$G$20*(Y15^2)) + ('Coefficient Normal'!$G$21*(Y15^3)) + ('Coefficient Normal'!$G$22*(Y15^4)),0)))</f>
        <v>18.720510313797256</v>
      </c>
      <c r="AB15">
        <f t="shared" si="21"/>
        <v>80</v>
      </c>
      <c r="AC15">
        <f t="shared" si="1"/>
        <v>242.22354087960383</v>
      </c>
      <c r="AD15">
        <f t="shared" si="22"/>
        <v>5.4898610224304614</v>
      </c>
      <c r="AE15">
        <f t="shared" si="2"/>
        <v>3.7612611527125335</v>
      </c>
      <c r="AF15">
        <f t="shared" si="3"/>
        <v>2.7358700120349009</v>
      </c>
      <c r="AG15" s="38">
        <f>VLOOKUP(P15,'Coefficient Normal'!$A$3:$H$7,2,TRUE)</f>
        <v>3.7532999999999999</v>
      </c>
      <c r="AH15" s="38">
        <f>VLOOKUP(P15,'Coefficient Normal'!$A$3:$H$7,3,TRUE)</f>
        <v>0.14510000000000001</v>
      </c>
      <c r="AI15" s="38">
        <f>VLOOKUP(P15,'Coefficient Normal'!$A$3:$H$7,4,TRUE)</f>
        <v>1.2497</v>
      </c>
      <c r="AJ15" s="38">
        <f>VLOOKUP(P15,'Coefficient Normal'!$A$3:$H$7,5,TRUE)</f>
        <v>-0.46100000000000002</v>
      </c>
      <c r="AK15" s="38">
        <f>VLOOKUP(P15,'Coefficient Normal'!$A$3:$H$7,6,TRUE)</f>
        <v>0.39140000000000003</v>
      </c>
      <c r="AL15" s="38">
        <f>VLOOKUP(P15,'Coefficient Normal'!$A$3:$H$7,7,TRUE)</f>
        <v>-0.21310000000000001</v>
      </c>
      <c r="AM15" s="38">
        <f>VLOOKUP(P15,'Coefficient Normal'!$A$3:$H$7,8,TRUE)</f>
        <v>-0.34139999999999998</v>
      </c>
      <c r="AN15" s="38">
        <f t="shared" si="4"/>
        <v>-0.43578467917484187</v>
      </c>
      <c r="AO15" s="38">
        <f>VLOOKUP(P15,'Coefficient Normal'!$A$10:$P$14,2,TRUE)</f>
        <v>-1.1082000000000001</v>
      </c>
      <c r="AP15" s="38">
        <f>VLOOKUP(P15,'Coefficient Normal'!$A$10:$P$14,3,TRUE)</f>
        <v>0.10630000000000001</v>
      </c>
      <c r="AQ15" s="38">
        <f>VLOOKUP(P15,'Coefficient Normal'!$A$10:$P$14,4,TRUE)</f>
        <v>-0.1439</v>
      </c>
      <c r="AR15" s="38">
        <f>VLOOKUP(P15,'Coefficient Normal'!$A$10:$P$14,5,TRUE)</f>
        <v>0.27879999999999999</v>
      </c>
      <c r="AS15" s="38">
        <f>VLOOKUP(P15,'Coefficient Normal'!$A$10:$P$14,6,TRUE)</f>
        <v>-0.31030000000000002</v>
      </c>
      <c r="AT15" s="38">
        <f>VLOOKUP(P15,'Coefficient Normal'!$A$10:$P$14,7,TRUE)</f>
        <v>1.2553000000000001</v>
      </c>
      <c r="AU15" s="38">
        <f>VLOOKUP(P15,'Coefficient Normal'!$A$10:$P$14,8,TRUE)</f>
        <v>2.9999999999999997E-4</v>
      </c>
      <c r="AV15" s="38">
        <f>VLOOKUP(P15,'Coefficient Normal'!$A$10:$P$14,9,TRUE)</f>
        <v>5.1999999999999998E-3</v>
      </c>
      <c r="AW15" s="38">
        <f>VLOOKUP(P15,'Coefficient Normal'!$A$10:$P$14,10,TRUE)</f>
        <v>-8.5900000000000004E-2</v>
      </c>
      <c r="AX15" s="38">
        <f>VLOOKUP(P15,'Coefficient Normal'!$A$10:$P$14,11,TRUE)</f>
        <v>5.9999999999999995E-4</v>
      </c>
      <c r="AY15" s="38">
        <f>VLOOKUP(P15,'Coefficient Normal'!$A$10:$P$14,12,TRUE)</f>
        <v>-0.21759999999999999</v>
      </c>
      <c r="AZ15" s="38">
        <f>VLOOKUP(P15,'Coefficient Normal'!$A$10:$P$14,13,TRUE)</f>
        <v>-2.69E-2</v>
      </c>
      <c r="BA15" s="38">
        <f>VLOOKUP(P15,'Coefficient Normal'!$A$10:$P$14,14,TRUE)</f>
        <v>0.57389999999999997</v>
      </c>
      <c r="BB15" s="38">
        <f>VLOOKUP(P15,'Coefficient Normal'!$A$10:$P$14,15,TRUE)</f>
        <v>0.34460000000000002</v>
      </c>
      <c r="BC15" s="5">
        <f t="shared" si="23"/>
        <v>0</v>
      </c>
      <c r="BD15" s="5">
        <f t="shared" si="5"/>
        <v>1</v>
      </c>
      <c r="BE15" s="5">
        <f t="shared" si="24"/>
        <v>1</v>
      </c>
      <c r="BF15" s="38">
        <f t="shared" si="6"/>
        <v>1.9037395546714377</v>
      </c>
      <c r="BG15" s="1">
        <v>3</v>
      </c>
      <c r="BH15">
        <f t="shared" si="25"/>
        <v>1.0986122886681098</v>
      </c>
      <c r="BI15" s="38">
        <f t="shared" si="26"/>
        <v>1.5343969678429517</v>
      </c>
      <c r="BJ15" s="38">
        <f t="shared" si="27"/>
        <v>2.9210922002505453</v>
      </c>
      <c r="BK15" s="38">
        <f t="shared" si="28"/>
        <v>0.39982206053334235</v>
      </c>
      <c r="BL15" s="38">
        <f t="shared" si="29"/>
        <v>-0.39369169473182225</v>
      </c>
      <c r="BM15" s="38">
        <f t="shared" si="30"/>
        <v>1.5305732530536127</v>
      </c>
      <c r="BN15" s="38">
        <f t="shared" si="7"/>
        <v>0.27696577589119714</v>
      </c>
      <c r="BO15" s="38">
        <f t="shared" si="31"/>
        <v>3.626561594996875</v>
      </c>
      <c r="BP15" s="3">
        <f t="shared" si="32"/>
        <v>37.583367356871307</v>
      </c>
      <c r="BQ15">
        <f>VLOOKUP(P15,'Coefficient Normal'!$A$10:$P$14,16,TRUE)</f>
        <v>0.3997</v>
      </c>
      <c r="BR15">
        <v>0.3</v>
      </c>
    </row>
    <row r="16" spans="1:70" x14ac:dyDescent="0.25">
      <c r="A16" s="1">
        <v>14</v>
      </c>
      <c r="B16">
        <v>0.89600000000000002</v>
      </c>
      <c r="C16">
        <f t="shared" si="8"/>
        <v>896</v>
      </c>
      <c r="D16">
        <v>9.5250000000000005E-3</v>
      </c>
      <c r="E16">
        <f t="shared" si="8"/>
        <v>9.5250000000000004</v>
      </c>
      <c r="F16" s="4">
        <f t="shared" si="9"/>
        <v>94.068241469816272</v>
      </c>
      <c r="G16" s="1">
        <v>50</v>
      </c>
      <c r="H16" s="10" t="s">
        <v>118</v>
      </c>
      <c r="I16" s="144">
        <f t="shared" si="10"/>
        <v>8</v>
      </c>
      <c r="J16" s="144">
        <f t="shared" si="11"/>
        <v>12</v>
      </c>
      <c r="K16" s="144">
        <f t="shared" si="12"/>
        <v>414000</v>
      </c>
      <c r="L16" s="144">
        <f t="shared" si="13"/>
        <v>517000</v>
      </c>
      <c r="M16" s="144">
        <f t="shared" si="14"/>
        <v>2.5466769467238102</v>
      </c>
      <c r="N16" s="4">
        <f>100*IF(H16='Estimation Model Normal-Slip'!$J$8,'Estimation Model Normal-Slip'!$O$8,IF(H16='Estimation Model Normal-Slip'!$J$9,'Estimation Model Normal-Slip'!$O$9,IF(H16='Estimation Model Normal-Slip'!$J$10,'Estimation Model Normal-Slip'!$O$10,IF(H16='Estimation Model Normal-Slip'!$J$11,'Estimation Model Normal-Slip'!$O$11,IF(H16='Estimation Model Normal-Slip'!$J$12,'Estimation Model Normal-Slip'!$O$12,IF(H16='Estimation Model Normal-Slip'!$J$13,'Estimation Model Normal-Slip'!$O$13,2))))))</f>
        <v>2.4313344008036557</v>
      </c>
      <c r="O16" s="144">
        <f t="shared" si="15"/>
        <v>0.93478935117382533</v>
      </c>
      <c r="P16" s="1">
        <v>60</v>
      </c>
      <c r="Q16" s="1" t="s">
        <v>9</v>
      </c>
      <c r="R16" t="s">
        <v>267</v>
      </c>
      <c r="S16">
        <f t="shared" si="16"/>
        <v>18</v>
      </c>
      <c r="T16" s="1">
        <f t="shared" si="17"/>
        <v>37</v>
      </c>
      <c r="U16">
        <f t="shared" si="18"/>
        <v>0</v>
      </c>
      <c r="V16">
        <f t="shared" si="19"/>
        <v>0</v>
      </c>
      <c r="W16">
        <v>0.9</v>
      </c>
      <c r="X16" s="1">
        <v>1</v>
      </c>
      <c r="Y16" s="1">
        <f t="shared" si="0"/>
        <v>1.8</v>
      </c>
      <c r="Z16">
        <f t="shared" si="20"/>
        <v>33.282396503295658</v>
      </c>
      <c r="AA16">
        <f>IF(R16="medium dense",'Coefficient Normal'!$E$18 + ('Coefficient Normal'!$E$19*Y16) + ('Coefficient Normal'!$E$20*(Y16^2)) + ('Coefficient Normal'!$E$21*(Y16^3)) + ('Coefficient Normal'!$E$22*(Y16^4)),IF(R16="dense",'Coefficient Normal'!$F$18 + ('Coefficient Normal'!$F$19*Y16) + ('Coefficient Normal'!$F$20*(Y16^2)) + ('Coefficient Normal'!$F$21*(Y16^3)) + ('Coefficient Normal'!$F$22*(Y16^4)),IF(R16="very dense",'Coefficient Normal'!$G$18 + ('Coefficient Normal'!$G$19*Y16) + ('Coefficient Normal'!$G$20*(Y16^2)) + ('Coefficient Normal'!$G$21*(Y16^3)) + ('Coefficient Normal'!$G$22*(Y16^4)),0)))</f>
        <v>12.698394373823998</v>
      </c>
      <c r="AB16">
        <f t="shared" si="21"/>
        <v>64.071522599936642</v>
      </c>
      <c r="AC16">
        <f t="shared" si="1"/>
        <v>667.7384958493501</v>
      </c>
      <c r="AD16">
        <f t="shared" si="22"/>
        <v>6.5038966236115616</v>
      </c>
      <c r="AE16">
        <f t="shared" si="2"/>
        <v>4.5440204919621658</v>
      </c>
      <c r="AF16">
        <f t="shared" si="3"/>
        <v>3.5050286236757637</v>
      </c>
      <c r="AG16" s="38">
        <f>VLOOKUP(P16,'Coefficient Normal'!$A$3:$H$7,2,TRUE)</f>
        <v>4.3182999999999998</v>
      </c>
      <c r="AH16" s="38">
        <f>VLOOKUP(P16,'Coefficient Normal'!$A$3:$H$7,3,TRUE)</f>
        <v>-2.7900000000000001E-2</v>
      </c>
      <c r="AI16" s="38">
        <f>VLOOKUP(P16,'Coefficient Normal'!$A$3:$H$7,4,TRUE)</f>
        <v>1.0497000000000001</v>
      </c>
      <c r="AJ16" s="38">
        <f>VLOOKUP(P16,'Coefficient Normal'!$A$3:$H$7,5,TRUE)</f>
        <v>-0.46910000000000002</v>
      </c>
      <c r="AK16" s="38">
        <f>VLOOKUP(P16,'Coefficient Normal'!$A$3:$H$7,6,TRUE)</f>
        <v>0.29149999999999998</v>
      </c>
      <c r="AL16" s="38">
        <f>VLOOKUP(P16,'Coefficient Normal'!$A$3:$H$7,7,TRUE)</f>
        <v>-0.28610000000000002</v>
      </c>
      <c r="AM16" s="38">
        <f>VLOOKUP(P16,'Coefficient Normal'!$A$3:$H$7,8,TRUE)</f>
        <v>-0.1348</v>
      </c>
      <c r="AN16" s="38">
        <f t="shared" si="4"/>
        <v>-9.8469706098252174E-2</v>
      </c>
      <c r="AO16" s="38">
        <f>VLOOKUP(P16,'Coefficient Normal'!$A$10:$P$14,2,TRUE)</f>
        <v>-2.1276999999999999</v>
      </c>
      <c r="AP16" s="38">
        <f>VLOOKUP(P16,'Coefficient Normal'!$A$10:$P$14,3,TRUE)</f>
        <v>0.14760000000000001</v>
      </c>
      <c r="AQ16" s="38">
        <f>VLOOKUP(P16,'Coefficient Normal'!$A$10:$P$14,4,TRUE)</f>
        <v>-0.21829999999999999</v>
      </c>
      <c r="AR16" s="38">
        <f>VLOOKUP(P16,'Coefficient Normal'!$A$10:$P$14,5,TRUE)</f>
        <v>0.42270000000000002</v>
      </c>
      <c r="AS16" s="38">
        <f>VLOOKUP(P16,'Coefficient Normal'!$A$10:$P$14,6,TRUE)</f>
        <v>-0.53720000000000001</v>
      </c>
      <c r="AT16" s="38">
        <f>VLOOKUP(P16,'Coefficient Normal'!$A$10:$P$14,7,TRUE)</f>
        <v>1.252</v>
      </c>
      <c r="AU16" s="38">
        <f>VLOOKUP(P16,'Coefficient Normal'!$A$10:$P$14,8,TRUE)</f>
        <v>-5.9999999999999995E-4</v>
      </c>
      <c r="AV16" s="38">
        <f>VLOOKUP(P16,'Coefficient Normal'!$A$10:$P$14,9,TRUE)</f>
        <v>5.3E-3</v>
      </c>
      <c r="AW16" s="38">
        <f>VLOOKUP(P16,'Coefficient Normal'!$A$10:$P$14,10,TRUE)</f>
        <v>-4.8500000000000001E-2</v>
      </c>
      <c r="AX16" s="38">
        <f>VLOOKUP(P16,'Coefficient Normal'!$A$10:$P$14,11,TRUE)</f>
        <v>1.2999999999999999E-3</v>
      </c>
      <c r="AY16" s="38">
        <f>VLOOKUP(P16,'Coefficient Normal'!$A$10:$P$14,12,TRUE)</f>
        <v>-0.56599999999999995</v>
      </c>
      <c r="AZ16" s="38">
        <f>VLOOKUP(P16,'Coefficient Normal'!$A$10:$P$14,13,TRUE)</f>
        <v>-3.2099999999999997E-2</v>
      </c>
      <c r="BA16" s="38">
        <f>VLOOKUP(P16,'Coefficient Normal'!$A$10:$P$14,14,TRUE)</f>
        <v>0.84970000000000001</v>
      </c>
      <c r="BB16" s="38">
        <f>VLOOKUP(P16,'Coefficient Normal'!$A$10:$P$14,15,TRUE)</f>
        <v>9.01E-2</v>
      </c>
      <c r="BC16" s="5">
        <f t="shared" si="23"/>
        <v>1</v>
      </c>
      <c r="BD16" s="5">
        <f t="shared" si="5"/>
        <v>1</v>
      </c>
      <c r="BE16" s="5">
        <f t="shared" si="24"/>
        <v>1</v>
      </c>
      <c r="BF16" s="38">
        <f t="shared" si="6"/>
        <v>1.0893192760087838</v>
      </c>
      <c r="BG16" s="1">
        <v>0.2</v>
      </c>
      <c r="BH16">
        <f t="shared" si="25"/>
        <v>-1.6094379124341003</v>
      </c>
      <c r="BI16" s="38">
        <f t="shared" si="26"/>
        <v>-1.5109682063358481</v>
      </c>
      <c r="BJ16" s="38">
        <f t="shared" si="27"/>
        <v>-1.6459267925980565</v>
      </c>
      <c r="BK16" s="38">
        <f t="shared" si="28"/>
        <v>0.6706974246136157</v>
      </c>
      <c r="BL16" s="38">
        <f t="shared" si="29"/>
        <v>-0.76514774854841916</v>
      </c>
      <c r="BM16" s="38">
        <f t="shared" si="30"/>
        <v>2.7491971028006073</v>
      </c>
      <c r="BN16" s="38">
        <f t="shared" si="7"/>
        <v>5.8992546019071369E-2</v>
      </c>
      <c r="BO16" s="38">
        <f t="shared" si="31"/>
        <v>-1.0598874677131811</v>
      </c>
      <c r="BP16" s="3">
        <f t="shared" si="32"/>
        <v>0.34649479998843213</v>
      </c>
      <c r="BQ16">
        <f>VLOOKUP(P16,'Coefficient Normal'!$A$10:$P$14,16,TRUE)</f>
        <v>0.50170000000000003</v>
      </c>
      <c r="BR16">
        <v>0.3</v>
      </c>
    </row>
    <row r="17" spans="1:70" x14ac:dyDescent="0.25">
      <c r="A17" s="1">
        <v>15</v>
      </c>
      <c r="B17">
        <v>0.5</v>
      </c>
      <c r="C17">
        <f t="shared" si="8"/>
        <v>500</v>
      </c>
      <c r="D17">
        <v>9.5250000000000005E-3</v>
      </c>
      <c r="E17">
        <f t="shared" si="8"/>
        <v>9.5250000000000004</v>
      </c>
      <c r="F17" s="4">
        <f t="shared" si="9"/>
        <v>52.493438320209975</v>
      </c>
      <c r="G17" s="1">
        <v>100</v>
      </c>
      <c r="H17" s="10" t="s">
        <v>119</v>
      </c>
      <c r="I17" s="144">
        <f t="shared" si="10"/>
        <v>14</v>
      </c>
      <c r="J17" s="144">
        <f t="shared" si="11"/>
        <v>15</v>
      </c>
      <c r="K17" s="144">
        <f t="shared" si="12"/>
        <v>483000</v>
      </c>
      <c r="L17" s="144">
        <f t="shared" si="13"/>
        <v>565000</v>
      </c>
      <c r="M17" s="144">
        <f t="shared" si="14"/>
        <v>2.8799444073326219</v>
      </c>
      <c r="N17" s="4">
        <f>100*IF(H17='Estimation Model Normal-Slip'!$J$8,'Estimation Model Normal-Slip'!$O$8,IF(H17='Estimation Model Normal-Slip'!$J$9,'Estimation Model Normal-Slip'!$O$9,IF(H17='Estimation Model Normal-Slip'!$J$10,'Estimation Model Normal-Slip'!$O$10,IF(H17='Estimation Model Normal-Slip'!$J$11,'Estimation Model Normal-Slip'!$O$11,IF(H17='Estimation Model Normal-Slip'!$J$12,'Estimation Model Normal-Slip'!$O$12,IF(H17='Estimation Model Normal-Slip'!$J$13,'Estimation Model Normal-Slip'!$O$13,2))))))</f>
        <v>2.7690517990613435</v>
      </c>
      <c r="O17" s="144">
        <f t="shared" si="15"/>
        <v>1.0577709909520427</v>
      </c>
      <c r="P17" s="1">
        <v>75</v>
      </c>
      <c r="Q17" s="1" t="s">
        <v>9</v>
      </c>
      <c r="R17" t="s">
        <v>268</v>
      </c>
      <c r="S17">
        <f t="shared" si="16"/>
        <v>18.5</v>
      </c>
      <c r="T17" s="1">
        <f t="shared" si="17"/>
        <v>40</v>
      </c>
      <c r="U17">
        <f t="shared" si="18"/>
        <v>0</v>
      </c>
      <c r="V17">
        <f t="shared" si="19"/>
        <v>0</v>
      </c>
      <c r="W17">
        <v>0.9</v>
      </c>
      <c r="X17" s="1">
        <v>1.2</v>
      </c>
      <c r="Y17" s="1">
        <f t="shared" si="0"/>
        <v>2.4</v>
      </c>
      <c r="Z17">
        <f t="shared" si="20"/>
        <v>25.335757420374399</v>
      </c>
      <c r="AA17">
        <f>IF(R17="medium dense",'Coefficient Normal'!$E$18 + ('Coefficient Normal'!$E$19*Y17) + ('Coefficient Normal'!$E$20*(Y17^2)) + ('Coefficient Normal'!$E$21*(Y17^3)) + ('Coefficient Normal'!$E$22*(Y17^4)),IF(R17="dense",'Coefficient Normal'!$F$18 + ('Coefficient Normal'!$F$19*Y17) + ('Coefficient Normal'!$F$20*(Y17^2)) + ('Coefficient Normal'!$F$21*(Y17^3)) + ('Coefficient Normal'!$F$22*(Y17^4)),IF(R17="very dense",'Coefficient Normal'!$G$18 + ('Coefficient Normal'!$G$19*Y17) + ('Coefficient Normal'!$G$20*(Y17^2)) + ('Coefficient Normal'!$G$21*(Y17^3)) + ('Coefficient Normal'!$G$22*(Y17^4)),0)))</f>
        <v>15.970859354576</v>
      </c>
      <c r="AB17">
        <f t="shared" si="21"/>
        <v>80</v>
      </c>
      <c r="AC17">
        <f t="shared" si="1"/>
        <v>362.27653883579364</v>
      </c>
      <c r="AD17">
        <f t="shared" si="22"/>
        <v>5.8924078396237283</v>
      </c>
      <c r="AE17">
        <f t="shared" si="2"/>
        <v>3.9606881774094269</v>
      </c>
      <c r="AF17">
        <f t="shared" si="3"/>
        <v>3.2322167346868085</v>
      </c>
      <c r="AG17" s="38">
        <f>VLOOKUP(P17,'Coefficient Normal'!$A$3:$H$7,2,TRUE)</f>
        <v>5.5951000000000004</v>
      </c>
      <c r="AH17" s="38">
        <f>VLOOKUP(P17,'Coefficient Normal'!$A$3:$H$7,3,TRUE)</f>
        <v>1.6E-2</v>
      </c>
      <c r="AI17" s="38">
        <f>VLOOKUP(P17,'Coefficient Normal'!$A$3:$H$7,4,TRUE)</f>
        <v>1.2641</v>
      </c>
      <c r="AJ17" s="38">
        <f>VLOOKUP(P17,'Coefficient Normal'!$A$3:$H$7,5,TRUE)</f>
        <v>-0.52429999999999999</v>
      </c>
      <c r="AK17" s="38">
        <f>VLOOKUP(P17,'Coefficient Normal'!$A$3:$H$7,6,TRUE)</f>
        <v>0.35830000000000001</v>
      </c>
      <c r="AL17" s="38">
        <f>VLOOKUP(P17,'Coefficient Normal'!$A$3:$H$7,7,TRUE)</f>
        <v>-0.35920000000000002</v>
      </c>
      <c r="AM17" s="38">
        <f>VLOOKUP(P17,'Coefficient Normal'!$A$3:$H$7,8,TRUE)</f>
        <v>-0.2482</v>
      </c>
      <c r="AN17" s="38">
        <f t="shared" si="4"/>
        <v>0.17619681713022817</v>
      </c>
      <c r="AO17" s="38">
        <f>VLOOKUP(P17,'Coefficient Normal'!$A$10:$P$14,2,TRUE)</f>
        <v>-2.3450000000000002</v>
      </c>
      <c r="AP17" s="38">
        <f>VLOOKUP(P17,'Coefficient Normal'!$A$10:$P$14,3,TRUE)</f>
        <v>0.19470000000000001</v>
      </c>
      <c r="AQ17" s="38">
        <f>VLOOKUP(P17,'Coefficient Normal'!$A$10:$P$14,4,TRUE)</f>
        <v>-0.2044</v>
      </c>
      <c r="AR17" s="38">
        <f>VLOOKUP(P17,'Coefficient Normal'!$A$10:$P$14,5,TRUE)</f>
        <v>0.4143</v>
      </c>
      <c r="AS17" s="38">
        <f>VLOOKUP(P17,'Coefficient Normal'!$A$10:$P$14,6,TRUE)</f>
        <v>-0.55710000000000004</v>
      </c>
      <c r="AT17" s="38">
        <f>VLOOKUP(P17,'Coefficient Normal'!$A$10:$P$14,7,TRUE)</f>
        <v>1.0931</v>
      </c>
      <c r="AU17" s="38">
        <f>VLOOKUP(P17,'Coefficient Normal'!$A$10:$P$14,8,TRUE)</f>
        <v>1E-4</v>
      </c>
      <c r="AV17" s="38">
        <f>VLOOKUP(P17,'Coefficient Normal'!$A$10:$P$14,9,TRUE)</f>
        <v>3.5000000000000001E-3</v>
      </c>
      <c r="AW17" s="38">
        <f>VLOOKUP(P17,'Coefficient Normal'!$A$10:$P$14,10,TRUE)</f>
        <v>-4.07E-2</v>
      </c>
      <c r="AX17" s="38">
        <f>VLOOKUP(P17,'Coefficient Normal'!$A$10:$P$14,11,TRUE)</f>
        <v>1.6000000000000001E-3</v>
      </c>
      <c r="AY17" s="38">
        <f>VLOOKUP(P17,'Coefficient Normal'!$A$10:$P$14,12,TRUE)</f>
        <v>-0.65949999999999998</v>
      </c>
      <c r="AZ17" s="38">
        <f>VLOOKUP(P17,'Coefficient Normal'!$A$10:$P$14,13,TRUE)</f>
        <v>-3.0099999999999998E-2</v>
      </c>
      <c r="BA17" s="38">
        <f>VLOOKUP(P17,'Coefficient Normal'!$A$10:$P$14,14,TRUE)</f>
        <v>0.84219999999999995</v>
      </c>
      <c r="BB17" s="38">
        <f>VLOOKUP(P17,'Coefficient Normal'!$A$10:$P$14,15,TRUE)</f>
        <v>0.50680000000000003</v>
      </c>
      <c r="BC17" s="5">
        <f t="shared" si="23"/>
        <v>1</v>
      </c>
      <c r="BD17" s="5">
        <f t="shared" si="5"/>
        <v>0</v>
      </c>
      <c r="BE17" s="5">
        <f t="shared" si="24"/>
        <v>1</v>
      </c>
      <c r="BF17" s="38">
        <f t="shared" si="6"/>
        <v>1.1389230770543735</v>
      </c>
      <c r="BG17" s="1">
        <v>0.2</v>
      </c>
      <c r="BH17">
        <f t="shared" si="25"/>
        <v>-1.6094379124341003</v>
      </c>
      <c r="BI17" s="38">
        <f t="shared" si="26"/>
        <v>-1.7856347295643284</v>
      </c>
      <c r="BJ17" s="38">
        <f t="shared" si="27"/>
        <v>-2.0337006006905591</v>
      </c>
      <c r="BK17" s="38">
        <f t="shared" si="28"/>
        <v>0.7711459881416155</v>
      </c>
      <c r="BL17" s="38">
        <f t="shared" si="29"/>
        <v>-0.66066510056998362</v>
      </c>
      <c r="BM17" s="38">
        <f t="shared" si="30"/>
        <v>2.4412245679561106</v>
      </c>
      <c r="BN17" s="38">
        <f t="shared" si="7"/>
        <v>0.38615229428994552</v>
      </c>
      <c r="BO17" s="38">
        <f t="shared" si="31"/>
        <v>-1.4408428508728706</v>
      </c>
      <c r="BP17" s="3">
        <f t="shared" si="32"/>
        <v>0.23672814804672532</v>
      </c>
      <c r="BQ17">
        <f>VLOOKUP(P17,'Coefficient Normal'!$A$10:$P$14,16,TRUE)</f>
        <v>0.43780000000000002</v>
      </c>
      <c r="BR17">
        <v>0.3</v>
      </c>
    </row>
    <row r="18" spans="1:70" x14ac:dyDescent="0.25">
      <c r="A18" s="1">
        <v>16</v>
      </c>
      <c r="B18">
        <v>1.0668</v>
      </c>
      <c r="C18">
        <f t="shared" si="8"/>
        <v>1066.8</v>
      </c>
      <c r="D18">
        <v>9.5250000000000005E-3</v>
      </c>
      <c r="E18">
        <f t="shared" si="8"/>
        <v>9.5250000000000004</v>
      </c>
      <c r="F18" s="4">
        <f t="shared" si="9"/>
        <v>111.99999999999999</v>
      </c>
      <c r="G18" s="1">
        <v>300</v>
      </c>
      <c r="H18" s="10" t="s">
        <v>117</v>
      </c>
      <c r="I18" s="144">
        <f t="shared" si="10"/>
        <v>8</v>
      </c>
      <c r="J18" s="144">
        <f t="shared" si="11"/>
        <v>10</v>
      </c>
      <c r="K18" s="144">
        <f t="shared" si="12"/>
        <v>359000</v>
      </c>
      <c r="L18" s="144">
        <f t="shared" si="13"/>
        <v>455000</v>
      </c>
      <c r="M18" s="144">
        <f t="shared" si="14"/>
        <v>1.9969902892117808</v>
      </c>
      <c r="N18" s="4">
        <f>100*IF(H18='Estimation Model Normal-Slip'!$J$8,'Estimation Model Normal-Slip'!$O$8,IF(H18='Estimation Model Normal-Slip'!$J$9,'Estimation Model Normal-Slip'!$O$9,IF(H18='Estimation Model Normal-Slip'!$J$10,'Estimation Model Normal-Slip'!$O$10,IF(H18='Estimation Model Normal-Slip'!$J$11,'Estimation Model Normal-Slip'!$O$11,IF(H18='Estimation Model Normal-Slip'!$J$12,'Estimation Model Normal-Slip'!$O$12,IF(H18='Estimation Model Normal-Slip'!$J$13,'Estimation Model Normal-Slip'!$O$13,2))))))</f>
        <v>1.9041242414694344</v>
      </c>
      <c r="O18" s="144">
        <f t="shared" si="15"/>
        <v>0.69164119173371341</v>
      </c>
      <c r="P18" s="1">
        <v>90</v>
      </c>
      <c r="Q18" s="1" t="s">
        <v>9</v>
      </c>
      <c r="R18" t="s">
        <v>270</v>
      </c>
      <c r="S18">
        <f t="shared" si="16"/>
        <v>19</v>
      </c>
      <c r="T18" s="1">
        <f t="shared" si="17"/>
        <v>43</v>
      </c>
      <c r="U18">
        <f t="shared" si="18"/>
        <v>0</v>
      </c>
      <c r="V18">
        <f t="shared" si="19"/>
        <v>0</v>
      </c>
      <c r="W18">
        <v>0.9</v>
      </c>
      <c r="X18" s="1">
        <v>2.5</v>
      </c>
      <c r="Y18" s="1">
        <f t="shared" si="0"/>
        <v>2.3434570678665168</v>
      </c>
      <c r="Z18">
        <f t="shared" si="20"/>
        <v>127.53838306794918</v>
      </c>
      <c r="AA18">
        <f>IF(R18="medium dense",'Coefficient Normal'!$E$18 + ('Coefficient Normal'!$E$19*Y18) + ('Coefficient Normal'!$E$20*(Y18^2)) + ('Coefficient Normal'!$E$21*(Y18^3)) + ('Coefficient Normal'!$E$22*(Y18^4)),IF(R18="dense",'Coefficient Normal'!$F$18 + ('Coefficient Normal'!$F$19*Y18) + ('Coefficient Normal'!$F$20*(Y18^2)) + ('Coefficient Normal'!$F$21*(Y18^3)) + ('Coefficient Normal'!$F$22*(Y18^4)),IF(R18="very dense",'Coefficient Normal'!$G$18 + ('Coefficient Normal'!$G$19*Y18) + ('Coefficient Normal'!$G$20*(Y18^2)) + ('Coefficient Normal'!$G$21*(Y18^3)) + ('Coefficient Normal'!$G$22*(Y18^4)),0)))</f>
        <v>18.621858727008274</v>
      </c>
      <c r="AB18">
        <f t="shared" si="21"/>
        <v>80</v>
      </c>
      <c r="AC18">
        <f t="shared" si="1"/>
        <v>1808.5527496736904</v>
      </c>
      <c r="AD18">
        <f t="shared" si="22"/>
        <v>7.5002822186049887</v>
      </c>
      <c r="AE18">
        <f t="shared" si="2"/>
        <v>4.7184988712950942</v>
      </c>
      <c r="AF18">
        <f t="shared" si="3"/>
        <v>4.848417362964117</v>
      </c>
      <c r="AG18" s="38">
        <f>VLOOKUP(P18,'Coefficient Normal'!$A$3:$H$7,2,TRUE)</f>
        <v>14.575100000000001</v>
      </c>
      <c r="AH18" s="38">
        <f>VLOOKUP(P18,'Coefficient Normal'!$A$3:$H$7,3,TRUE)</f>
        <v>0.1356</v>
      </c>
      <c r="AI18" s="38">
        <f>VLOOKUP(P18,'Coefficient Normal'!$A$3:$H$7,4,TRUE)</f>
        <v>2.9990000000000001</v>
      </c>
      <c r="AJ18" s="38">
        <f>VLOOKUP(P18,'Coefficient Normal'!$A$3:$H$7,5,TRUE)</f>
        <v>-0.94710000000000005</v>
      </c>
      <c r="AK18" s="38">
        <f>VLOOKUP(P18,'Coefficient Normal'!$A$3:$H$7,6,TRUE)</f>
        <v>0.6603</v>
      </c>
      <c r="AL18" s="38">
        <f>VLOOKUP(P18,'Coefficient Normal'!$A$3:$H$7,7,TRUE)</f>
        <v>-1.2488999999999999</v>
      </c>
      <c r="AM18" s="38">
        <f>VLOOKUP(P18,'Coefficient Normal'!$A$3:$H$7,8,TRUE)</f>
        <v>-0.44140000000000001</v>
      </c>
      <c r="AN18" s="38">
        <f t="shared" si="4"/>
        <v>2.3065291097276841E-2</v>
      </c>
      <c r="AO18" s="38">
        <f>VLOOKUP(P18,'Coefficient Normal'!$A$10:$P$14,2,TRUE)</f>
        <v>5.1353999999999997</v>
      </c>
      <c r="AP18" s="38">
        <f>VLOOKUP(P18,'Coefficient Normal'!$A$10:$P$14,3,TRUE)</f>
        <v>-4.9599999999999998E-2</v>
      </c>
      <c r="AQ18" s="38">
        <f>VLOOKUP(P18,'Coefficient Normal'!$A$10:$P$14,4,TRUE)</f>
        <v>0.44590000000000002</v>
      </c>
      <c r="AR18" s="38">
        <f>VLOOKUP(P18,'Coefficient Normal'!$A$10:$P$14,5,TRUE)</f>
        <v>-0.83709999999999996</v>
      </c>
      <c r="AS18" s="38">
        <f>VLOOKUP(P18,'Coefficient Normal'!$A$10:$P$14,6,TRUE)</f>
        <v>0.63090000000000002</v>
      </c>
      <c r="AT18" s="38">
        <f>VLOOKUP(P18,'Coefficient Normal'!$A$10:$P$14,7,TRUE)</f>
        <v>0.91390000000000005</v>
      </c>
      <c r="AU18" s="38">
        <f>VLOOKUP(P18,'Coefficient Normal'!$A$10:$P$14,8,TRUE)</f>
        <v>2.5000000000000001E-3</v>
      </c>
      <c r="AV18" s="38">
        <f>VLOOKUP(P18,'Coefficient Normal'!$A$10:$P$14,9,TRUE)</f>
        <v>1.6000000000000001E-3</v>
      </c>
      <c r="AW18" s="38">
        <f>VLOOKUP(P18,'Coefficient Normal'!$A$10:$P$14,10,TRUE)</f>
        <v>-9.7500000000000003E-2</v>
      </c>
      <c r="AX18" s="38">
        <f>VLOOKUP(P18,'Coefficient Normal'!$A$10:$P$14,11,TRUE)</f>
        <v>1.1999999999999999E-3</v>
      </c>
      <c r="AY18" s="38">
        <f>VLOOKUP(P18,'Coefficient Normal'!$A$10:$P$14,12,TRUE)</f>
        <v>0.46479999999999999</v>
      </c>
      <c r="AZ18" s="38">
        <f>VLOOKUP(P18,'Coefficient Normal'!$A$10:$P$14,13,TRUE)</f>
        <v>8.0000000000000004E-4</v>
      </c>
      <c r="BA18" s="38">
        <f>VLOOKUP(P18,'Coefficient Normal'!$A$10:$P$14,14,TRUE)</f>
        <v>6.7900000000000002E-2</v>
      </c>
      <c r="BB18" s="38">
        <f>VLOOKUP(P18,'Coefficient Normal'!$A$10:$P$14,15,TRUE)</f>
        <v>0.58979999999999999</v>
      </c>
      <c r="BC18" s="5">
        <f t="shared" si="23"/>
        <v>1</v>
      </c>
      <c r="BD18" s="5">
        <f t="shared" si="5"/>
        <v>0</v>
      </c>
      <c r="BE18" s="5">
        <f t="shared" si="24"/>
        <v>1</v>
      </c>
      <c r="BF18" s="38">
        <f t="shared" si="6"/>
        <v>1.2696459576698729</v>
      </c>
      <c r="BG18" s="1">
        <v>0.25</v>
      </c>
      <c r="BH18">
        <f t="shared" si="25"/>
        <v>-1.3862943611198906</v>
      </c>
      <c r="BI18" s="38">
        <f t="shared" si="26"/>
        <v>-1.4093596522171674</v>
      </c>
      <c r="BJ18" s="38">
        <f t="shared" si="27"/>
        <v>-1.7893877853405444</v>
      </c>
      <c r="BK18" s="38">
        <f t="shared" si="28"/>
        <v>-0.23403754401623666</v>
      </c>
      <c r="BL18" s="38">
        <f t="shared" si="29"/>
        <v>2.1619093021456997</v>
      </c>
      <c r="BM18" s="38">
        <f t="shared" si="30"/>
        <v>-6.2784862451942356</v>
      </c>
      <c r="BN18" s="38">
        <f t="shared" si="7"/>
        <v>4.0796210557198086E-2</v>
      </c>
      <c r="BO18" s="38">
        <f t="shared" si="31"/>
        <v>-0.96380606184811912</v>
      </c>
      <c r="BP18" s="3">
        <f t="shared" si="32"/>
        <v>0.38143834176838154</v>
      </c>
      <c r="BQ18">
        <f>VLOOKUP(P18,'Coefficient Normal'!$A$10:$P$14,16,TRUE)</f>
        <v>0.34749999999999998</v>
      </c>
      <c r="BR18">
        <v>0.3</v>
      </c>
    </row>
    <row r="19" spans="1:70" x14ac:dyDescent="0.25">
      <c r="A19" s="1">
        <v>17</v>
      </c>
      <c r="B19">
        <v>0.60960000000000003</v>
      </c>
      <c r="C19">
        <f t="shared" si="8"/>
        <v>609.6</v>
      </c>
      <c r="D19">
        <v>9.5250000000000005E-3</v>
      </c>
      <c r="E19">
        <f t="shared" si="8"/>
        <v>9.5250000000000004</v>
      </c>
      <c r="F19" s="4">
        <f t="shared" si="9"/>
        <v>64</v>
      </c>
      <c r="G19" s="1">
        <v>30</v>
      </c>
      <c r="H19" s="10" t="s">
        <v>119</v>
      </c>
      <c r="I19" s="144">
        <f t="shared" si="10"/>
        <v>14</v>
      </c>
      <c r="J19" s="144">
        <f t="shared" si="11"/>
        <v>15</v>
      </c>
      <c r="K19" s="144">
        <f t="shared" si="12"/>
        <v>483000</v>
      </c>
      <c r="L19" s="144">
        <f t="shared" si="13"/>
        <v>565000</v>
      </c>
      <c r="M19" s="144">
        <f t="shared" si="14"/>
        <v>2.8799444073326219</v>
      </c>
      <c r="N19" s="4">
        <f>100*IF(H19='Estimation Model Normal-Slip'!$J$8,'Estimation Model Normal-Slip'!$O$8,IF(H19='Estimation Model Normal-Slip'!$J$9,'Estimation Model Normal-Slip'!$O$9,IF(H19='Estimation Model Normal-Slip'!$J$10,'Estimation Model Normal-Slip'!$O$10,IF(H19='Estimation Model Normal-Slip'!$J$11,'Estimation Model Normal-Slip'!$O$11,IF(H19='Estimation Model Normal-Slip'!$J$12,'Estimation Model Normal-Slip'!$O$12,IF(H19='Estimation Model Normal-Slip'!$J$13,'Estimation Model Normal-Slip'!$O$13,2))))))</f>
        <v>2.7690517990613435</v>
      </c>
      <c r="O19" s="144">
        <f t="shared" si="15"/>
        <v>1.0577709909520427</v>
      </c>
      <c r="P19" s="1">
        <v>45</v>
      </c>
      <c r="Q19" s="1" t="s">
        <v>9</v>
      </c>
      <c r="R19" t="s">
        <v>267</v>
      </c>
      <c r="S19">
        <f t="shared" si="16"/>
        <v>18</v>
      </c>
      <c r="T19" s="1">
        <f t="shared" si="17"/>
        <v>37</v>
      </c>
      <c r="U19">
        <f t="shared" si="18"/>
        <v>0</v>
      </c>
      <c r="V19">
        <f t="shared" si="19"/>
        <v>0</v>
      </c>
      <c r="W19">
        <v>0.9</v>
      </c>
      <c r="X19" s="1">
        <v>1</v>
      </c>
      <c r="Y19" s="1">
        <f t="shared" si="0"/>
        <v>1.8</v>
      </c>
      <c r="Z19">
        <f t="shared" si="20"/>
        <v>22.643916192420797</v>
      </c>
      <c r="AA19">
        <f>IF(R19="medium dense",'Coefficient Normal'!$E$18 + ('Coefficient Normal'!$E$19*Y19) + ('Coefficient Normal'!$E$20*(Y19^2)) + ('Coefficient Normal'!$E$21*(Y19^3)) + ('Coefficient Normal'!$E$22*(Y19^4)),IF(R19="dense",'Coefficient Normal'!$F$18 + ('Coefficient Normal'!$F$19*Y19) + ('Coefficient Normal'!$F$20*(Y19^2)) + ('Coefficient Normal'!$F$21*(Y19^3)) + ('Coefficient Normal'!$F$22*(Y19^4)),IF(R19="very dense",'Coefficient Normal'!$G$18 + ('Coefficient Normal'!$G$19*Y19) + ('Coefficient Normal'!$G$20*(Y19^2)) + ('Coefficient Normal'!$G$21*(Y19^3)) + ('Coefficient Normal'!$G$22*(Y19^4)),0)))</f>
        <v>12.698394373823998</v>
      </c>
      <c r="AB19">
        <f t="shared" si="21"/>
        <v>64.071522599936642</v>
      </c>
      <c r="AC19">
        <f t="shared" si="1"/>
        <v>353.62475395575746</v>
      </c>
      <c r="AD19">
        <f t="shared" si="22"/>
        <v>5.8682363338442034</v>
      </c>
      <c r="AE19">
        <f t="shared" si="2"/>
        <v>4.1588830833596715</v>
      </c>
      <c r="AF19">
        <f t="shared" si="3"/>
        <v>3.1198912150732698</v>
      </c>
      <c r="AG19" s="38">
        <f>VLOOKUP(P19,'Coefficient Normal'!$A$3:$H$7,2,TRUE)</f>
        <v>3.7532999999999999</v>
      </c>
      <c r="AH19" s="38">
        <f>VLOOKUP(P19,'Coefficient Normal'!$A$3:$H$7,3,TRUE)</f>
        <v>0.14510000000000001</v>
      </c>
      <c r="AI19" s="38">
        <f>VLOOKUP(P19,'Coefficient Normal'!$A$3:$H$7,4,TRUE)</f>
        <v>1.2497</v>
      </c>
      <c r="AJ19" s="38">
        <f>VLOOKUP(P19,'Coefficient Normal'!$A$3:$H$7,5,TRUE)</f>
        <v>-0.46100000000000002</v>
      </c>
      <c r="AK19" s="38">
        <f>VLOOKUP(P19,'Coefficient Normal'!$A$3:$H$7,6,TRUE)</f>
        <v>0.39140000000000003</v>
      </c>
      <c r="AL19" s="38">
        <f>VLOOKUP(P19,'Coefficient Normal'!$A$3:$H$7,7,TRUE)</f>
        <v>-0.21310000000000001</v>
      </c>
      <c r="AM19" s="38">
        <f>VLOOKUP(P19,'Coefficient Normal'!$A$3:$H$7,8,TRUE)</f>
        <v>-0.34139999999999998</v>
      </c>
      <c r="AN19" s="38">
        <f t="shared" si="4"/>
        <v>-0.19061367663895701</v>
      </c>
      <c r="AO19" s="38">
        <f>VLOOKUP(P19,'Coefficient Normal'!$A$10:$P$14,2,TRUE)</f>
        <v>-1.1082000000000001</v>
      </c>
      <c r="AP19" s="38">
        <f>VLOOKUP(P19,'Coefficient Normal'!$A$10:$P$14,3,TRUE)</f>
        <v>0.10630000000000001</v>
      </c>
      <c r="AQ19" s="38">
        <f>VLOOKUP(P19,'Coefficient Normal'!$A$10:$P$14,4,TRUE)</f>
        <v>-0.1439</v>
      </c>
      <c r="AR19" s="38">
        <f>VLOOKUP(P19,'Coefficient Normal'!$A$10:$P$14,5,TRUE)</f>
        <v>0.27879999999999999</v>
      </c>
      <c r="AS19" s="38">
        <f>VLOOKUP(P19,'Coefficient Normal'!$A$10:$P$14,6,TRUE)</f>
        <v>-0.31030000000000002</v>
      </c>
      <c r="AT19" s="38">
        <f>VLOOKUP(P19,'Coefficient Normal'!$A$10:$P$14,7,TRUE)</f>
        <v>1.2553000000000001</v>
      </c>
      <c r="AU19" s="38">
        <f>VLOOKUP(P19,'Coefficient Normal'!$A$10:$P$14,8,TRUE)</f>
        <v>2.9999999999999997E-4</v>
      </c>
      <c r="AV19" s="38">
        <f>VLOOKUP(P19,'Coefficient Normal'!$A$10:$P$14,9,TRUE)</f>
        <v>5.1999999999999998E-3</v>
      </c>
      <c r="AW19" s="38">
        <f>VLOOKUP(P19,'Coefficient Normal'!$A$10:$P$14,10,TRUE)</f>
        <v>-8.5900000000000004E-2</v>
      </c>
      <c r="AX19" s="38">
        <f>VLOOKUP(P19,'Coefficient Normal'!$A$10:$P$14,11,TRUE)</f>
        <v>5.9999999999999995E-4</v>
      </c>
      <c r="AY19" s="38">
        <f>VLOOKUP(P19,'Coefficient Normal'!$A$10:$P$14,12,TRUE)</f>
        <v>-0.21759999999999999</v>
      </c>
      <c r="AZ19" s="38">
        <f>VLOOKUP(P19,'Coefficient Normal'!$A$10:$P$14,13,TRUE)</f>
        <v>-2.69E-2</v>
      </c>
      <c r="BA19" s="38">
        <f>VLOOKUP(P19,'Coefficient Normal'!$A$10:$P$14,14,TRUE)</f>
        <v>0.57389999999999997</v>
      </c>
      <c r="BB19" s="38">
        <f>VLOOKUP(P19,'Coefficient Normal'!$A$10:$P$14,15,TRUE)</f>
        <v>0.34460000000000002</v>
      </c>
      <c r="BC19" s="5">
        <f t="shared" si="23"/>
        <v>1</v>
      </c>
      <c r="BD19" s="5">
        <f t="shared" si="5"/>
        <v>1</v>
      </c>
      <c r="BE19" s="5">
        <f t="shared" si="24"/>
        <v>1</v>
      </c>
      <c r="BF19" s="38">
        <f t="shared" si="6"/>
        <v>0.93649317485772643</v>
      </c>
      <c r="BG19" s="1">
        <v>0.28000000000000003</v>
      </c>
      <c r="BH19">
        <f t="shared" si="25"/>
        <v>-1.2729656758128873</v>
      </c>
      <c r="BI19" s="38">
        <f t="shared" si="26"/>
        <v>-1.0823519991739303</v>
      </c>
      <c r="BJ19" s="38">
        <f t="shared" si="27"/>
        <v>-1.0136152600200012</v>
      </c>
      <c r="BK19" s="38">
        <f t="shared" si="28"/>
        <v>0.44208927176113311</v>
      </c>
      <c r="BL19" s="38">
        <f t="shared" si="29"/>
        <v>-0.44895234584904353</v>
      </c>
      <c r="BM19" s="38">
        <f t="shared" si="30"/>
        <v>1.6360642898757638</v>
      </c>
      <c r="BN19" s="38">
        <f t="shared" si="7"/>
        <v>0.15358369081139006</v>
      </c>
      <c r="BO19" s="38">
        <f t="shared" si="31"/>
        <v>-0.33903035342075799</v>
      </c>
      <c r="BP19" s="3">
        <f t="shared" si="32"/>
        <v>0.71246082313784431</v>
      </c>
      <c r="BQ19">
        <f>VLOOKUP(P19,'Coefficient Normal'!$A$10:$P$14,16,TRUE)</f>
        <v>0.3997</v>
      </c>
      <c r="BR19">
        <v>0.3</v>
      </c>
    </row>
    <row r="20" spans="1:70" x14ac:dyDescent="0.25">
      <c r="A20" s="1">
        <v>18</v>
      </c>
      <c r="B20">
        <v>0.40960000000000002</v>
      </c>
      <c r="C20">
        <f t="shared" si="8"/>
        <v>409.6</v>
      </c>
      <c r="D20">
        <v>9.5250000000000005E-3</v>
      </c>
      <c r="E20">
        <f t="shared" si="8"/>
        <v>9.5250000000000004</v>
      </c>
      <c r="F20" s="4">
        <f t="shared" si="9"/>
        <v>43.00262467191601</v>
      </c>
      <c r="G20" s="1">
        <v>50</v>
      </c>
      <c r="H20" s="10" t="s">
        <v>120</v>
      </c>
      <c r="I20" s="144">
        <f t="shared" si="10"/>
        <v>15</v>
      </c>
      <c r="J20" s="144">
        <f t="shared" si="11"/>
        <v>20</v>
      </c>
      <c r="K20" s="144">
        <f t="shared" si="12"/>
        <v>552000</v>
      </c>
      <c r="L20" s="144">
        <f t="shared" si="13"/>
        <v>625000</v>
      </c>
      <c r="M20" s="144">
        <f t="shared" si="14"/>
        <v>2.9888368774026359</v>
      </c>
      <c r="N20" s="4">
        <f>100*IF(H20='Estimation Model Normal-Slip'!$J$8,'Estimation Model Normal-Slip'!$O$8,IF(H20='Estimation Model Normal-Slip'!$J$9,'Estimation Model Normal-Slip'!$O$9,IF(H20='Estimation Model Normal-Slip'!$J$10,'Estimation Model Normal-Slip'!$O$10,IF(H20='Estimation Model Normal-Slip'!$J$11,'Estimation Model Normal-Slip'!$O$11,IF(H20='Estimation Model Normal-Slip'!$J$12,'Estimation Model Normal-Slip'!$O$12,IF(H20='Estimation Model Normal-Slip'!$J$13,'Estimation Model Normal-Slip'!$O$13,2))))))</f>
        <v>2.8464933991254466</v>
      </c>
      <c r="O20" s="144">
        <f t="shared" si="15"/>
        <v>1.0948843075076633</v>
      </c>
      <c r="P20" s="1">
        <v>60</v>
      </c>
      <c r="Q20" s="1" t="s">
        <v>9</v>
      </c>
      <c r="R20" t="s">
        <v>268</v>
      </c>
      <c r="S20">
        <f t="shared" si="16"/>
        <v>18.5</v>
      </c>
      <c r="T20" s="1">
        <f t="shared" si="17"/>
        <v>40</v>
      </c>
      <c r="U20">
        <f t="shared" si="18"/>
        <v>0</v>
      </c>
      <c r="V20">
        <f t="shared" si="19"/>
        <v>0</v>
      </c>
      <c r="W20">
        <v>0.9</v>
      </c>
      <c r="X20" s="1">
        <v>1.2</v>
      </c>
      <c r="Y20" s="1">
        <f t="shared" si="0"/>
        <v>2.9296874999999996</v>
      </c>
      <c r="Z20">
        <f t="shared" si="20"/>
        <v>20.755052478770708</v>
      </c>
      <c r="AA20">
        <f>IF(R20="medium dense",'Coefficient Normal'!$E$18 + ('Coefficient Normal'!$E$19*Y20) + ('Coefficient Normal'!$E$20*(Y20^2)) + ('Coefficient Normal'!$E$21*(Y20^3)) + ('Coefficient Normal'!$E$22*(Y20^4)),IF(R20="dense",'Coefficient Normal'!$F$18 + ('Coefficient Normal'!$F$19*Y20) + ('Coefficient Normal'!$F$20*(Y20^2)) + ('Coefficient Normal'!$F$21*(Y20^3)) + ('Coefficient Normal'!$F$22*(Y20^4)),IF(R20="very dense",'Coefficient Normal'!$G$18 + ('Coefficient Normal'!$G$19*Y20) + ('Coefficient Normal'!$G$20*(Y20^2)) + ('Coefficient Normal'!$G$21*(Y20^3)) + ('Coefficient Normal'!$G$22*(Y20^4)),0)))</f>
        <v>16.165411783848704</v>
      </c>
      <c r="AB20">
        <f t="shared" si="21"/>
        <v>80</v>
      </c>
      <c r="AC20">
        <f t="shared" si="1"/>
        <v>271.14542759995038</v>
      </c>
      <c r="AD20">
        <f t="shared" si="22"/>
        <v>5.6026553101537404</v>
      </c>
      <c r="AE20">
        <f t="shared" si="2"/>
        <v>3.7612611527125335</v>
      </c>
      <c r="AF20">
        <f t="shared" si="3"/>
        <v>3.0327897099899146</v>
      </c>
      <c r="AG20" s="38">
        <f>VLOOKUP(P20,'Coefficient Normal'!$A$3:$H$7,2,TRUE)</f>
        <v>4.3182999999999998</v>
      </c>
      <c r="AH20" s="38">
        <f>VLOOKUP(P20,'Coefficient Normal'!$A$3:$H$7,3,TRUE)</f>
        <v>-2.7900000000000001E-2</v>
      </c>
      <c r="AI20" s="38">
        <f>VLOOKUP(P20,'Coefficient Normal'!$A$3:$H$7,4,TRUE)</f>
        <v>1.0497000000000001</v>
      </c>
      <c r="AJ20" s="38">
        <f>VLOOKUP(P20,'Coefficient Normal'!$A$3:$H$7,5,TRUE)</f>
        <v>-0.46910000000000002</v>
      </c>
      <c r="AK20" s="38">
        <f>VLOOKUP(P20,'Coefficient Normal'!$A$3:$H$7,6,TRUE)</f>
        <v>0.29149999999999998</v>
      </c>
      <c r="AL20" s="38">
        <f>VLOOKUP(P20,'Coefficient Normal'!$A$3:$H$7,7,TRUE)</f>
        <v>-0.28610000000000002</v>
      </c>
      <c r="AM20" s="38">
        <f>VLOOKUP(P20,'Coefficient Normal'!$A$3:$H$7,8,TRUE)</f>
        <v>-0.1348</v>
      </c>
      <c r="AN20" s="38">
        <f t="shared" si="4"/>
        <v>-0.18476915335014066</v>
      </c>
      <c r="AO20" s="38">
        <f>VLOOKUP(P20,'Coefficient Normal'!$A$10:$P$14,2,TRUE)</f>
        <v>-2.1276999999999999</v>
      </c>
      <c r="AP20" s="38">
        <f>VLOOKUP(P20,'Coefficient Normal'!$A$10:$P$14,3,TRUE)</f>
        <v>0.14760000000000001</v>
      </c>
      <c r="AQ20" s="38">
        <f>VLOOKUP(P20,'Coefficient Normal'!$A$10:$P$14,4,TRUE)</f>
        <v>-0.21829999999999999</v>
      </c>
      <c r="AR20" s="38">
        <f>VLOOKUP(P20,'Coefficient Normal'!$A$10:$P$14,5,TRUE)</f>
        <v>0.42270000000000002</v>
      </c>
      <c r="AS20" s="38">
        <f>VLOOKUP(P20,'Coefficient Normal'!$A$10:$P$14,6,TRUE)</f>
        <v>-0.53720000000000001</v>
      </c>
      <c r="AT20" s="38">
        <f>VLOOKUP(P20,'Coefficient Normal'!$A$10:$P$14,7,TRUE)</f>
        <v>1.252</v>
      </c>
      <c r="AU20" s="38">
        <f>VLOOKUP(P20,'Coefficient Normal'!$A$10:$P$14,8,TRUE)</f>
        <v>-5.9999999999999995E-4</v>
      </c>
      <c r="AV20" s="38">
        <f>VLOOKUP(P20,'Coefficient Normal'!$A$10:$P$14,9,TRUE)</f>
        <v>5.3E-3</v>
      </c>
      <c r="AW20" s="38">
        <f>VLOOKUP(P20,'Coefficient Normal'!$A$10:$P$14,10,TRUE)</f>
        <v>-4.8500000000000001E-2</v>
      </c>
      <c r="AX20" s="38">
        <f>VLOOKUP(P20,'Coefficient Normal'!$A$10:$P$14,11,TRUE)</f>
        <v>1.2999999999999999E-3</v>
      </c>
      <c r="AY20" s="38">
        <f>VLOOKUP(P20,'Coefficient Normal'!$A$10:$P$14,12,TRUE)</f>
        <v>-0.56599999999999995</v>
      </c>
      <c r="AZ20" s="38">
        <f>VLOOKUP(P20,'Coefficient Normal'!$A$10:$P$14,13,TRUE)</f>
        <v>-3.2099999999999997E-2</v>
      </c>
      <c r="BA20" s="38">
        <f>VLOOKUP(P20,'Coefficient Normal'!$A$10:$P$14,14,TRUE)</f>
        <v>0.84970000000000001</v>
      </c>
      <c r="BB20" s="38">
        <f>VLOOKUP(P20,'Coefficient Normal'!$A$10:$P$14,15,TRUE)</f>
        <v>9.01E-2</v>
      </c>
      <c r="BC20" s="5">
        <f t="shared" si="23"/>
        <v>1</v>
      </c>
      <c r="BD20" s="5">
        <f t="shared" si="5"/>
        <v>1</v>
      </c>
      <c r="BE20" s="5">
        <f t="shared" si="24"/>
        <v>1</v>
      </c>
      <c r="BF20" s="38">
        <f t="shared" si="6"/>
        <v>1.0304503805862284</v>
      </c>
      <c r="BG20" s="1">
        <v>0.18</v>
      </c>
      <c r="BH20">
        <f t="shared" si="25"/>
        <v>-1.7147984280919266</v>
      </c>
      <c r="BI20" s="38">
        <f t="shared" si="26"/>
        <v>-1.5300292747417861</v>
      </c>
      <c r="BJ20" s="38">
        <f t="shared" si="27"/>
        <v>-1.5766192484657444</v>
      </c>
      <c r="BK20" s="38">
        <f t="shared" si="28"/>
        <v>0.55516214614036996</v>
      </c>
      <c r="BL20" s="38">
        <f t="shared" si="29"/>
        <v>-0.66205799369079832</v>
      </c>
      <c r="BM20" s="38">
        <f t="shared" si="30"/>
        <v>2.3682423996019861</v>
      </c>
      <c r="BN20" s="38">
        <f t="shared" si="7"/>
        <v>0.47949086306397387</v>
      </c>
      <c r="BO20" s="38">
        <f t="shared" si="31"/>
        <v>-0.96348183335021309</v>
      </c>
      <c r="BP20" s="3">
        <f t="shared" si="32"/>
        <v>0.3815620350003287</v>
      </c>
      <c r="BQ20">
        <f>VLOOKUP(P20,'Coefficient Normal'!$A$10:$P$14,16,TRUE)</f>
        <v>0.50170000000000003</v>
      </c>
      <c r="BR20">
        <v>0.3</v>
      </c>
    </row>
    <row r="21" spans="1:70" x14ac:dyDescent="0.25">
      <c r="A21" s="1">
        <v>19</v>
      </c>
      <c r="B21">
        <v>0.89600000000000002</v>
      </c>
      <c r="C21">
        <f t="shared" si="8"/>
        <v>896</v>
      </c>
      <c r="D21">
        <v>9.5250000000000005E-3</v>
      </c>
      <c r="E21">
        <f t="shared" si="8"/>
        <v>9.5250000000000004</v>
      </c>
      <c r="F21" s="4">
        <f t="shared" si="9"/>
        <v>94.068241469816272</v>
      </c>
      <c r="G21" s="1">
        <v>100</v>
      </c>
      <c r="H21" s="10" t="s">
        <v>117</v>
      </c>
      <c r="I21" s="144">
        <f t="shared" si="10"/>
        <v>8</v>
      </c>
      <c r="J21" s="144">
        <f t="shared" si="11"/>
        <v>10</v>
      </c>
      <c r="K21" s="144">
        <f t="shared" si="12"/>
        <v>359000</v>
      </c>
      <c r="L21" s="144">
        <f t="shared" si="13"/>
        <v>455000</v>
      </c>
      <c r="M21" s="144">
        <f t="shared" si="14"/>
        <v>1.9969902892117808</v>
      </c>
      <c r="N21" s="4">
        <f>100*IF(H21='Estimation Model Normal-Slip'!$J$8,'Estimation Model Normal-Slip'!$O$8,IF(H21='Estimation Model Normal-Slip'!$J$9,'Estimation Model Normal-Slip'!$O$9,IF(H21='Estimation Model Normal-Slip'!$J$10,'Estimation Model Normal-Slip'!$O$10,IF(H21='Estimation Model Normal-Slip'!$J$11,'Estimation Model Normal-Slip'!$O$11,IF(H21='Estimation Model Normal-Slip'!$J$12,'Estimation Model Normal-Slip'!$O$12,IF(H21='Estimation Model Normal-Slip'!$J$13,'Estimation Model Normal-Slip'!$O$13,2))))))</f>
        <v>1.9041242414694344</v>
      </c>
      <c r="O21" s="144">
        <f t="shared" si="15"/>
        <v>0.69164119173371341</v>
      </c>
      <c r="P21" s="1">
        <v>75</v>
      </c>
      <c r="Q21" s="1" t="s">
        <v>9</v>
      </c>
      <c r="R21" t="s">
        <v>270</v>
      </c>
      <c r="S21">
        <f t="shared" si="16"/>
        <v>19</v>
      </c>
      <c r="T21" s="1">
        <f t="shared" si="17"/>
        <v>43</v>
      </c>
      <c r="U21">
        <f t="shared" si="18"/>
        <v>0</v>
      </c>
      <c r="V21">
        <f t="shared" si="19"/>
        <v>0</v>
      </c>
      <c r="W21">
        <v>0.9</v>
      </c>
      <c r="X21" s="1">
        <v>0.8</v>
      </c>
      <c r="Y21" s="1">
        <f t="shared" si="0"/>
        <v>1.8</v>
      </c>
      <c r="Z21">
        <f t="shared" si="20"/>
        <v>34.278032614587922</v>
      </c>
      <c r="AA21">
        <f>IF(R21="medium dense",'Coefficient Normal'!$E$18 + ('Coefficient Normal'!$E$19*Y21) + ('Coefficient Normal'!$E$20*(Y21^2)) + ('Coefficient Normal'!$E$21*(Y21^3)) + ('Coefficient Normal'!$E$22*(Y21^4)),IF(R21="dense",'Coefficient Normal'!$F$18 + ('Coefficient Normal'!$F$19*Y21) + ('Coefficient Normal'!$F$20*(Y21^2)) + ('Coefficient Normal'!$F$21*(Y21^3)) + ('Coefficient Normal'!$F$22*(Y21^4)),IF(R21="very dense",'Coefficient Normal'!$G$18 + ('Coefficient Normal'!$G$19*Y21) + ('Coefficient Normal'!$G$20*(Y21^2)) + ('Coefficient Normal'!$G$21*(Y21^3)) + ('Coefficient Normal'!$G$22*(Y21^4)),0)))</f>
        <v>18.784824717152006</v>
      </c>
      <c r="AB21">
        <f t="shared" si="21"/>
        <v>80</v>
      </c>
      <c r="AC21">
        <f t="shared" si="1"/>
        <v>865.97444478783666</v>
      </c>
      <c r="AD21">
        <f t="shared" si="22"/>
        <v>6.7638553986441545</v>
      </c>
      <c r="AE21">
        <f t="shared" si="2"/>
        <v>4.5440204919621658</v>
      </c>
      <c r="AF21">
        <f t="shared" si="3"/>
        <v>3.5345047004428238</v>
      </c>
      <c r="AG21" s="38">
        <f>VLOOKUP(P21,'Coefficient Normal'!$A$3:$H$7,2,TRUE)</f>
        <v>5.5951000000000004</v>
      </c>
      <c r="AH21" s="38">
        <f>VLOOKUP(P21,'Coefficient Normal'!$A$3:$H$7,3,TRUE)</f>
        <v>1.6E-2</v>
      </c>
      <c r="AI21" s="38">
        <f>VLOOKUP(P21,'Coefficient Normal'!$A$3:$H$7,4,TRUE)</f>
        <v>1.2641</v>
      </c>
      <c r="AJ21" s="38">
        <f>VLOOKUP(P21,'Coefficient Normal'!$A$3:$H$7,5,TRUE)</f>
        <v>-0.52429999999999999</v>
      </c>
      <c r="AK21" s="38">
        <f>VLOOKUP(P21,'Coefficient Normal'!$A$3:$H$7,6,TRUE)</f>
        <v>0.35830000000000001</v>
      </c>
      <c r="AL21" s="38">
        <f>VLOOKUP(P21,'Coefficient Normal'!$A$3:$H$7,7,TRUE)</f>
        <v>-0.35920000000000002</v>
      </c>
      <c r="AM21" s="38">
        <f>VLOOKUP(P21,'Coefficient Normal'!$A$3:$H$7,8,TRUE)</f>
        <v>-0.2482</v>
      </c>
      <c r="AN21" s="38">
        <f t="shared" si="4"/>
        <v>8.8509920075637738E-2</v>
      </c>
      <c r="AO21" s="38">
        <f>VLOOKUP(P21,'Coefficient Normal'!$A$10:$P$14,2,TRUE)</f>
        <v>-2.3450000000000002</v>
      </c>
      <c r="AP21" s="38">
        <f>VLOOKUP(P21,'Coefficient Normal'!$A$10:$P$14,3,TRUE)</f>
        <v>0.19470000000000001</v>
      </c>
      <c r="AQ21" s="38">
        <f>VLOOKUP(P21,'Coefficient Normal'!$A$10:$P$14,4,TRUE)</f>
        <v>-0.2044</v>
      </c>
      <c r="AR21" s="38">
        <f>VLOOKUP(P21,'Coefficient Normal'!$A$10:$P$14,5,TRUE)</f>
        <v>0.4143</v>
      </c>
      <c r="AS21" s="38">
        <f>VLOOKUP(P21,'Coefficient Normal'!$A$10:$P$14,6,TRUE)</f>
        <v>-0.55710000000000004</v>
      </c>
      <c r="AT21" s="38">
        <f>VLOOKUP(P21,'Coefficient Normal'!$A$10:$P$14,7,TRUE)</f>
        <v>1.0931</v>
      </c>
      <c r="AU21" s="38">
        <f>VLOOKUP(P21,'Coefficient Normal'!$A$10:$P$14,8,TRUE)</f>
        <v>1E-4</v>
      </c>
      <c r="AV21" s="38">
        <f>VLOOKUP(P21,'Coefficient Normal'!$A$10:$P$14,9,TRUE)</f>
        <v>3.5000000000000001E-3</v>
      </c>
      <c r="AW21" s="38">
        <f>VLOOKUP(P21,'Coefficient Normal'!$A$10:$P$14,10,TRUE)</f>
        <v>-4.07E-2</v>
      </c>
      <c r="AX21" s="38">
        <f>VLOOKUP(P21,'Coefficient Normal'!$A$10:$P$14,11,TRUE)</f>
        <v>1.6000000000000001E-3</v>
      </c>
      <c r="AY21" s="38">
        <f>VLOOKUP(P21,'Coefficient Normal'!$A$10:$P$14,12,TRUE)</f>
        <v>-0.65949999999999998</v>
      </c>
      <c r="AZ21" s="38">
        <f>VLOOKUP(P21,'Coefficient Normal'!$A$10:$P$14,13,TRUE)</f>
        <v>-3.0099999999999998E-2</v>
      </c>
      <c r="BA21" s="38">
        <f>VLOOKUP(P21,'Coefficient Normal'!$A$10:$P$14,14,TRUE)</f>
        <v>0.84219999999999995</v>
      </c>
      <c r="BB21" s="38">
        <f>VLOOKUP(P21,'Coefficient Normal'!$A$10:$P$14,15,TRUE)</f>
        <v>0.50680000000000003</v>
      </c>
      <c r="BC21" s="5">
        <f t="shared" si="23"/>
        <v>1</v>
      </c>
      <c r="BD21" s="5">
        <f t="shared" si="5"/>
        <v>0</v>
      </c>
      <c r="BE21" s="5">
        <f t="shared" si="24"/>
        <v>1</v>
      </c>
      <c r="BF21" s="38">
        <f t="shared" si="6"/>
        <v>1.2063369896131648</v>
      </c>
      <c r="BG21" s="1">
        <v>0.4</v>
      </c>
      <c r="BH21">
        <f t="shared" si="25"/>
        <v>-0.916290731874155</v>
      </c>
      <c r="BI21" s="38">
        <f t="shared" si="26"/>
        <v>-1.0048006519497927</v>
      </c>
      <c r="BJ21" s="38">
        <f t="shared" si="27"/>
        <v>-1.2121281936344583</v>
      </c>
      <c r="BK21" s="38">
        <f t="shared" si="28"/>
        <v>0.88472078978503377</v>
      </c>
      <c r="BL21" s="38">
        <f t="shared" si="29"/>
        <v>-0.72245276077051324</v>
      </c>
      <c r="BM21" s="38">
        <f t="shared" si="30"/>
        <v>2.8022652916582733</v>
      </c>
      <c r="BN21" s="38">
        <f t="shared" si="7"/>
        <v>6.1177861852614784E-2</v>
      </c>
      <c r="BO21" s="38">
        <f t="shared" si="31"/>
        <v>-0.53141701110905004</v>
      </c>
      <c r="BP21" s="3">
        <f t="shared" si="32"/>
        <v>0.58777150055444438</v>
      </c>
      <c r="BQ21">
        <f>VLOOKUP(P21,'Coefficient Normal'!$A$10:$P$14,16,TRUE)</f>
        <v>0.43780000000000002</v>
      </c>
      <c r="BR21">
        <v>0.3</v>
      </c>
    </row>
    <row r="22" spans="1:70" x14ac:dyDescent="0.25">
      <c r="A22" s="1">
        <v>20</v>
      </c>
      <c r="B22">
        <v>0.5</v>
      </c>
      <c r="C22">
        <f t="shared" si="8"/>
        <v>500</v>
      </c>
      <c r="D22">
        <v>9.5250000000000005E-3</v>
      </c>
      <c r="E22">
        <f t="shared" si="8"/>
        <v>9.5250000000000004</v>
      </c>
      <c r="F22" s="4">
        <f t="shared" si="9"/>
        <v>52.493438320209975</v>
      </c>
      <c r="G22" s="1">
        <v>300</v>
      </c>
      <c r="H22" s="10" t="s">
        <v>117</v>
      </c>
      <c r="I22" s="144">
        <f t="shared" si="10"/>
        <v>8</v>
      </c>
      <c r="J22" s="144">
        <f t="shared" si="11"/>
        <v>10</v>
      </c>
      <c r="K22" s="144">
        <f t="shared" si="12"/>
        <v>359000</v>
      </c>
      <c r="L22" s="144">
        <f t="shared" si="13"/>
        <v>455000</v>
      </c>
      <c r="M22" s="144">
        <f t="shared" si="14"/>
        <v>1.9969902892117808</v>
      </c>
      <c r="N22" s="4">
        <f>100*IF(H22='Estimation Model Normal-Slip'!$J$8,'Estimation Model Normal-Slip'!$O$8,IF(H22='Estimation Model Normal-Slip'!$J$9,'Estimation Model Normal-Slip'!$O$9,IF(H22='Estimation Model Normal-Slip'!$J$10,'Estimation Model Normal-Slip'!$O$10,IF(H22='Estimation Model Normal-Slip'!$J$11,'Estimation Model Normal-Slip'!$O$11,IF(H22='Estimation Model Normal-Slip'!$J$12,'Estimation Model Normal-Slip'!$O$12,IF(H22='Estimation Model Normal-Slip'!$J$13,'Estimation Model Normal-Slip'!$O$13,2))))))</f>
        <v>1.9041242414694344</v>
      </c>
      <c r="O22" s="144">
        <f t="shared" si="15"/>
        <v>0.69164119173371341</v>
      </c>
      <c r="P22" s="1">
        <v>90</v>
      </c>
      <c r="Q22" s="1" t="s">
        <v>9</v>
      </c>
      <c r="R22" t="s">
        <v>267</v>
      </c>
      <c r="S22">
        <f t="shared" si="16"/>
        <v>18</v>
      </c>
      <c r="T22" s="1">
        <f t="shared" si="17"/>
        <v>37</v>
      </c>
      <c r="U22">
        <f t="shared" si="18"/>
        <v>0</v>
      </c>
      <c r="V22">
        <f t="shared" si="19"/>
        <v>0</v>
      </c>
      <c r="W22">
        <v>0.9</v>
      </c>
      <c r="X22" s="1">
        <v>2</v>
      </c>
      <c r="Y22" s="1">
        <f t="shared" si="0"/>
        <v>4</v>
      </c>
      <c r="Z22">
        <f t="shared" si="20"/>
        <v>37.145531811713909</v>
      </c>
      <c r="AA22">
        <f>IF(R22="medium dense",'Coefficient Normal'!$E$18 + ('Coefficient Normal'!$E$19*Y22) + ('Coefficient Normal'!$E$20*(Y22^2)) + ('Coefficient Normal'!$E$21*(Y22^3)) + ('Coefficient Normal'!$E$22*(Y22^4)),IF(R22="dense",'Coefficient Normal'!$F$18 + ('Coefficient Normal'!$F$19*Y22) + ('Coefficient Normal'!$F$20*(Y22^2)) + ('Coefficient Normal'!$F$21*(Y22^3)) + ('Coefficient Normal'!$F$22*(Y22^4)),IF(R22="very dense",'Coefficient Normal'!$G$18 + ('Coefficient Normal'!$G$19*Y22) + ('Coefficient Normal'!$G$20*(Y22^2)) + ('Coefficient Normal'!$G$21*(Y22^3)) + ('Coefficient Normal'!$G$22*(Y22^4)),0)))</f>
        <v>14.286272930000003</v>
      </c>
      <c r="AB22">
        <f t="shared" si="21"/>
        <v>64.071522599936642</v>
      </c>
      <c r="AC22">
        <f t="shared" si="1"/>
        <v>401.31383858985748</v>
      </c>
      <c r="AD22">
        <f t="shared" si="22"/>
        <v>5.9947437610786407</v>
      </c>
      <c r="AE22">
        <f t="shared" si="2"/>
        <v>3.9606881774094269</v>
      </c>
      <c r="AF22">
        <f t="shared" si="3"/>
        <v>3.6148434896829706</v>
      </c>
      <c r="AG22" s="38">
        <f>VLOOKUP(P22,'Coefficient Normal'!$A$3:$H$7,2,TRUE)</f>
        <v>14.575100000000001</v>
      </c>
      <c r="AH22" s="38">
        <f>VLOOKUP(P22,'Coefficient Normal'!$A$3:$H$7,3,TRUE)</f>
        <v>0.1356</v>
      </c>
      <c r="AI22" s="38">
        <f>VLOOKUP(P22,'Coefficient Normal'!$A$3:$H$7,4,TRUE)</f>
        <v>2.9990000000000001</v>
      </c>
      <c r="AJ22" s="38">
        <f>VLOOKUP(P22,'Coefficient Normal'!$A$3:$H$7,5,TRUE)</f>
        <v>-0.94710000000000005</v>
      </c>
      <c r="AK22" s="38">
        <f>VLOOKUP(P22,'Coefficient Normal'!$A$3:$H$7,6,TRUE)</f>
        <v>0.6603</v>
      </c>
      <c r="AL22" s="38">
        <f>VLOOKUP(P22,'Coefficient Normal'!$A$3:$H$7,7,TRUE)</f>
        <v>-1.2488999999999999</v>
      </c>
      <c r="AM22" s="38">
        <f>VLOOKUP(P22,'Coefficient Normal'!$A$3:$H$7,8,TRUE)</f>
        <v>-0.44140000000000001</v>
      </c>
      <c r="AN22" s="38">
        <f t="shared" si="4"/>
        <v>0.89288001558423113</v>
      </c>
      <c r="AO22" s="38">
        <f>VLOOKUP(P22,'Coefficient Normal'!$A$10:$P$14,2,TRUE)</f>
        <v>5.1353999999999997</v>
      </c>
      <c r="AP22" s="38">
        <f>VLOOKUP(P22,'Coefficient Normal'!$A$10:$P$14,3,TRUE)</f>
        <v>-4.9599999999999998E-2</v>
      </c>
      <c r="AQ22" s="38">
        <f>VLOOKUP(P22,'Coefficient Normal'!$A$10:$P$14,4,TRUE)</f>
        <v>0.44590000000000002</v>
      </c>
      <c r="AR22" s="38">
        <f>VLOOKUP(P22,'Coefficient Normal'!$A$10:$P$14,5,TRUE)</f>
        <v>-0.83709999999999996</v>
      </c>
      <c r="AS22" s="38">
        <f>VLOOKUP(P22,'Coefficient Normal'!$A$10:$P$14,6,TRUE)</f>
        <v>0.63090000000000002</v>
      </c>
      <c r="AT22" s="38">
        <f>VLOOKUP(P22,'Coefficient Normal'!$A$10:$P$14,7,TRUE)</f>
        <v>0.91390000000000005</v>
      </c>
      <c r="AU22" s="38">
        <f>VLOOKUP(P22,'Coefficient Normal'!$A$10:$P$14,8,TRUE)</f>
        <v>2.5000000000000001E-3</v>
      </c>
      <c r="AV22" s="38">
        <f>VLOOKUP(P22,'Coefficient Normal'!$A$10:$P$14,9,TRUE)</f>
        <v>1.6000000000000001E-3</v>
      </c>
      <c r="AW22" s="38">
        <f>VLOOKUP(P22,'Coefficient Normal'!$A$10:$P$14,10,TRUE)</f>
        <v>-9.7500000000000003E-2</v>
      </c>
      <c r="AX22" s="38">
        <f>VLOOKUP(P22,'Coefficient Normal'!$A$10:$P$14,11,TRUE)</f>
        <v>1.1999999999999999E-3</v>
      </c>
      <c r="AY22" s="38">
        <f>VLOOKUP(P22,'Coefficient Normal'!$A$10:$P$14,12,TRUE)</f>
        <v>0.46479999999999999</v>
      </c>
      <c r="AZ22" s="38">
        <f>VLOOKUP(P22,'Coefficient Normal'!$A$10:$P$14,13,TRUE)</f>
        <v>8.0000000000000004E-4</v>
      </c>
      <c r="BA22" s="38">
        <f>VLOOKUP(P22,'Coefficient Normal'!$A$10:$P$14,14,TRUE)</f>
        <v>6.7900000000000002E-2</v>
      </c>
      <c r="BB22" s="38">
        <f>VLOOKUP(P22,'Coefficient Normal'!$A$10:$P$14,15,TRUE)</f>
        <v>0.58979999999999999</v>
      </c>
      <c r="BC22" s="5">
        <f t="shared" si="23"/>
        <v>1</v>
      </c>
      <c r="BD22" s="5">
        <f t="shared" si="5"/>
        <v>0</v>
      </c>
      <c r="BE22" s="5">
        <f t="shared" si="24"/>
        <v>1</v>
      </c>
      <c r="BF22" s="38">
        <f t="shared" si="6"/>
        <v>0.97225595551353683</v>
      </c>
      <c r="BG22" s="1">
        <v>1.2</v>
      </c>
      <c r="BH22">
        <f t="shared" si="25"/>
        <v>0.18232155679395459</v>
      </c>
      <c r="BI22" s="38">
        <f t="shared" si="26"/>
        <v>-0.71055845879027657</v>
      </c>
      <c r="BJ22" s="38">
        <f t="shared" si="27"/>
        <v>-0.69084469329936637</v>
      </c>
      <c r="BK22" s="38">
        <f t="shared" si="28"/>
        <v>-0.19645013359950758</v>
      </c>
      <c r="BL22" s="38">
        <f t="shared" si="29"/>
        <v>1.6118587120496366</v>
      </c>
      <c r="BM22" s="38">
        <f t="shared" si="30"/>
        <v>-5.0182000023989302</v>
      </c>
      <c r="BN22" s="38">
        <f t="shared" si="7"/>
        <v>-0.43730655621526948</v>
      </c>
      <c r="BO22" s="38">
        <f t="shared" si="31"/>
        <v>0.40445732653656241</v>
      </c>
      <c r="BP22" s="3">
        <f t="shared" si="32"/>
        <v>1.4984890891045519</v>
      </c>
      <c r="BQ22">
        <f>VLOOKUP(P22,'Coefficient Normal'!$A$10:$P$14,16,TRUE)</f>
        <v>0.34749999999999998</v>
      </c>
      <c r="BR22">
        <v>0.3</v>
      </c>
    </row>
    <row r="23" spans="1:70" x14ac:dyDescent="0.25">
      <c r="AF23" t="e">
        <f t="shared" si="3"/>
        <v>#NUM!</v>
      </c>
    </row>
    <row r="26" spans="1:70" x14ac:dyDescent="0.25">
      <c r="A26" t="s">
        <v>38</v>
      </c>
      <c r="B26" t="s">
        <v>288</v>
      </c>
      <c r="C26" t="s">
        <v>1</v>
      </c>
      <c r="D26" t="s">
        <v>289</v>
      </c>
      <c r="E26" t="s">
        <v>2</v>
      </c>
      <c r="F26" t="s">
        <v>124</v>
      </c>
      <c r="G26" t="s">
        <v>125</v>
      </c>
      <c r="H26" t="s">
        <v>15</v>
      </c>
      <c r="I26" t="s">
        <v>4</v>
      </c>
      <c r="J26" t="s">
        <v>5</v>
      </c>
      <c r="K26" t="s">
        <v>3</v>
      </c>
      <c r="L26" t="s">
        <v>16</v>
      </c>
      <c r="M26" t="s">
        <v>17</v>
      </c>
      <c r="N26" t="s">
        <v>412</v>
      </c>
      <c r="O26" t="s">
        <v>126</v>
      </c>
      <c r="P26" t="s">
        <v>29</v>
      </c>
      <c r="Q26" t="s">
        <v>0</v>
      </c>
      <c r="R26" t="s">
        <v>86</v>
      </c>
      <c r="S26" t="s">
        <v>84</v>
      </c>
      <c r="T26" t="s">
        <v>85</v>
      </c>
      <c r="U26" t="s">
        <v>83</v>
      </c>
      <c r="V26" t="s">
        <v>82</v>
      </c>
      <c r="W26" t="s">
        <v>406</v>
      </c>
      <c r="X26" t="s">
        <v>287</v>
      </c>
      <c r="Y26" t="s">
        <v>127</v>
      </c>
      <c r="Z26" t="s">
        <v>7</v>
      </c>
      <c r="AA26" t="s">
        <v>282</v>
      </c>
      <c r="AB26" t="s">
        <v>128</v>
      </c>
      <c r="AC26" t="s">
        <v>281</v>
      </c>
      <c r="AD26" t="s">
        <v>280</v>
      </c>
      <c r="AE26" t="s">
        <v>172</v>
      </c>
      <c r="AF26" t="s">
        <v>285</v>
      </c>
      <c r="AG26" t="s">
        <v>14</v>
      </c>
      <c r="AH26" t="s">
        <v>11</v>
      </c>
      <c r="AI26" t="s">
        <v>12</v>
      </c>
      <c r="AJ26" t="s">
        <v>100</v>
      </c>
      <c r="AK26" t="s">
        <v>101</v>
      </c>
      <c r="AL26" t="s">
        <v>102</v>
      </c>
      <c r="AM26" t="s">
        <v>103</v>
      </c>
      <c r="AN26" t="s">
        <v>271</v>
      </c>
      <c r="AO26" t="s">
        <v>18</v>
      </c>
      <c r="AP26" t="s">
        <v>104</v>
      </c>
      <c r="AQ26" t="s">
        <v>105</v>
      </c>
      <c r="AR26" t="s">
        <v>106</v>
      </c>
      <c r="AS26" t="s">
        <v>107</v>
      </c>
      <c r="AT26" t="s">
        <v>20</v>
      </c>
      <c r="AU26" t="s">
        <v>21</v>
      </c>
      <c r="AV26" t="s">
        <v>22</v>
      </c>
      <c r="AW26" t="s">
        <v>23</v>
      </c>
      <c r="AX26" t="s">
        <v>24</v>
      </c>
      <c r="AY26" t="s">
        <v>25</v>
      </c>
      <c r="AZ26" t="s">
        <v>26</v>
      </c>
      <c r="BA26" t="s">
        <v>27</v>
      </c>
      <c r="BB26" t="s">
        <v>28</v>
      </c>
      <c r="BC26" t="s">
        <v>272</v>
      </c>
      <c r="BD26" t="s">
        <v>273</v>
      </c>
      <c r="BE26" t="s">
        <v>286</v>
      </c>
      <c r="BF26" t="s">
        <v>19</v>
      </c>
      <c r="BG26" t="s">
        <v>6</v>
      </c>
      <c r="BH26" t="s">
        <v>274</v>
      </c>
      <c r="BI26" t="s">
        <v>275</v>
      </c>
      <c r="BJ26" t="s">
        <v>276</v>
      </c>
      <c r="BK26" t="s">
        <v>277</v>
      </c>
      <c r="BL26" t="s">
        <v>278</v>
      </c>
      <c r="BM26" t="s">
        <v>279</v>
      </c>
      <c r="BN26" t="s">
        <v>283</v>
      </c>
      <c r="BO26" t="s">
        <v>284</v>
      </c>
      <c r="BP26" t="s">
        <v>8</v>
      </c>
      <c r="BQ26" t="s">
        <v>290</v>
      </c>
      <c r="BR26" t="s">
        <v>291</v>
      </c>
    </row>
    <row r="27" spans="1:70" x14ac:dyDescent="0.25">
      <c r="A27">
        <v>1</v>
      </c>
      <c r="B27">
        <v>1.0668</v>
      </c>
      <c r="C27">
        <v>1066.8</v>
      </c>
      <c r="D27">
        <v>9.5250000000000005E-3</v>
      </c>
      <c r="E27">
        <v>9.5250000000000004</v>
      </c>
      <c r="F27">
        <v>111.99999999999999</v>
      </c>
      <c r="G27">
        <v>30</v>
      </c>
      <c r="H27" t="s">
        <v>117</v>
      </c>
      <c r="I27">
        <v>8</v>
      </c>
      <c r="J27">
        <v>10</v>
      </c>
      <c r="K27">
        <v>359000</v>
      </c>
      <c r="L27">
        <v>455000</v>
      </c>
      <c r="M27">
        <v>1.9969902892117808</v>
      </c>
      <c r="N27">
        <v>1.9041242414694344</v>
      </c>
      <c r="O27">
        <v>0.69164119173371341</v>
      </c>
      <c r="P27">
        <v>45</v>
      </c>
      <c r="Q27" t="s">
        <v>10</v>
      </c>
      <c r="R27" t="s">
        <v>265</v>
      </c>
      <c r="S27">
        <v>17.5</v>
      </c>
      <c r="T27">
        <v>0</v>
      </c>
      <c r="U27">
        <v>37.5</v>
      </c>
      <c r="V27">
        <v>1.1000000000000001</v>
      </c>
      <c r="W27">
        <v>0.9</v>
      </c>
      <c r="X27">
        <v>0.78739999999999999</v>
      </c>
      <c r="Y27">
        <v>1.8</v>
      </c>
      <c r="Z27">
        <v>138.24735551754566</v>
      </c>
      <c r="AA27">
        <v>0</v>
      </c>
      <c r="AB27">
        <v>0</v>
      </c>
      <c r="AC27">
        <v>205.62569999999999</v>
      </c>
      <c r="AD27">
        <v>5.3260575257691611</v>
      </c>
      <c r="AE27">
        <v>4.7184988712950942</v>
      </c>
      <c r="AF27">
        <v>4.9290445119558122</v>
      </c>
      <c r="AG27">
        <v>3.7532999999999999</v>
      </c>
      <c r="AH27">
        <v>0.14510000000000001</v>
      </c>
      <c r="AI27">
        <v>1.2497</v>
      </c>
      <c r="AJ27">
        <v>-0.46100000000000002</v>
      </c>
      <c r="AK27">
        <v>0.39140000000000003</v>
      </c>
      <c r="AL27">
        <v>-0.21310000000000001</v>
      </c>
      <c r="AM27">
        <v>-0.34139999999999998</v>
      </c>
      <c r="AN27">
        <v>-0.39465453966325215</v>
      </c>
      <c r="AO27">
        <v>-1.1082000000000001</v>
      </c>
      <c r="AP27">
        <v>0.10630000000000001</v>
      </c>
      <c r="AQ27">
        <v>-0.1439</v>
      </c>
      <c r="AR27">
        <v>0.27879999999999999</v>
      </c>
      <c r="AS27">
        <v>-0.31030000000000002</v>
      </c>
      <c r="AT27">
        <v>1.2553000000000001</v>
      </c>
      <c r="AU27">
        <v>2.9999999999999997E-4</v>
      </c>
      <c r="AV27">
        <v>5.1999999999999998E-3</v>
      </c>
      <c r="AW27">
        <v>-8.5900000000000004E-2</v>
      </c>
      <c r="AX27">
        <v>5.9999999999999995E-4</v>
      </c>
      <c r="AY27">
        <v>-0.21759999999999999</v>
      </c>
      <c r="AZ27">
        <v>-2.69E-2</v>
      </c>
      <c r="BA27">
        <v>0.57389999999999997</v>
      </c>
      <c r="BB27">
        <v>0.34460000000000002</v>
      </c>
      <c r="BC27">
        <v>0</v>
      </c>
      <c r="BD27">
        <v>1</v>
      </c>
      <c r="BE27">
        <v>0</v>
      </c>
      <c r="BF27">
        <v>1.9037395546714377</v>
      </c>
      <c r="BG27">
        <v>2.2496671510000001</v>
      </c>
      <c r="BH27">
        <v>0.8107822723842909</v>
      </c>
      <c r="BI27">
        <v>1.2054368120475432</v>
      </c>
      <c r="BJ27">
        <v>2.2948377397519475</v>
      </c>
      <c r="BK27">
        <v>0.50157643001866858</v>
      </c>
      <c r="BL27">
        <v>0</v>
      </c>
      <c r="BM27">
        <v>1.4849048381844421</v>
      </c>
      <c r="BN27">
        <v>-2.0065088184971575E-2</v>
      </c>
      <c r="BO27">
        <v>3.1530539197700866</v>
      </c>
      <c r="BP27">
        <v>23.407439981823291</v>
      </c>
      <c r="BQ27">
        <v>0.3997</v>
      </c>
      <c r="BR27">
        <v>0.3</v>
      </c>
    </row>
    <row r="28" spans="1:70" x14ac:dyDescent="0.25">
      <c r="A28">
        <v>2</v>
      </c>
      <c r="B28">
        <v>0.60960000000000003</v>
      </c>
      <c r="C28">
        <v>609.6</v>
      </c>
      <c r="D28">
        <v>9.5250000000000005E-3</v>
      </c>
      <c r="E28">
        <v>9.5250000000000004</v>
      </c>
      <c r="F28">
        <v>64</v>
      </c>
      <c r="G28">
        <v>50</v>
      </c>
      <c r="H28" t="s">
        <v>118</v>
      </c>
      <c r="I28">
        <v>8</v>
      </c>
      <c r="J28">
        <v>12</v>
      </c>
      <c r="K28">
        <v>414000</v>
      </c>
      <c r="L28">
        <v>517000</v>
      </c>
      <c r="M28">
        <v>2.5466769467238102</v>
      </c>
      <c r="N28">
        <v>2.4313344008036557</v>
      </c>
      <c r="O28">
        <v>0.93478935117382533</v>
      </c>
      <c r="P28">
        <v>60</v>
      </c>
      <c r="Q28" t="s">
        <v>10</v>
      </c>
      <c r="R28" t="s">
        <v>269</v>
      </c>
      <c r="S28">
        <v>18</v>
      </c>
      <c r="T28">
        <v>0</v>
      </c>
      <c r="U28">
        <v>75</v>
      </c>
      <c r="V28">
        <v>0.72</v>
      </c>
      <c r="W28">
        <v>0.9</v>
      </c>
      <c r="X28">
        <v>1</v>
      </c>
      <c r="Y28">
        <v>1.8</v>
      </c>
      <c r="Z28">
        <v>103.41620360793024</v>
      </c>
      <c r="AA28">
        <v>0</v>
      </c>
      <c r="AB28">
        <v>0</v>
      </c>
      <c r="AC28">
        <v>235.0008</v>
      </c>
      <c r="AD28">
        <v>5.4595889183936839</v>
      </c>
      <c r="AE28">
        <v>4.1588830833596715</v>
      </c>
      <c r="AF28">
        <v>4.6387616578039736</v>
      </c>
      <c r="AG28">
        <v>4.3182999999999998</v>
      </c>
      <c r="AH28">
        <v>-2.7900000000000001E-2</v>
      </c>
      <c r="AI28">
        <v>1.0497000000000001</v>
      </c>
      <c r="AJ28">
        <v>-0.46910000000000002</v>
      </c>
      <c r="AK28">
        <v>0.29149999999999998</v>
      </c>
      <c r="AL28">
        <v>-0.28610000000000002</v>
      </c>
      <c r="AM28">
        <v>-0.1348</v>
      </c>
      <c r="AN28">
        <v>-0.17613126407050839</v>
      </c>
      <c r="AO28">
        <v>-2.1276999999999999</v>
      </c>
      <c r="AP28">
        <v>0.14760000000000001</v>
      </c>
      <c r="AQ28">
        <v>-0.21829999999999999</v>
      </c>
      <c r="AR28">
        <v>0.42270000000000002</v>
      </c>
      <c r="AS28">
        <v>-0.53720000000000001</v>
      </c>
      <c r="AT28">
        <v>1.252</v>
      </c>
      <c r="AU28">
        <v>-5.9999999999999995E-4</v>
      </c>
      <c r="AV28">
        <v>5.3E-3</v>
      </c>
      <c r="AW28">
        <v>-4.8500000000000001E-2</v>
      </c>
      <c r="AX28">
        <v>1.2999999999999999E-3</v>
      </c>
      <c r="AY28">
        <v>-0.56599999999999995</v>
      </c>
      <c r="AZ28">
        <v>-3.2099999999999997E-2</v>
      </c>
      <c r="BA28">
        <v>0.84970000000000001</v>
      </c>
      <c r="BB28">
        <v>9.01E-2</v>
      </c>
      <c r="BC28">
        <v>0</v>
      </c>
      <c r="BD28">
        <v>1</v>
      </c>
      <c r="BE28">
        <v>0</v>
      </c>
      <c r="BF28">
        <v>1.1232245205407614</v>
      </c>
      <c r="BG28">
        <v>2.3997944580000001</v>
      </c>
      <c r="BH28">
        <v>0.8753830911863717</v>
      </c>
      <c r="BI28">
        <v>1.05151435525688</v>
      </c>
      <c r="BJ28">
        <v>1.1810867075251368</v>
      </c>
      <c r="BK28">
        <v>0.61385114310388755</v>
      </c>
      <c r="BL28">
        <v>0</v>
      </c>
      <c r="BM28">
        <v>2.3077682358050104</v>
      </c>
      <c r="BN28">
        <v>0.26588836192033111</v>
      </c>
      <c r="BO28">
        <v>2.240894448354366</v>
      </c>
      <c r="BP28">
        <v>9.4017368957857244</v>
      </c>
      <c r="BQ28">
        <v>0.50170000000000003</v>
      </c>
      <c r="BR28">
        <v>0.3</v>
      </c>
    </row>
    <row r="29" spans="1:70" x14ac:dyDescent="0.25">
      <c r="A29">
        <v>3</v>
      </c>
      <c r="B29">
        <v>0.40960000000000002</v>
      </c>
      <c r="C29">
        <v>409.6</v>
      </c>
      <c r="D29">
        <v>9.5250000000000005E-3</v>
      </c>
      <c r="E29">
        <v>9.5250000000000004</v>
      </c>
      <c r="F29">
        <v>43.00262467191601</v>
      </c>
      <c r="G29">
        <v>100</v>
      </c>
      <c r="H29" t="s">
        <v>119</v>
      </c>
      <c r="I29">
        <v>14</v>
      </c>
      <c r="J29">
        <v>15</v>
      </c>
      <c r="K29">
        <v>483000</v>
      </c>
      <c r="L29">
        <v>565000</v>
      </c>
      <c r="M29">
        <v>2.8799444073326219</v>
      </c>
      <c r="N29">
        <v>2.7690517990613435</v>
      </c>
      <c r="O29">
        <v>1.0577709909520427</v>
      </c>
      <c r="P29">
        <v>75</v>
      </c>
      <c r="Q29" t="s">
        <v>10</v>
      </c>
      <c r="R29" t="s">
        <v>266</v>
      </c>
      <c r="S29">
        <v>18.5</v>
      </c>
      <c r="T29">
        <v>0</v>
      </c>
      <c r="U29">
        <v>125</v>
      </c>
      <c r="V29">
        <v>0.4</v>
      </c>
      <c r="W29">
        <v>0.9</v>
      </c>
      <c r="X29">
        <v>1.2</v>
      </c>
      <c r="Y29">
        <v>2.9296874999999996</v>
      </c>
      <c r="Z29">
        <v>64.339817545518969</v>
      </c>
      <c r="AA29">
        <v>0</v>
      </c>
      <c r="AB29">
        <v>0</v>
      </c>
      <c r="AC29">
        <v>263.16800000000001</v>
      </c>
      <c r="AD29">
        <v>5.5727926115125355</v>
      </c>
      <c r="AE29">
        <v>3.7612611527125335</v>
      </c>
      <c r="AF29">
        <v>4.1641786860207075</v>
      </c>
      <c r="AG29">
        <v>5.5951000000000004</v>
      </c>
      <c r="AH29">
        <v>1.6E-2</v>
      </c>
      <c r="AI29">
        <v>1.2641</v>
      </c>
      <c r="AJ29">
        <v>-0.52429999999999999</v>
      </c>
      <c r="AK29">
        <v>0.35830000000000001</v>
      </c>
      <c r="AL29">
        <v>-0.35920000000000002</v>
      </c>
      <c r="AM29">
        <v>-0.2482</v>
      </c>
      <c r="AN29">
        <v>-8.7846462124065994E-2</v>
      </c>
      <c r="AO29">
        <v>-2.3450000000000002</v>
      </c>
      <c r="AP29">
        <v>0.19470000000000001</v>
      </c>
      <c r="AQ29">
        <v>-0.2044</v>
      </c>
      <c r="AR29">
        <v>0.4143</v>
      </c>
      <c r="AS29">
        <v>-0.55710000000000004</v>
      </c>
      <c r="AT29">
        <v>1.0931</v>
      </c>
      <c r="AU29">
        <v>1E-4</v>
      </c>
      <c r="AV29">
        <v>3.5000000000000001E-3</v>
      </c>
      <c r="AW29">
        <v>-4.07E-2</v>
      </c>
      <c r="AX29">
        <v>1.6000000000000001E-3</v>
      </c>
      <c r="AY29">
        <v>-0.65949999999999998</v>
      </c>
      <c r="AZ29">
        <v>-3.0099999999999998E-2</v>
      </c>
      <c r="BA29">
        <v>0.84219999999999995</v>
      </c>
      <c r="BB29">
        <v>0.50680000000000003</v>
      </c>
      <c r="BC29">
        <v>0</v>
      </c>
      <c r="BD29">
        <v>0</v>
      </c>
      <c r="BE29">
        <v>0</v>
      </c>
      <c r="BF29">
        <v>0.71877833821449522</v>
      </c>
      <c r="BG29">
        <v>2.5498958799999998</v>
      </c>
      <c r="BH29">
        <v>0.93605252696416252</v>
      </c>
      <c r="BI29">
        <v>1.0238989890882286</v>
      </c>
      <c r="BJ29">
        <v>0.73595641387633859</v>
      </c>
      <c r="BK29">
        <v>0.7323175464331303</v>
      </c>
      <c r="BL29">
        <v>0</v>
      </c>
      <c r="BM29">
        <v>2.3088079789496434</v>
      </c>
      <c r="BN29">
        <v>0.49725308974858501</v>
      </c>
      <c r="BO29">
        <v>1.9293350290076969</v>
      </c>
      <c r="BP29">
        <v>6.8849304400058262</v>
      </c>
      <c r="BQ29">
        <v>0.43780000000000002</v>
      </c>
      <c r="BR29">
        <v>0.3</v>
      </c>
    </row>
    <row r="30" spans="1:70" x14ac:dyDescent="0.25">
      <c r="A30">
        <v>4</v>
      </c>
      <c r="B30">
        <v>0.89600000000000002</v>
      </c>
      <c r="C30">
        <v>896</v>
      </c>
      <c r="D30">
        <v>9.5250000000000005E-3</v>
      </c>
      <c r="E30">
        <v>9.5250000000000004</v>
      </c>
      <c r="F30">
        <v>94.068241469816272</v>
      </c>
      <c r="G30">
        <v>300</v>
      </c>
      <c r="H30" t="s">
        <v>117</v>
      </c>
      <c r="I30">
        <v>8</v>
      </c>
      <c r="J30">
        <v>10</v>
      </c>
      <c r="K30">
        <v>359000</v>
      </c>
      <c r="L30">
        <v>455000</v>
      </c>
      <c r="M30">
        <v>1.9969902892117808</v>
      </c>
      <c r="N30">
        <v>1.9041242414694344</v>
      </c>
      <c r="O30">
        <v>0.69164119173371341</v>
      </c>
      <c r="P30">
        <v>90</v>
      </c>
      <c r="Q30" t="s">
        <v>10</v>
      </c>
      <c r="R30" t="s">
        <v>265</v>
      </c>
      <c r="S30">
        <v>17.5</v>
      </c>
      <c r="T30">
        <v>0</v>
      </c>
      <c r="U30">
        <v>37.5</v>
      </c>
      <c r="V30">
        <v>1.1000000000000001</v>
      </c>
      <c r="W30">
        <v>0.9</v>
      </c>
      <c r="X30">
        <v>2.5</v>
      </c>
      <c r="Y30">
        <v>2.7901785714285712</v>
      </c>
      <c r="Z30">
        <v>116.11326447667876</v>
      </c>
      <c r="AA30">
        <v>0</v>
      </c>
      <c r="AB30">
        <v>0</v>
      </c>
      <c r="AC30">
        <v>172.70400000000001</v>
      </c>
      <c r="AD30">
        <v>5.1515791464362319</v>
      </c>
      <c r="AE30">
        <v>4.5440204919621658</v>
      </c>
      <c r="AF30">
        <v>4.7545661326228839</v>
      </c>
      <c r="AG30">
        <v>14.575100000000001</v>
      </c>
      <c r="AH30">
        <v>0.1356</v>
      </c>
      <c r="AI30">
        <v>2.9990000000000001</v>
      </c>
      <c r="AJ30">
        <v>-0.94710000000000005</v>
      </c>
      <c r="AK30">
        <v>0.6603</v>
      </c>
      <c r="AL30">
        <v>-1.2488999999999999</v>
      </c>
      <c r="AM30">
        <v>-0.44140000000000001</v>
      </c>
      <c r="AN30">
        <v>2.6397743044482214</v>
      </c>
      <c r="AO30">
        <v>5.1353999999999997</v>
      </c>
      <c r="AP30">
        <v>-4.9599999999999998E-2</v>
      </c>
      <c r="AQ30">
        <v>0.44590000000000002</v>
      </c>
      <c r="AR30">
        <v>-0.83709999999999996</v>
      </c>
      <c r="AS30">
        <v>0.63090000000000002</v>
      </c>
      <c r="AT30">
        <v>0.91390000000000005</v>
      </c>
      <c r="AU30">
        <v>2.5000000000000001E-3</v>
      </c>
      <c r="AV30">
        <v>1.6000000000000001E-3</v>
      </c>
      <c r="AW30">
        <v>-9.7500000000000003E-2</v>
      </c>
      <c r="AX30">
        <v>1.1999999999999999E-3</v>
      </c>
      <c r="AY30">
        <v>0.46479999999999999</v>
      </c>
      <c r="AZ30">
        <v>8.0000000000000004E-4</v>
      </c>
      <c r="BA30">
        <v>6.7900000000000002E-2</v>
      </c>
      <c r="BB30">
        <v>0.58979999999999999</v>
      </c>
      <c r="BC30">
        <v>1</v>
      </c>
      <c r="BD30">
        <v>0</v>
      </c>
      <c r="BE30">
        <v>0</v>
      </c>
      <c r="BF30">
        <v>1.2195650509554765</v>
      </c>
      <c r="BG30">
        <v>2.699997304</v>
      </c>
      <c r="BH30">
        <v>0.99325077449126642</v>
      </c>
      <c r="BI30">
        <v>-1.6465235299569549</v>
      </c>
      <c r="BJ30">
        <v>-2.0080425527113448</v>
      </c>
      <c r="BK30">
        <v>-0.22538341640132342</v>
      </c>
      <c r="BL30">
        <v>0</v>
      </c>
      <c r="BM30">
        <v>-4.3123869034817695</v>
      </c>
      <c r="BN30">
        <v>-6.928219896394662E-2</v>
      </c>
      <c r="BO30">
        <v>-1.4796950715583848</v>
      </c>
      <c r="BP30">
        <v>0.22770711217349057</v>
      </c>
      <c r="BQ30">
        <v>0.34749999999999998</v>
      </c>
      <c r="BR30">
        <v>0.3</v>
      </c>
    </row>
    <row r="31" spans="1:70" x14ac:dyDescent="0.25">
      <c r="A31">
        <v>5</v>
      </c>
      <c r="B31">
        <v>0.5</v>
      </c>
      <c r="C31">
        <v>500</v>
      </c>
      <c r="D31">
        <v>9.5250000000000005E-3</v>
      </c>
      <c r="E31">
        <v>9.5250000000000004</v>
      </c>
      <c r="F31">
        <v>52.493438320209975</v>
      </c>
      <c r="G31">
        <v>30</v>
      </c>
      <c r="H31" t="s">
        <v>119</v>
      </c>
      <c r="I31">
        <v>14</v>
      </c>
      <c r="J31">
        <v>15</v>
      </c>
      <c r="K31">
        <v>483000</v>
      </c>
      <c r="L31">
        <v>565000</v>
      </c>
      <c r="M31">
        <v>2.8799444073326219</v>
      </c>
      <c r="N31">
        <v>2.7690517990613435</v>
      </c>
      <c r="O31">
        <v>1.0577709909520427</v>
      </c>
      <c r="P31">
        <v>45</v>
      </c>
      <c r="Q31" t="s">
        <v>10</v>
      </c>
      <c r="R31" t="s">
        <v>269</v>
      </c>
      <c r="S31">
        <v>18</v>
      </c>
      <c r="T31">
        <v>0</v>
      </c>
      <c r="U31">
        <v>75</v>
      </c>
      <c r="V31">
        <v>0.72</v>
      </c>
      <c r="W31">
        <v>0.9</v>
      </c>
      <c r="X31">
        <v>1</v>
      </c>
      <c r="Y31">
        <v>2</v>
      </c>
      <c r="Z31">
        <v>84.823001646924411</v>
      </c>
      <c r="AA31">
        <v>0</v>
      </c>
      <c r="AB31">
        <v>0</v>
      </c>
      <c r="AC31">
        <v>192.75</v>
      </c>
      <c r="AD31">
        <v>5.2613940124434393</v>
      </c>
      <c r="AE31">
        <v>3.9606881774094269</v>
      </c>
      <c r="AF31">
        <v>4.4405667518537291</v>
      </c>
      <c r="AG31">
        <v>3.7532999999999999</v>
      </c>
      <c r="AH31">
        <v>0.14510000000000001</v>
      </c>
      <c r="AI31">
        <v>1.2497</v>
      </c>
      <c r="AJ31">
        <v>-0.46100000000000002</v>
      </c>
      <c r="AK31">
        <v>0.39140000000000003</v>
      </c>
      <c r="AL31">
        <v>-0.21310000000000001</v>
      </c>
      <c r="AM31">
        <v>-0.34139999999999998</v>
      </c>
      <c r="AN31">
        <v>-0.66849052852826096</v>
      </c>
      <c r="AO31">
        <v>-1.1082000000000001</v>
      </c>
      <c r="AP31">
        <v>0.10630000000000001</v>
      </c>
      <c r="AQ31">
        <v>-0.1439</v>
      </c>
      <c r="AR31">
        <v>0.27879999999999999</v>
      </c>
      <c r="AS31">
        <v>-0.31030000000000002</v>
      </c>
      <c r="AT31">
        <v>1.2553000000000001</v>
      </c>
      <c r="AU31">
        <v>2.9999999999999997E-4</v>
      </c>
      <c r="AV31">
        <v>5.1999999999999998E-3</v>
      </c>
      <c r="AW31">
        <v>-8.5900000000000004E-2</v>
      </c>
      <c r="AX31">
        <v>5.9999999999999995E-4</v>
      </c>
      <c r="AY31">
        <v>-0.21759999999999999</v>
      </c>
      <c r="AZ31">
        <v>-2.69E-2</v>
      </c>
      <c r="BA31">
        <v>0.57389999999999997</v>
      </c>
      <c r="BB31">
        <v>0.34460000000000002</v>
      </c>
      <c r="BC31">
        <v>0</v>
      </c>
      <c r="BD31">
        <v>1</v>
      </c>
      <c r="BE31">
        <v>0</v>
      </c>
      <c r="BF31">
        <v>2.0299078834820738</v>
      </c>
      <c r="BG31">
        <v>2.8500987279999999</v>
      </c>
      <c r="BH31">
        <v>1.0473536350840684</v>
      </c>
      <c r="BI31">
        <v>1.7158441636123294</v>
      </c>
      <c r="BJ31">
        <v>3.4830055945433727</v>
      </c>
      <c r="BK31">
        <v>0.42102115325862211</v>
      </c>
      <c r="BL31">
        <v>0</v>
      </c>
      <c r="BM31">
        <v>1.4668766506692308</v>
      </c>
      <c r="BN31">
        <v>0.21508357012775103</v>
      </c>
      <c r="BO31">
        <v>4.4777869685989762</v>
      </c>
      <c r="BP31">
        <v>88.03962248006998</v>
      </c>
      <c r="BQ31">
        <v>0.3997</v>
      </c>
      <c r="BR31">
        <v>0.3</v>
      </c>
    </row>
    <row r="32" spans="1:70" x14ac:dyDescent="0.25">
      <c r="A32">
        <v>6</v>
      </c>
      <c r="B32">
        <v>1.0668</v>
      </c>
      <c r="C32">
        <v>1066.8</v>
      </c>
      <c r="D32">
        <v>9.5250000000000005E-3</v>
      </c>
      <c r="E32">
        <v>9.5250000000000004</v>
      </c>
      <c r="F32">
        <v>111.99999999999999</v>
      </c>
      <c r="G32">
        <v>50</v>
      </c>
      <c r="H32" t="s">
        <v>120</v>
      </c>
      <c r="I32">
        <v>15</v>
      </c>
      <c r="J32">
        <v>20</v>
      </c>
      <c r="K32">
        <v>552000</v>
      </c>
      <c r="L32">
        <v>625000</v>
      </c>
      <c r="M32">
        <v>2.9888368774026359</v>
      </c>
      <c r="N32">
        <v>2.8464933991254466</v>
      </c>
      <c r="O32">
        <v>1.0948843075076633</v>
      </c>
      <c r="P32">
        <v>60</v>
      </c>
      <c r="Q32" t="s">
        <v>10</v>
      </c>
      <c r="R32" t="s">
        <v>266</v>
      </c>
      <c r="S32">
        <v>18.5</v>
      </c>
      <c r="T32">
        <v>0</v>
      </c>
      <c r="U32">
        <v>125</v>
      </c>
      <c r="V32">
        <v>0.4</v>
      </c>
      <c r="W32">
        <v>0.9</v>
      </c>
      <c r="X32">
        <v>1.2</v>
      </c>
      <c r="Y32">
        <v>1.8</v>
      </c>
      <c r="Z32">
        <v>167.57255214247957</v>
      </c>
      <c r="AA32">
        <v>0</v>
      </c>
      <c r="AB32">
        <v>0</v>
      </c>
      <c r="AC32">
        <v>685.41899999999998</v>
      </c>
      <c r="AD32">
        <v>6.530030330095097</v>
      </c>
      <c r="AE32">
        <v>4.7184988712950942</v>
      </c>
      <c r="AF32">
        <v>5.1214164046032682</v>
      </c>
      <c r="AG32">
        <v>4.3182999999999998</v>
      </c>
      <c r="AH32">
        <v>-2.7900000000000001E-2</v>
      </c>
      <c r="AI32">
        <v>1.0497000000000001</v>
      </c>
      <c r="AJ32">
        <v>-0.46910000000000002</v>
      </c>
      <c r="AK32">
        <v>0.29149999999999998</v>
      </c>
      <c r="AL32">
        <v>-0.28610000000000002</v>
      </c>
      <c r="AM32">
        <v>-0.1348</v>
      </c>
      <c r="AN32">
        <v>-0.17586580558020715</v>
      </c>
      <c r="AO32">
        <v>-2.1276999999999999</v>
      </c>
      <c r="AP32">
        <v>0.14760000000000001</v>
      </c>
      <c r="AQ32">
        <v>-0.21829999999999999</v>
      </c>
      <c r="AR32">
        <v>0.42270000000000002</v>
      </c>
      <c r="AS32">
        <v>-0.53720000000000001</v>
      </c>
      <c r="AT32">
        <v>1.252</v>
      </c>
      <c r="AU32">
        <v>-5.9999999999999995E-4</v>
      </c>
      <c r="AV32">
        <v>5.3E-3</v>
      </c>
      <c r="AW32">
        <v>-4.8500000000000001E-2</v>
      </c>
      <c r="AX32">
        <v>1.2999999999999999E-3</v>
      </c>
      <c r="AY32">
        <v>-0.56599999999999995</v>
      </c>
      <c r="AZ32">
        <v>-3.2099999999999997E-2</v>
      </c>
      <c r="BA32">
        <v>0.84970000000000001</v>
      </c>
      <c r="BB32">
        <v>9.01E-2</v>
      </c>
      <c r="BC32">
        <v>0</v>
      </c>
      <c r="BD32">
        <v>1</v>
      </c>
      <c r="BE32">
        <v>0</v>
      </c>
      <c r="BF32">
        <v>1.1376490761064402</v>
      </c>
      <c r="BG32">
        <v>3.0002260330000001</v>
      </c>
      <c r="BH32">
        <v>1.0986876301632014</v>
      </c>
      <c r="BI32">
        <v>1.2745534357434085</v>
      </c>
      <c r="BJ32">
        <v>1.4499945386217779</v>
      </c>
      <c r="BK32">
        <v>0.69645043340315593</v>
      </c>
      <c r="BL32">
        <v>0</v>
      </c>
      <c r="BM32">
        <v>2.7602438205311977</v>
      </c>
      <c r="BN32">
        <v>-3.4737239358577927E-2</v>
      </c>
      <c r="BO32">
        <v>2.7442515531975533</v>
      </c>
      <c r="BP32">
        <v>15.552969005003565</v>
      </c>
      <c r="BQ32">
        <v>0.50170000000000003</v>
      </c>
      <c r="BR32">
        <v>0.3</v>
      </c>
    </row>
    <row r="33" spans="1:70" x14ac:dyDescent="0.25">
      <c r="A33">
        <v>7</v>
      </c>
      <c r="B33">
        <v>0.60960000000000003</v>
      </c>
      <c r="C33">
        <v>609.6</v>
      </c>
      <c r="D33">
        <v>9.5250000000000005E-3</v>
      </c>
      <c r="E33">
        <v>9.5250000000000004</v>
      </c>
      <c r="F33">
        <v>64</v>
      </c>
      <c r="G33">
        <v>100</v>
      </c>
      <c r="H33" t="s">
        <v>117</v>
      </c>
      <c r="I33">
        <v>8</v>
      </c>
      <c r="J33">
        <v>10</v>
      </c>
      <c r="K33">
        <v>359000</v>
      </c>
      <c r="L33">
        <v>455000</v>
      </c>
      <c r="M33">
        <v>1.9969902892117808</v>
      </c>
      <c r="N33">
        <v>1.9041242414694344</v>
      </c>
      <c r="O33">
        <v>0.69164119173371341</v>
      </c>
      <c r="P33">
        <v>75</v>
      </c>
      <c r="Q33" t="s">
        <v>10</v>
      </c>
      <c r="R33" t="s">
        <v>265</v>
      </c>
      <c r="S33">
        <v>17.5</v>
      </c>
      <c r="T33">
        <v>0</v>
      </c>
      <c r="U33">
        <v>37.5</v>
      </c>
      <c r="V33">
        <v>1.1000000000000001</v>
      </c>
      <c r="W33">
        <v>0.9</v>
      </c>
      <c r="X33">
        <v>0.78739999999999999</v>
      </c>
      <c r="Y33">
        <v>1.8</v>
      </c>
      <c r="Z33">
        <v>78.998488867168945</v>
      </c>
      <c r="AA33">
        <v>0</v>
      </c>
      <c r="AB33">
        <v>0</v>
      </c>
      <c r="AC33">
        <v>117.5004</v>
      </c>
      <c r="AD33">
        <v>4.7664417378337385</v>
      </c>
      <c r="AE33">
        <v>4.1588830833596715</v>
      </c>
      <c r="AF33">
        <v>4.3694287240203895</v>
      </c>
      <c r="AG33">
        <v>5.5951000000000004</v>
      </c>
      <c r="AH33">
        <v>1.6E-2</v>
      </c>
      <c r="AI33">
        <v>1.2641</v>
      </c>
      <c r="AJ33">
        <v>-0.52429999999999999</v>
      </c>
      <c r="AK33">
        <v>0.35830000000000001</v>
      </c>
      <c r="AL33">
        <v>-0.35920000000000002</v>
      </c>
      <c r="AM33">
        <v>-0.2482</v>
      </c>
      <c r="AN33">
        <v>0.31382810950266227</v>
      </c>
      <c r="AO33">
        <v>-2.3450000000000002</v>
      </c>
      <c r="AP33">
        <v>0.19470000000000001</v>
      </c>
      <c r="AQ33">
        <v>-0.2044</v>
      </c>
      <c r="AR33">
        <v>0.4143</v>
      </c>
      <c r="AS33">
        <v>-0.55710000000000004</v>
      </c>
      <c r="AT33">
        <v>1.0931</v>
      </c>
      <c r="AU33">
        <v>1E-4</v>
      </c>
      <c r="AV33">
        <v>3.5000000000000001E-3</v>
      </c>
      <c r="AW33">
        <v>-4.07E-2</v>
      </c>
      <c r="AX33">
        <v>1.6000000000000001E-3</v>
      </c>
      <c r="AY33">
        <v>-0.65949999999999998</v>
      </c>
      <c r="AZ33">
        <v>-3.0099999999999998E-2</v>
      </c>
      <c r="BA33">
        <v>0.84219999999999995</v>
      </c>
      <c r="BB33">
        <v>0.50680000000000003</v>
      </c>
      <c r="BC33">
        <v>1</v>
      </c>
      <c r="BD33">
        <v>0</v>
      </c>
      <c r="BE33">
        <v>0</v>
      </c>
      <c r="BF33">
        <v>1.1626998488867168</v>
      </c>
      <c r="BG33">
        <v>0.14999670000000001</v>
      </c>
      <c r="BH33">
        <v>-1.8971419851278848</v>
      </c>
      <c r="BI33">
        <v>-2.2109700946305471</v>
      </c>
      <c r="BJ33">
        <v>-2.5706945949199871</v>
      </c>
      <c r="BK33">
        <v>0.80973453633012804</v>
      </c>
      <c r="BL33">
        <v>0</v>
      </c>
      <c r="BM33">
        <v>1.9747368119845179</v>
      </c>
      <c r="BN33">
        <v>0.27573791218506416</v>
      </c>
      <c r="BO33">
        <v>-1.8554853344202775</v>
      </c>
      <c r="BP33">
        <v>0.15637702909994644</v>
      </c>
      <c r="BQ33">
        <v>0.43780000000000002</v>
      </c>
      <c r="BR33">
        <v>0.3</v>
      </c>
    </row>
    <row r="34" spans="1:70" x14ac:dyDescent="0.25">
      <c r="A34">
        <v>8</v>
      </c>
      <c r="B34">
        <v>0.40960000000000002</v>
      </c>
      <c r="C34">
        <v>409.6</v>
      </c>
      <c r="D34">
        <v>9.5250000000000005E-3</v>
      </c>
      <c r="E34">
        <v>9.5250000000000004</v>
      </c>
      <c r="F34">
        <v>43.00262467191601</v>
      </c>
      <c r="G34">
        <v>300</v>
      </c>
      <c r="H34" t="s">
        <v>118</v>
      </c>
      <c r="I34">
        <v>8</v>
      </c>
      <c r="J34">
        <v>12</v>
      </c>
      <c r="K34">
        <v>414000</v>
      </c>
      <c r="L34">
        <v>517000</v>
      </c>
      <c r="M34">
        <v>2.5466769467238102</v>
      </c>
      <c r="N34">
        <v>2.4313344008036557</v>
      </c>
      <c r="O34">
        <v>0.93478935117382533</v>
      </c>
      <c r="P34">
        <v>90</v>
      </c>
      <c r="Q34" t="s">
        <v>10</v>
      </c>
      <c r="R34" t="s">
        <v>269</v>
      </c>
      <c r="S34">
        <v>18</v>
      </c>
      <c r="T34">
        <v>0</v>
      </c>
      <c r="U34">
        <v>75</v>
      </c>
      <c r="V34">
        <v>0.72</v>
      </c>
      <c r="W34">
        <v>0.9</v>
      </c>
      <c r="X34">
        <v>1</v>
      </c>
      <c r="Y34">
        <v>2.44140625</v>
      </c>
      <c r="Z34">
        <v>69.487002949160484</v>
      </c>
      <c r="AA34">
        <v>0</v>
      </c>
      <c r="AB34">
        <v>0</v>
      </c>
      <c r="AC34">
        <v>157.9008</v>
      </c>
      <c r="AD34">
        <v>5.061966987746545</v>
      </c>
      <c r="AE34">
        <v>3.7612611527125335</v>
      </c>
      <c r="AF34">
        <v>4.2411397271568356</v>
      </c>
      <c r="AG34">
        <v>14.575100000000001</v>
      </c>
      <c r="AH34">
        <v>0.1356</v>
      </c>
      <c r="AI34">
        <v>2.9990000000000001</v>
      </c>
      <c r="AJ34">
        <v>-0.94710000000000005</v>
      </c>
      <c r="AK34">
        <v>0.6603</v>
      </c>
      <c r="AL34">
        <v>-1.2488999999999999</v>
      </c>
      <c r="AM34">
        <v>-0.44140000000000001</v>
      </c>
      <c r="AN34">
        <v>1.5327241862804701</v>
      </c>
      <c r="AO34">
        <v>5.1353999999999997</v>
      </c>
      <c r="AP34">
        <v>-4.9599999999999998E-2</v>
      </c>
      <c r="AQ34">
        <v>0.44590000000000002</v>
      </c>
      <c r="AR34">
        <v>-0.83709999999999996</v>
      </c>
      <c r="AS34">
        <v>0.63090000000000002</v>
      </c>
      <c r="AT34">
        <v>0.91390000000000005</v>
      </c>
      <c r="AU34">
        <v>2.5000000000000001E-3</v>
      </c>
      <c r="AV34">
        <v>1.6000000000000001E-3</v>
      </c>
      <c r="AW34">
        <v>-9.7500000000000003E-2</v>
      </c>
      <c r="AX34">
        <v>1.1999999999999999E-3</v>
      </c>
      <c r="AY34">
        <v>0.46479999999999999</v>
      </c>
      <c r="AZ34">
        <v>8.0000000000000004E-4</v>
      </c>
      <c r="BA34">
        <v>6.7900000000000002E-2</v>
      </c>
      <c r="BB34">
        <v>0.58979999999999999</v>
      </c>
      <c r="BC34">
        <v>1</v>
      </c>
      <c r="BD34">
        <v>0</v>
      </c>
      <c r="BE34">
        <v>0</v>
      </c>
      <c r="BF34">
        <v>1.0417206569792006</v>
      </c>
      <c r="BG34">
        <v>0.29999340000000002</v>
      </c>
      <c r="BH34">
        <v>-1.2039948045679394</v>
      </c>
      <c r="BI34">
        <v>-2.7367189908484093</v>
      </c>
      <c r="BJ34">
        <v>-2.8508967051140597</v>
      </c>
      <c r="BK34">
        <v>-0.18655855317454165</v>
      </c>
      <c r="BL34">
        <v>0</v>
      </c>
      <c r="BM34">
        <v>-4.2373725654426329</v>
      </c>
      <c r="BN34">
        <v>-0.56312506609653967</v>
      </c>
      <c r="BO34">
        <v>-2.702552889827774</v>
      </c>
      <c r="BP34">
        <v>6.7034163281111642E-2</v>
      </c>
      <c r="BQ34">
        <v>0.34749999999999998</v>
      </c>
      <c r="BR34">
        <v>0.3</v>
      </c>
    </row>
    <row r="35" spans="1:70" x14ac:dyDescent="0.25">
      <c r="A35">
        <v>9</v>
      </c>
      <c r="B35">
        <v>0.89600000000000002</v>
      </c>
      <c r="C35">
        <v>896</v>
      </c>
      <c r="D35">
        <v>9.5250000000000005E-3</v>
      </c>
      <c r="E35">
        <v>9.5250000000000004</v>
      </c>
      <c r="F35">
        <v>94.068241469816272</v>
      </c>
      <c r="G35">
        <v>30</v>
      </c>
      <c r="H35" t="s">
        <v>119</v>
      </c>
      <c r="I35">
        <v>14</v>
      </c>
      <c r="J35">
        <v>15</v>
      </c>
      <c r="K35">
        <v>483000</v>
      </c>
      <c r="L35">
        <v>565000</v>
      </c>
      <c r="M35">
        <v>2.8799444073326219</v>
      </c>
      <c r="N35">
        <v>2.7690517990613435</v>
      </c>
      <c r="O35">
        <v>1.0577709909520427</v>
      </c>
      <c r="P35">
        <v>45</v>
      </c>
      <c r="Q35" t="s">
        <v>10</v>
      </c>
      <c r="R35" t="s">
        <v>266</v>
      </c>
      <c r="S35">
        <v>18.5</v>
      </c>
      <c r="T35">
        <v>0</v>
      </c>
      <c r="U35">
        <v>125</v>
      </c>
      <c r="V35">
        <v>0.4</v>
      </c>
      <c r="W35">
        <v>0.9</v>
      </c>
      <c r="X35">
        <v>1.2</v>
      </c>
      <c r="Y35">
        <v>1.8</v>
      </c>
      <c r="Z35">
        <v>140.74335088082273</v>
      </c>
      <c r="AA35">
        <v>0</v>
      </c>
      <c r="AB35">
        <v>0</v>
      </c>
      <c r="AC35">
        <v>575.68000000000006</v>
      </c>
      <c r="AD35">
        <v>6.3555519507621687</v>
      </c>
      <c r="AE35">
        <v>4.5440204919621658</v>
      </c>
      <c r="AF35">
        <v>4.9469380252703399</v>
      </c>
      <c r="AG35">
        <v>3.7532999999999999</v>
      </c>
      <c r="AH35">
        <v>0.14510000000000001</v>
      </c>
      <c r="AI35">
        <v>1.2497</v>
      </c>
      <c r="AJ35">
        <v>-0.46100000000000002</v>
      </c>
      <c r="AK35">
        <v>0.39140000000000003</v>
      </c>
      <c r="AL35">
        <v>-0.21310000000000001</v>
      </c>
      <c r="AM35">
        <v>-0.34139999999999998</v>
      </c>
      <c r="AN35">
        <v>-0.61445654144066819</v>
      </c>
      <c r="AO35">
        <v>-1.1082000000000001</v>
      </c>
      <c r="AP35">
        <v>0.10630000000000001</v>
      </c>
      <c r="AQ35">
        <v>-0.1439</v>
      </c>
      <c r="AR35">
        <v>0.27879999999999999</v>
      </c>
      <c r="AS35">
        <v>-0.31030000000000002</v>
      </c>
      <c r="AT35">
        <v>1.2553000000000001</v>
      </c>
      <c r="AU35">
        <v>2.9999999999999997E-4</v>
      </c>
      <c r="AV35">
        <v>5.1999999999999998E-3</v>
      </c>
      <c r="AW35">
        <v>-8.5900000000000004E-2</v>
      </c>
      <c r="AX35">
        <v>5.9999999999999995E-4</v>
      </c>
      <c r="AY35">
        <v>-0.21759999999999999</v>
      </c>
      <c r="AZ35">
        <v>-2.69E-2</v>
      </c>
      <c r="BA35">
        <v>0.57389999999999997</v>
      </c>
      <c r="BB35">
        <v>0.34460000000000002</v>
      </c>
      <c r="BC35">
        <v>1</v>
      </c>
      <c r="BD35">
        <v>1</v>
      </c>
      <c r="BE35">
        <v>0</v>
      </c>
      <c r="BF35">
        <v>0.98996395014613658</v>
      </c>
      <c r="BG35">
        <v>0.4499901</v>
      </c>
      <c r="BH35">
        <v>-0.79852969645977512</v>
      </c>
      <c r="BI35">
        <v>-0.18407315501910693</v>
      </c>
      <c r="BJ35">
        <v>-0.18222578765857725</v>
      </c>
      <c r="BK35">
        <v>0.48302937829557824</v>
      </c>
      <c r="BL35">
        <v>0</v>
      </c>
      <c r="BM35">
        <v>1.7719278838724926</v>
      </c>
      <c r="BN35">
        <v>3.4075552922036199E-2</v>
      </c>
      <c r="BO35">
        <v>0.99860702743152963</v>
      </c>
      <c r="BP35">
        <v>2.7144979724542799</v>
      </c>
      <c r="BQ35">
        <v>0.3997</v>
      </c>
      <c r="BR35">
        <v>0.3</v>
      </c>
    </row>
    <row r="36" spans="1:70" x14ac:dyDescent="0.25">
      <c r="A36">
        <v>10</v>
      </c>
      <c r="B36">
        <v>0.5</v>
      </c>
      <c r="C36">
        <v>500</v>
      </c>
      <c r="D36">
        <v>9.5250000000000005E-3</v>
      </c>
      <c r="E36">
        <v>9.5250000000000004</v>
      </c>
      <c r="F36">
        <v>52.493438320209975</v>
      </c>
      <c r="G36">
        <v>50</v>
      </c>
      <c r="H36" t="s">
        <v>117</v>
      </c>
      <c r="I36">
        <v>8</v>
      </c>
      <c r="J36">
        <v>10</v>
      </c>
      <c r="K36">
        <v>359000</v>
      </c>
      <c r="L36">
        <v>455000</v>
      </c>
      <c r="M36">
        <v>1.9969902892117808</v>
      </c>
      <c r="N36">
        <v>1.9041242414694344</v>
      </c>
      <c r="O36">
        <v>0.69164119173371341</v>
      </c>
      <c r="P36">
        <v>60</v>
      </c>
      <c r="Q36" t="s">
        <v>10</v>
      </c>
      <c r="R36" t="s">
        <v>265</v>
      </c>
      <c r="S36">
        <v>17.5</v>
      </c>
      <c r="T36">
        <v>0</v>
      </c>
      <c r="U36">
        <v>37.5</v>
      </c>
      <c r="V36">
        <v>1.1000000000000001</v>
      </c>
      <c r="W36">
        <v>0.9</v>
      </c>
      <c r="X36">
        <v>2.5</v>
      </c>
      <c r="Y36">
        <v>5</v>
      </c>
      <c r="Z36">
        <v>64.795348480289491</v>
      </c>
      <c r="AA36">
        <v>0</v>
      </c>
      <c r="AB36">
        <v>0</v>
      </c>
      <c r="AC36">
        <v>96.375</v>
      </c>
      <c r="AD36">
        <v>4.5682468318834939</v>
      </c>
      <c r="AE36">
        <v>3.9606881774094269</v>
      </c>
      <c r="AF36">
        <v>4.1712338180701449</v>
      </c>
      <c r="AG36">
        <v>4.3182999999999998</v>
      </c>
      <c r="AH36">
        <v>-2.7900000000000001E-2</v>
      </c>
      <c r="AI36">
        <v>1.0497000000000001</v>
      </c>
      <c r="AJ36">
        <v>-0.46910000000000002</v>
      </c>
      <c r="AK36">
        <v>0.29149999999999998</v>
      </c>
      <c r="AL36">
        <v>-0.28610000000000002</v>
      </c>
      <c r="AM36">
        <v>-0.1348</v>
      </c>
      <c r="AN36">
        <v>-4.4045191195327571E-2</v>
      </c>
      <c r="AO36">
        <v>-2.1276999999999999</v>
      </c>
      <c r="AP36">
        <v>0.14760000000000001</v>
      </c>
      <c r="AQ36">
        <v>-0.21829999999999999</v>
      </c>
      <c r="AR36">
        <v>0.42270000000000002</v>
      </c>
      <c r="AS36">
        <v>-0.53720000000000001</v>
      </c>
      <c r="AT36">
        <v>1.252</v>
      </c>
      <c r="AU36">
        <v>-5.9999999999999995E-4</v>
      </c>
      <c r="AV36">
        <v>5.3E-3</v>
      </c>
      <c r="AW36">
        <v>-4.8500000000000001E-2</v>
      </c>
      <c r="AX36">
        <v>1.2999999999999999E-3</v>
      </c>
      <c r="AY36">
        <v>-0.56599999999999995</v>
      </c>
      <c r="AZ36">
        <v>-3.2099999999999997E-2</v>
      </c>
      <c r="BA36">
        <v>0.84970000000000001</v>
      </c>
      <c r="BB36">
        <v>9.01E-2</v>
      </c>
      <c r="BC36">
        <v>1</v>
      </c>
      <c r="BD36">
        <v>1</v>
      </c>
      <c r="BE36">
        <v>0</v>
      </c>
      <c r="BF36">
        <v>1.0163642607280992</v>
      </c>
      <c r="BG36">
        <v>0.59998680000000004</v>
      </c>
      <c r="BH36">
        <v>-0.51084762400799422</v>
      </c>
      <c r="BI36">
        <v>-0.46680243281266665</v>
      </c>
      <c r="BJ36">
        <v>-0.47444130953172409</v>
      </c>
      <c r="BK36">
        <v>0.58459757498563147</v>
      </c>
      <c r="BL36">
        <v>0</v>
      </c>
      <c r="BM36">
        <v>1.930997935837153</v>
      </c>
      <c r="BN36">
        <v>0.37235866539680262</v>
      </c>
      <c r="BO36">
        <v>0.28581286668786332</v>
      </c>
      <c r="BP36">
        <v>1.3308433868176077</v>
      </c>
      <c r="BQ36">
        <v>0.50170000000000003</v>
      </c>
      <c r="BR36">
        <v>0.3</v>
      </c>
    </row>
    <row r="37" spans="1:70" x14ac:dyDescent="0.25">
      <c r="A37">
        <v>11</v>
      </c>
      <c r="B37">
        <v>1.0668</v>
      </c>
      <c r="C37">
        <v>1066.8</v>
      </c>
      <c r="D37">
        <v>9.5250000000000005E-3</v>
      </c>
      <c r="E37">
        <v>9.5250000000000004</v>
      </c>
      <c r="F37">
        <v>111.99999999999999</v>
      </c>
      <c r="G37">
        <v>100</v>
      </c>
      <c r="H37" t="s">
        <v>119</v>
      </c>
      <c r="I37">
        <v>14</v>
      </c>
      <c r="J37">
        <v>15</v>
      </c>
      <c r="K37">
        <v>483000</v>
      </c>
      <c r="L37">
        <v>565000</v>
      </c>
      <c r="M37">
        <v>2.8799444073326219</v>
      </c>
      <c r="N37">
        <v>2.7690517990613435</v>
      </c>
      <c r="O37">
        <v>1.0577709909520427</v>
      </c>
      <c r="P37">
        <v>75</v>
      </c>
      <c r="Q37" t="s">
        <v>9</v>
      </c>
      <c r="R37" t="s">
        <v>267</v>
      </c>
      <c r="S37">
        <v>18</v>
      </c>
      <c r="T37">
        <v>37</v>
      </c>
      <c r="U37">
        <v>0</v>
      </c>
      <c r="V37">
        <v>0</v>
      </c>
      <c r="W37">
        <v>0.9</v>
      </c>
      <c r="X37">
        <v>1</v>
      </c>
      <c r="Y37">
        <v>1.8</v>
      </c>
      <c r="Z37">
        <v>39.626853336736396</v>
      </c>
      <c r="AA37">
        <v>12.698394373823998</v>
      </c>
      <c r="AB37">
        <v>64.071522599936642</v>
      </c>
      <c r="AC37">
        <v>900.09607289656856</v>
      </c>
      <c r="AD37">
        <v>6.8025015052900386</v>
      </c>
      <c r="AE37">
        <v>4.7184988712950942</v>
      </c>
      <c r="AF37">
        <v>3.6795070030086925</v>
      </c>
      <c r="AG37">
        <v>5.5951000000000004</v>
      </c>
      <c r="AH37">
        <v>1.6E-2</v>
      </c>
      <c r="AI37">
        <v>1.2641</v>
      </c>
      <c r="AJ37">
        <v>-0.52429999999999999</v>
      </c>
      <c r="AK37">
        <v>0.35830000000000001</v>
      </c>
      <c r="AL37">
        <v>-0.35920000000000002</v>
      </c>
      <c r="AM37">
        <v>-0.2482</v>
      </c>
      <c r="AN37">
        <v>0.29890207916201494</v>
      </c>
      <c r="AO37">
        <v>-2.3450000000000002</v>
      </c>
      <c r="AP37">
        <v>0.19470000000000001</v>
      </c>
      <c r="AQ37">
        <v>-0.2044</v>
      </c>
      <c r="AR37">
        <v>0.4143</v>
      </c>
      <c r="AS37">
        <v>-0.55710000000000004</v>
      </c>
      <c r="AT37">
        <v>1.0931</v>
      </c>
      <c r="AU37">
        <v>1E-4</v>
      </c>
      <c r="AV37">
        <v>3.5000000000000001E-3</v>
      </c>
      <c r="AW37">
        <v>-4.07E-2</v>
      </c>
      <c r="AX37">
        <v>1.6000000000000001E-3</v>
      </c>
      <c r="AY37">
        <v>-0.65949999999999998</v>
      </c>
      <c r="AZ37">
        <v>-3.0099999999999998E-2</v>
      </c>
      <c r="BA37">
        <v>0.84219999999999995</v>
      </c>
      <c r="BB37">
        <v>0.50680000000000003</v>
      </c>
      <c r="BC37">
        <v>1</v>
      </c>
      <c r="BD37">
        <v>0</v>
      </c>
      <c r="BE37">
        <v>1</v>
      </c>
      <c r="BF37">
        <v>1.2355626853336736</v>
      </c>
      <c r="BG37">
        <v>0.74998350000000003</v>
      </c>
      <c r="BH37">
        <v>-0.28770407269378445</v>
      </c>
      <c r="BI37">
        <v>-0.58660615185579945</v>
      </c>
      <c r="BJ37">
        <v>-0.72478867222020427</v>
      </c>
      <c r="BK37">
        <v>0.91869173024115491</v>
      </c>
      <c r="BL37">
        <v>-0.75209123141497669</v>
      </c>
      <c r="BM37">
        <v>2.8182763736416629</v>
      </c>
      <c r="BN37">
        <v>-3.6024043273759798E-2</v>
      </c>
      <c r="BO37">
        <v>-0.12093584302612276</v>
      </c>
      <c r="BP37">
        <v>0.8860908066740244</v>
      </c>
      <c r="BQ37">
        <v>0.43780000000000002</v>
      </c>
      <c r="BR37">
        <v>0.3</v>
      </c>
    </row>
    <row r="38" spans="1:70" x14ac:dyDescent="0.25">
      <c r="A38">
        <v>12</v>
      </c>
      <c r="B38">
        <v>0.60960000000000003</v>
      </c>
      <c r="C38">
        <v>609.6</v>
      </c>
      <c r="D38">
        <v>9.5250000000000005E-3</v>
      </c>
      <c r="E38">
        <v>9.5250000000000004</v>
      </c>
      <c r="F38">
        <v>64</v>
      </c>
      <c r="G38">
        <v>300</v>
      </c>
      <c r="H38" t="s">
        <v>120</v>
      </c>
      <c r="I38">
        <v>15</v>
      </c>
      <c r="J38">
        <v>20</v>
      </c>
      <c r="K38">
        <v>552000</v>
      </c>
      <c r="L38">
        <v>625000</v>
      </c>
      <c r="M38">
        <v>2.9888368774026359</v>
      </c>
      <c r="N38">
        <v>2.8464933991254466</v>
      </c>
      <c r="O38">
        <v>1.0948843075076633</v>
      </c>
      <c r="P38">
        <v>90</v>
      </c>
      <c r="Q38" t="s">
        <v>9</v>
      </c>
      <c r="R38" t="s">
        <v>268</v>
      </c>
      <c r="S38">
        <v>18.5</v>
      </c>
      <c r="T38">
        <v>40</v>
      </c>
      <c r="U38">
        <v>0</v>
      </c>
      <c r="V38">
        <v>0</v>
      </c>
      <c r="W38">
        <v>0.9</v>
      </c>
      <c r="X38">
        <v>1.2</v>
      </c>
      <c r="Y38">
        <v>1.9685039370078738</v>
      </c>
      <c r="Z38">
        <v>30.889355446920469</v>
      </c>
      <c r="AA38">
        <v>15.896480151009957</v>
      </c>
      <c r="AB38">
        <v>80</v>
      </c>
      <c r="AC38">
        <v>490.12197186123592</v>
      </c>
      <c r="AD38">
        <v>6.1946542822944775</v>
      </c>
      <c r="AE38">
        <v>4.1588830833596715</v>
      </c>
      <c r="AF38">
        <v>3.4304116406370531</v>
      </c>
      <c r="AG38">
        <v>14.575100000000001</v>
      </c>
      <c r="AH38">
        <v>0.1356</v>
      </c>
      <c r="AI38">
        <v>2.9990000000000001</v>
      </c>
      <c r="AJ38">
        <v>-0.94710000000000005</v>
      </c>
      <c r="AK38">
        <v>0.6603</v>
      </c>
      <c r="AL38">
        <v>-1.2488999999999999</v>
      </c>
      <c r="AM38">
        <v>-0.44140000000000001</v>
      </c>
      <c r="AN38">
        <v>1.3975575406714862</v>
      </c>
      <c r="AO38">
        <v>5.1353999999999997</v>
      </c>
      <c r="AP38">
        <v>-4.9599999999999998E-2</v>
      </c>
      <c r="AQ38">
        <v>0.44590000000000002</v>
      </c>
      <c r="AR38">
        <v>-0.83709999999999996</v>
      </c>
      <c r="AS38">
        <v>0.63090000000000002</v>
      </c>
      <c r="AT38">
        <v>0.91390000000000005</v>
      </c>
      <c r="AU38">
        <v>2.5000000000000001E-3</v>
      </c>
      <c r="AV38">
        <v>1.6000000000000001E-3</v>
      </c>
      <c r="AW38">
        <v>-9.7500000000000003E-2</v>
      </c>
      <c r="AX38">
        <v>1.1999999999999999E-3</v>
      </c>
      <c r="AY38">
        <v>0.46479999999999999</v>
      </c>
      <c r="AZ38">
        <v>8.0000000000000004E-4</v>
      </c>
      <c r="BA38">
        <v>6.7900000000000002E-2</v>
      </c>
      <c r="BB38">
        <v>0.58979999999999999</v>
      </c>
      <c r="BC38">
        <v>1</v>
      </c>
      <c r="BD38">
        <v>0</v>
      </c>
      <c r="BE38">
        <v>1</v>
      </c>
      <c r="BF38">
        <v>0.97042338861730115</v>
      </c>
      <c r="BG38">
        <v>2.75</v>
      </c>
      <c r="BH38">
        <v>1.0116009116784799</v>
      </c>
      <c r="BI38">
        <v>-0.38595662899300631</v>
      </c>
      <c r="BJ38">
        <v>-0.37454133976670367</v>
      </c>
      <c r="BK38">
        <v>-0.20628060093463971</v>
      </c>
      <c r="BL38">
        <v>1.529620550560062</v>
      </c>
      <c r="BM38">
        <v>-5.1855450997087065</v>
      </c>
      <c r="BN38">
        <v>-0.31226539005126003</v>
      </c>
      <c r="BO38">
        <v>0.58638812009875241</v>
      </c>
      <c r="BP38">
        <v>1.7974843788684016</v>
      </c>
      <c r="BQ38">
        <v>0.34749999999999998</v>
      </c>
      <c r="BR38">
        <v>0.3</v>
      </c>
    </row>
    <row r="39" spans="1:70" x14ac:dyDescent="0.25">
      <c r="A39">
        <v>13</v>
      </c>
      <c r="B39">
        <v>0.40960000000000002</v>
      </c>
      <c r="C39">
        <v>409.6</v>
      </c>
      <c r="D39">
        <v>9.5250000000000005E-3</v>
      </c>
      <c r="E39">
        <v>9.5250000000000004</v>
      </c>
      <c r="F39">
        <v>43.00262467191601</v>
      </c>
      <c r="G39">
        <v>30</v>
      </c>
      <c r="H39" t="s">
        <v>117</v>
      </c>
      <c r="I39">
        <v>8</v>
      </c>
      <c r="J39">
        <v>10</v>
      </c>
      <c r="K39">
        <v>359000</v>
      </c>
      <c r="L39">
        <v>455000</v>
      </c>
      <c r="M39">
        <v>1.9969902892117808</v>
      </c>
      <c r="N39">
        <v>1.9041242414694344</v>
      </c>
      <c r="O39">
        <v>0.69164119173371341</v>
      </c>
      <c r="P39">
        <v>45</v>
      </c>
      <c r="Q39" t="s">
        <v>9</v>
      </c>
      <c r="R39" t="s">
        <v>270</v>
      </c>
      <c r="S39">
        <v>19</v>
      </c>
      <c r="T39">
        <v>43</v>
      </c>
      <c r="U39">
        <v>0</v>
      </c>
      <c r="V39">
        <v>0</v>
      </c>
      <c r="W39">
        <v>0.9</v>
      </c>
      <c r="X39">
        <v>0.78739999999999999</v>
      </c>
      <c r="Y39">
        <v>1.9223632812499998</v>
      </c>
      <c r="Z39">
        <v>15.423155931843731</v>
      </c>
      <c r="AA39">
        <v>18.720510313797256</v>
      </c>
      <c r="AB39">
        <v>80</v>
      </c>
      <c r="AC39">
        <v>242.22354087960383</v>
      </c>
      <c r="AD39">
        <v>5.4898610224304614</v>
      </c>
      <c r="AE39">
        <v>3.7612611527125335</v>
      </c>
      <c r="AF39">
        <v>2.7358700120349009</v>
      </c>
      <c r="AG39">
        <v>3.7532999999999999</v>
      </c>
      <c r="AH39">
        <v>0.14510000000000001</v>
      </c>
      <c r="AI39">
        <v>1.2497</v>
      </c>
      <c r="AJ39">
        <v>-0.46100000000000002</v>
      </c>
      <c r="AK39">
        <v>0.39140000000000003</v>
      </c>
      <c r="AL39">
        <v>-0.21310000000000001</v>
      </c>
      <c r="AM39">
        <v>-0.34139999999999998</v>
      </c>
      <c r="AN39">
        <v>-0.43578467917484187</v>
      </c>
      <c r="AO39">
        <v>-1.1082000000000001</v>
      </c>
      <c r="AP39">
        <v>0.10630000000000001</v>
      </c>
      <c r="AQ39">
        <v>-0.1439</v>
      </c>
      <c r="AR39">
        <v>0.27879999999999999</v>
      </c>
      <c r="AS39">
        <v>-0.31030000000000002</v>
      </c>
      <c r="AT39">
        <v>1.2553000000000001</v>
      </c>
      <c r="AU39">
        <v>2.9999999999999997E-4</v>
      </c>
      <c r="AV39">
        <v>5.1999999999999998E-3</v>
      </c>
      <c r="AW39">
        <v>-8.5900000000000004E-2</v>
      </c>
      <c r="AX39">
        <v>5.9999999999999995E-4</v>
      </c>
      <c r="AY39">
        <v>-0.21759999999999999</v>
      </c>
      <c r="AZ39">
        <v>-2.69E-2</v>
      </c>
      <c r="BA39">
        <v>0.57389999999999997</v>
      </c>
      <c r="BB39">
        <v>0.34460000000000002</v>
      </c>
      <c r="BC39">
        <v>0</v>
      </c>
      <c r="BD39">
        <v>1</v>
      </c>
      <c r="BE39">
        <v>1</v>
      </c>
      <c r="BF39">
        <v>1.9037395546714377</v>
      </c>
      <c r="BG39">
        <v>3</v>
      </c>
      <c r="BH39">
        <v>1.0986122886681098</v>
      </c>
      <c r="BI39">
        <v>1.5343969678429517</v>
      </c>
      <c r="BJ39">
        <v>2.9210922002505453</v>
      </c>
      <c r="BK39">
        <v>0.39982206053334235</v>
      </c>
      <c r="BL39">
        <v>-0.39369169473182225</v>
      </c>
      <c r="BM39">
        <v>1.5305732530536127</v>
      </c>
      <c r="BN39">
        <v>0.27696577589119714</v>
      </c>
      <c r="BO39">
        <v>3.626561594996875</v>
      </c>
      <c r="BP39">
        <v>37.583367356871307</v>
      </c>
      <c r="BQ39">
        <v>0.3997</v>
      </c>
      <c r="BR39">
        <v>0.3</v>
      </c>
    </row>
    <row r="40" spans="1:70" x14ac:dyDescent="0.25">
      <c r="A40">
        <v>14</v>
      </c>
      <c r="B40">
        <v>0.89600000000000002</v>
      </c>
      <c r="C40">
        <v>896</v>
      </c>
      <c r="D40">
        <v>9.5250000000000005E-3</v>
      </c>
      <c r="E40">
        <v>9.5250000000000004</v>
      </c>
      <c r="F40">
        <v>94.068241469816272</v>
      </c>
      <c r="G40">
        <v>50</v>
      </c>
      <c r="H40" t="s">
        <v>118</v>
      </c>
      <c r="I40">
        <v>8</v>
      </c>
      <c r="J40">
        <v>12</v>
      </c>
      <c r="K40">
        <v>414000</v>
      </c>
      <c r="L40">
        <v>517000</v>
      </c>
      <c r="M40">
        <v>2.5466769467238102</v>
      </c>
      <c r="N40">
        <v>2.4313344008036557</v>
      </c>
      <c r="O40">
        <v>0.93478935117382533</v>
      </c>
      <c r="P40">
        <v>60</v>
      </c>
      <c r="Q40" t="s">
        <v>9</v>
      </c>
      <c r="R40" t="s">
        <v>267</v>
      </c>
      <c r="S40">
        <v>18</v>
      </c>
      <c r="T40">
        <v>37</v>
      </c>
      <c r="U40">
        <v>0</v>
      </c>
      <c r="V40">
        <v>0</v>
      </c>
      <c r="W40">
        <v>0.9</v>
      </c>
      <c r="X40">
        <v>1</v>
      </c>
      <c r="Y40">
        <v>1.8</v>
      </c>
      <c r="Z40">
        <v>33.282396503295658</v>
      </c>
      <c r="AA40">
        <v>12.698394373823998</v>
      </c>
      <c r="AB40">
        <v>64.071522599936642</v>
      </c>
      <c r="AC40">
        <v>667.7384958493501</v>
      </c>
      <c r="AD40">
        <v>6.5038966236115616</v>
      </c>
      <c r="AE40">
        <v>4.5440204919621658</v>
      </c>
      <c r="AF40">
        <v>3.5050286236757637</v>
      </c>
      <c r="AG40">
        <v>4.3182999999999998</v>
      </c>
      <c r="AH40">
        <v>-2.7900000000000001E-2</v>
      </c>
      <c r="AI40">
        <v>1.0497000000000001</v>
      </c>
      <c r="AJ40">
        <v>-0.46910000000000002</v>
      </c>
      <c r="AK40">
        <v>0.29149999999999998</v>
      </c>
      <c r="AL40">
        <v>-0.28610000000000002</v>
      </c>
      <c r="AM40">
        <v>-0.1348</v>
      </c>
      <c r="AN40">
        <v>-9.8469706098252174E-2</v>
      </c>
      <c r="AO40">
        <v>-2.1276999999999999</v>
      </c>
      <c r="AP40">
        <v>0.14760000000000001</v>
      </c>
      <c r="AQ40">
        <v>-0.21829999999999999</v>
      </c>
      <c r="AR40">
        <v>0.42270000000000002</v>
      </c>
      <c r="AS40">
        <v>-0.53720000000000001</v>
      </c>
      <c r="AT40">
        <v>1.252</v>
      </c>
      <c r="AU40">
        <v>-5.9999999999999995E-4</v>
      </c>
      <c r="AV40">
        <v>5.3E-3</v>
      </c>
      <c r="AW40">
        <v>-4.8500000000000001E-2</v>
      </c>
      <c r="AX40">
        <v>1.2999999999999999E-3</v>
      </c>
      <c r="AY40">
        <v>-0.56599999999999995</v>
      </c>
      <c r="AZ40">
        <v>-3.2099999999999997E-2</v>
      </c>
      <c r="BA40">
        <v>0.84970000000000001</v>
      </c>
      <c r="BB40">
        <v>9.01E-2</v>
      </c>
      <c r="BC40">
        <v>1</v>
      </c>
      <c r="BD40">
        <v>1</v>
      </c>
      <c r="BE40">
        <v>1</v>
      </c>
      <c r="BF40">
        <v>1.0893192760087838</v>
      </c>
      <c r="BG40">
        <v>0.2</v>
      </c>
      <c r="BH40">
        <v>-1.6094379124341003</v>
      </c>
      <c r="BI40">
        <v>-1.5109682063358481</v>
      </c>
      <c r="BJ40">
        <v>-1.6459267925980565</v>
      </c>
      <c r="BK40">
        <v>0.6706974246136157</v>
      </c>
      <c r="BL40">
        <v>-0.76514774854841916</v>
      </c>
      <c r="BM40">
        <v>2.7491971028006073</v>
      </c>
      <c r="BN40">
        <v>5.8992546019071369E-2</v>
      </c>
      <c r="BO40">
        <v>-1.0598874677131811</v>
      </c>
      <c r="BP40">
        <v>0.34649479998843213</v>
      </c>
      <c r="BQ40">
        <v>0.50170000000000003</v>
      </c>
      <c r="BR40">
        <v>0.3</v>
      </c>
    </row>
    <row r="41" spans="1:70" x14ac:dyDescent="0.25">
      <c r="A41">
        <v>15</v>
      </c>
      <c r="B41">
        <v>0.5</v>
      </c>
      <c r="C41">
        <v>500</v>
      </c>
      <c r="D41">
        <v>9.5250000000000005E-3</v>
      </c>
      <c r="E41">
        <v>9.5250000000000004</v>
      </c>
      <c r="F41">
        <v>52.493438320209975</v>
      </c>
      <c r="G41">
        <v>100</v>
      </c>
      <c r="H41" t="s">
        <v>119</v>
      </c>
      <c r="I41">
        <v>14</v>
      </c>
      <c r="J41">
        <v>15</v>
      </c>
      <c r="K41">
        <v>483000</v>
      </c>
      <c r="L41">
        <v>565000</v>
      </c>
      <c r="M41">
        <v>2.8799444073326219</v>
      </c>
      <c r="N41">
        <v>2.7690517990613435</v>
      </c>
      <c r="O41">
        <v>1.0577709909520427</v>
      </c>
      <c r="P41">
        <v>75</v>
      </c>
      <c r="Q41" t="s">
        <v>9</v>
      </c>
      <c r="R41" t="s">
        <v>268</v>
      </c>
      <c r="S41">
        <v>18.5</v>
      </c>
      <c r="T41">
        <v>40</v>
      </c>
      <c r="U41">
        <v>0</v>
      </c>
      <c r="V41">
        <v>0</v>
      </c>
      <c r="W41">
        <v>0.9</v>
      </c>
      <c r="X41">
        <v>1.2</v>
      </c>
      <c r="Y41">
        <v>2.4</v>
      </c>
      <c r="Z41">
        <v>25.335757420374399</v>
      </c>
      <c r="AA41">
        <v>15.970859354576</v>
      </c>
      <c r="AB41">
        <v>80</v>
      </c>
      <c r="AC41">
        <v>362.27653883579364</v>
      </c>
      <c r="AD41">
        <v>5.8924078396237283</v>
      </c>
      <c r="AE41">
        <v>3.9606881774094269</v>
      </c>
      <c r="AF41">
        <v>3.2322167346868085</v>
      </c>
      <c r="AG41">
        <v>5.5951000000000004</v>
      </c>
      <c r="AH41">
        <v>1.6E-2</v>
      </c>
      <c r="AI41">
        <v>1.2641</v>
      </c>
      <c r="AJ41">
        <v>-0.52429999999999999</v>
      </c>
      <c r="AK41">
        <v>0.35830000000000001</v>
      </c>
      <c r="AL41">
        <v>-0.35920000000000002</v>
      </c>
      <c r="AM41">
        <v>-0.2482</v>
      </c>
      <c r="AN41">
        <v>0.17619681713022817</v>
      </c>
      <c r="AO41">
        <v>-2.3450000000000002</v>
      </c>
      <c r="AP41">
        <v>0.19470000000000001</v>
      </c>
      <c r="AQ41">
        <v>-0.2044</v>
      </c>
      <c r="AR41">
        <v>0.4143</v>
      </c>
      <c r="AS41">
        <v>-0.55710000000000004</v>
      </c>
      <c r="AT41">
        <v>1.0931</v>
      </c>
      <c r="AU41">
        <v>1E-4</v>
      </c>
      <c r="AV41">
        <v>3.5000000000000001E-3</v>
      </c>
      <c r="AW41">
        <v>-4.07E-2</v>
      </c>
      <c r="AX41">
        <v>1.6000000000000001E-3</v>
      </c>
      <c r="AY41">
        <v>-0.65949999999999998</v>
      </c>
      <c r="AZ41">
        <v>-3.0099999999999998E-2</v>
      </c>
      <c r="BA41">
        <v>0.84219999999999995</v>
      </c>
      <c r="BB41">
        <v>0.50680000000000003</v>
      </c>
      <c r="BC41">
        <v>1</v>
      </c>
      <c r="BD41">
        <v>0</v>
      </c>
      <c r="BE41">
        <v>1</v>
      </c>
      <c r="BF41">
        <v>1.1389230770543735</v>
      </c>
      <c r="BG41">
        <v>0.2</v>
      </c>
      <c r="BH41">
        <v>-1.6094379124341003</v>
      </c>
      <c r="BI41">
        <v>-1.7856347295643284</v>
      </c>
      <c r="BJ41">
        <v>-2.0337006006905591</v>
      </c>
      <c r="BK41">
        <v>0.7711459881416155</v>
      </c>
      <c r="BL41">
        <v>-0.66066510056998362</v>
      </c>
      <c r="BM41">
        <v>2.4412245679561106</v>
      </c>
      <c r="BN41">
        <v>0.38615229428994552</v>
      </c>
      <c r="BO41">
        <v>-1.4408428508728706</v>
      </c>
      <c r="BP41">
        <v>0.23672814804672532</v>
      </c>
      <c r="BQ41">
        <v>0.43780000000000002</v>
      </c>
      <c r="BR41">
        <v>0.3</v>
      </c>
    </row>
    <row r="42" spans="1:70" x14ac:dyDescent="0.25">
      <c r="A42">
        <v>16</v>
      </c>
      <c r="B42">
        <v>1.0668</v>
      </c>
      <c r="C42">
        <v>1066.8</v>
      </c>
      <c r="D42">
        <v>9.5250000000000005E-3</v>
      </c>
      <c r="E42">
        <v>9.5250000000000004</v>
      </c>
      <c r="F42">
        <v>111.99999999999999</v>
      </c>
      <c r="G42">
        <v>300</v>
      </c>
      <c r="H42" t="s">
        <v>117</v>
      </c>
      <c r="I42">
        <v>8</v>
      </c>
      <c r="J42">
        <v>10</v>
      </c>
      <c r="K42">
        <v>359000</v>
      </c>
      <c r="L42">
        <v>455000</v>
      </c>
      <c r="M42">
        <v>1.9969902892117808</v>
      </c>
      <c r="N42">
        <v>1.9041242414694344</v>
      </c>
      <c r="O42">
        <v>0.69164119173371341</v>
      </c>
      <c r="P42">
        <v>90</v>
      </c>
      <c r="Q42" t="s">
        <v>9</v>
      </c>
      <c r="R42" t="s">
        <v>270</v>
      </c>
      <c r="S42">
        <v>19</v>
      </c>
      <c r="T42">
        <v>43</v>
      </c>
      <c r="U42">
        <v>0</v>
      </c>
      <c r="V42">
        <v>0</v>
      </c>
      <c r="W42">
        <v>0.9</v>
      </c>
      <c r="X42">
        <v>2.5</v>
      </c>
      <c r="Y42">
        <v>2.3434570678665168</v>
      </c>
      <c r="Z42">
        <v>127.53838306794918</v>
      </c>
      <c r="AA42">
        <v>18.621858727008274</v>
      </c>
      <c r="AB42">
        <v>80</v>
      </c>
      <c r="AC42">
        <v>1808.5527496736904</v>
      </c>
      <c r="AD42">
        <v>7.5002822186049887</v>
      </c>
      <c r="AE42">
        <v>4.7184988712950942</v>
      </c>
      <c r="AF42">
        <v>4.848417362964117</v>
      </c>
      <c r="AG42">
        <v>14.575100000000001</v>
      </c>
      <c r="AH42">
        <v>0.1356</v>
      </c>
      <c r="AI42">
        <v>2.9990000000000001</v>
      </c>
      <c r="AJ42">
        <v>-0.94710000000000005</v>
      </c>
      <c r="AK42">
        <v>0.6603</v>
      </c>
      <c r="AL42">
        <v>-1.2488999999999999</v>
      </c>
      <c r="AM42">
        <v>-0.44140000000000001</v>
      </c>
      <c r="AN42">
        <v>2.3065291097276841E-2</v>
      </c>
      <c r="AO42">
        <v>5.1353999999999997</v>
      </c>
      <c r="AP42">
        <v>-4.9599999999999998E-2</v>
      </c>
      <c r="AQ42">
        <v>0.44590000000000002</v>
      </c>
      <c r="AR42">
        <v>-0.83709999999999996</v>
      </c>
      <c r="AS42">
        <v>0.63090000000000002</v>
      </c>
      <c r="AT42">
        <v>0.91390000000000005</v>
      </c>
      <c r="AU42">
        <v>2.5000000000000001E-3</v>
      </c>
      <c r="AV42">
        <v>1.6000000000000001E-3</v>
      </c>
      <c r="AW42">
        <v>-9.7500000000000003E-2</v>
      </c>
      <c r="AX42">
        <v>1.1999999999999999E-3</v>
      </c>
      <c r="AY42">
        <v>0.46479999999999999</v>
      </c>
      <c r="AZ42">
        <v>8.0000000000000004E-4</v>
      </c>
      <c r="BA42">
        <v>6.7900000000000002E-2</v>
      </c>
      <c r="BB42">
        <v>0.58979999999999999</v>
      </c>
      <c r="BC42">
        <v>1</v>
      </c>
      <c r="BD42">
        <v>0</v>
      </c>
      <c r="BE42">
        <v>1</v>
      </c>
      <c r="BF42">
        <v>1.2696459576698729</v>
      </c>
      <c r="BG42">
        <v>0.25</v>
      </c>
      <c r="BH42">
        <v>-1.3862943611198906</v>
      </c>
      <c r="BI42">
        <v>-1.4093596522171674</v>
      </c>
      <c r="BJ42">
        <v>-1.7893877853405444</v>
      </c>
      <c r="BK42">
        <v>-0.23403754401623666</v>
      </c>
      <c r="BL42">
        <v>2.1619093021456997</v>
      </c>
      <c r="BM42">
        <v>-6.2784862451942356</v>
      </c>
      <c r="BN42">
        <v>4.0796210557198086E-2</v>
      </c>
      <c r="BO42">
        <v>-0.96380606184811912</v>
      </c>
      <c r="BP42">
        <v>0.38143834176838154</v>
      </c>
      <c r="BQ42">
        <v>0.34749999999999998</v>
      </c>
      <c r="BR42">
        <v>0.3</v>
      </c>
    </row>
    <row r="43" spans="1:70" x14ac:dyDescent="0.25">
      <c r="A43">
        <v>17</v>
      </c>
      <c r="B43">
        <v>0.60960000000000003</v>
      </c>
      <c r="C43">
        <v>609.6</v>
      </c>
      <c r="D43">
        <v>9.5250000000000005E-3</v>
      </c>
      <c r="E43">
        <v>9.5250000000000004</v>
      </c>
      <c r="F43">
        <v>64</v>
      </c>
      <c r="G43">
        <v>30</v>
      </c>
      <c r="H43" t="s">
        <v>119</v>
      </c>
      <c r="I43">
        <v>14</v>
      </c>
      <c r="J43">
        <v>15</v>
      </c>
      <c r="K43">
        <v>483000</v>
      </c>
      <c r="L43">
        <v>565000</v>
      </c>
      <c r="M43">
        <v>2.8799444073326219</v>
      </c>
      <c r="N43">
        <v>2.7690517990613435</v>
      </c>
      <c r="O43">
        <v>1.0577709909520427</v>
      </c>
      <c r="P43">
        <v>45</v>
      </c>
      <c r="Q43" t="s">
        <v>9</v>
      </c>
      <c r="R43" t="s">
        <v>267</v>
      </c>
      <c r="S43">
        <v>18</v>
      </c>
      <c r="T43">
        <v>37</v>
      </c>
      <c r="U43">
        <v>0</v>
      </c>
      <c r="V43">
        <v>0</v>
      </c>
      <c r="W43">
        <v>0.9</v>
      </c>
      <c r="X43">
        <v>1</v>
      </c>
      <c r="Y43">
        <v>1.8</v>
      </c>
      <c r="Z43">
        <v>22.643916192420797</v>
      </c>
      <c r="AA43">
        <v>12.698394373823998</v>
      </c>
      <c r="AB43">
        <v>64.071522599936642</v>
      </c>
      <c r="AC43">
        <v>353.62475395575746</v>
      </c>
      <c r="AD43">
        <v>5.8682363338442034</v>
      </c>
      <c r="AE43">
        <v>4.1588830833596715</v>
      </c>
      <c r="AF43">
        <v>3.1198912150732698</v>
      </c>
      <c r="AG43">
        <v>3.7532999999999999</v>
      </c>
      <c r="AH43">
        <v>0.14510000000000001</v>
      </c>
      <c r="AI43">
        <v>1.2497</v>
      </c>
      <c r="AJ43">
        <v>-0.46100000000000002</v>
      </c>
      <c r="AK43">
        <v>0.39140000000000003</v>
      </c>
      <c r="AL43">
        <v>-0.21310000000000001</v>
      </c>
      <c r="AM43">
        <v>-0.34139999999999998</v>
      </c>
      <c r="AN43">
        <v>-0.19061367663895701</v>
      </c>
      <c r="AO43">
        <v>-1.1082000000000001</v>
      </c>
      <c r="AP43">
        <v>0.10630000000000001</v>
      </c>
      <c r="AQ43">
        <v>-0.1439</v>
      </c>
      <c r="AR43">
        <v>0.27879999999999999</v>
      </c>
      <c r="AS43">
        <v>-0.31030000000000002</v>
      </c>
      <c r="AT43">
        <v>1.2553000000000001</v>
      </c>
      <c r="AU43">
        <v>2.9999999999999997E-4</v>
      </c>
      <c r="AV43">
        <v>5.1999999999999998E-3</v>
      </c>
      <c r="AW43">
        <v>-8.5900000000000004E-2</v>
      </c>
      <c r="AX43">
        <v>5.9999999999999995E-4</v>
      </c>
      <c r="AY43">
        <v>-0.21759999999999999</v>
      </c>
      <c r="AZ43">
        <v>-2.69E-2</v>
      </c>
      <c r="BA43">
        <v>0.57389999999999997</v>
      </c>
      <c r="BB43">
        <v>0.34460000000000002</v>
      </c>
      <c r="BC43">
        <v>1</v>
      </c>
      <c r="BD43">
        <v>1</v>
      </c>
      <c r="BE43">
        <v>1</v>
      </c>
      <c r="BF43">
        <v>0.93649317485772643</v>
      </c>
      <c r="BG43">
        <v>0.28000000000000003</v>
      </c>
      <c r="BH43">
        <v>-1.2729656758128873</v>
      </c>
      <c r="BI43">
        <v>-1.0823519991739303</v>
      </c>
      <c r="BJ43">
        <v>-1.0136152600200012</v>
      </c>
      <c r="BK43">
        <v>0.44208927176113311</v>
      </c>
      <c r="BL43">
        <v>-0.44895234584904353</v>
      </c>
      <c r="BM43">
        <v>1.6360642898757638</v>
      </c>
      <c r="BN43">
        <v>0.15358369081139006</v>
      </c>
      <c r="BO43">
        <v>-0.33903035342075799</v>
      </c>
      <c r="BP43">
        <v>0.71246082313784431</v>
      </c>
      <c r="BQ43">
        <v>0.3997</v>
      </c>
      <c r="BR43">
        <v>0.3</v>
      </c>
    </row>
    <row r="44" spans="1:70" x14ac:dyDescent="0.25">
      <c r="A44">
        <v>18</v>
      </c>
      <c r="B44">
        <v>0.40960000000000002</v>
      </c>
      <c r="C44">
        <v>409.6</v>
      </c>
      <c r="D44">
        <v>9.5250000000000005E-3</v>
      </c>
      <c r="E44">
        <v>9.5250000000000004</v>
      </c>
      <c r="F44">
        <v>43.00262467191601</v>
      </c>
      <c r="G44">
        <v>50</v>
      </c>
      <c r="H44" t="s">
        <v>120</v>
      </c>
      <c r="I44">
        <v>15</v>
      </c>
      <c r="J44">
        <v>20</v>
      </c>
      <c r="K44">
        <v>552000</v>
      </c>
      <c r="L44">
        <v>625000</v>
      </c>
      <c r="M44">
        <v>2.9888368774026359</v>
      </c>
      <c r="N44">
        <v>2.8464933991254466</v>
      </c>
      <c r="O44">
        <v>1.0948843075076633</v>
      </c>
      <c r="P44">
        <v>60</v>
      </c>
      <c r="Q44" t="s">
        <v>9</v>
      </c>
      <c r="R44" t="s">
        <v>268</v>
      </c>
      <c r="S44">
        <v>18.5</v>
      </c>
      <c r="T44">
        <v>40</v>
      </c>
      <c r="U44">
        <v>0</v>
      </c>
      <c r="V44">
        <v>0</v>
      </c>
      <c r="W44">
        <v>0.9</v>
      </c>
      <c r="X44">
        <v>1.2</v>
      </c>
      <c r="Y44">
        <v>2.9296874999999996</v>
      </c>
      <c r="Z44">
        <v>20.755052478770708</v>
      </c>
      <c r="AA44">
        <v>16.165411783848704</v>
      </c>
      <c r="AB44">
        <v>80</v>
      </c>
      <c r="AC44">
        <v>271.14542759995038</v>
      </c>
      <c r="AD44">
        <v>5.6026553101537404</v>
      </c>
      <c r="AE44">
        <v>3.7612611527125335</v>
      </c>
      <c r="AF44">
        <v>3.0327897099899146</v>
      </c>
      <c r="AG44">
        <v>4.3182999999999998</v>
      </c>
      <c r="AH44">
        <v>-2.7900000000000001E-2</v>
      </c>
      <c r="AI44">
        <v>1.0497000000000001</v>
      </c>
      <c r="AJ44">
        <v>-0.46910000000000002</v>
      </c>
      <c r="AK44">
        <v>0.29149999999999998</v>
      </c>
      <c r="AL44">
        <v>-0.28610000000000002</v>
      </c>
      <c r="AM44">
        <v>-0.1348</v>
      </c>
      <c r="AN44">
        <v>-0.18476915335014066</v>
      </c>
      <c r="AO44">
        <v>-2.1276999999999999</v>
      </c>
      <c r="AP44">
        <v>0.14760000000000001</v>
      </c>
      <c r="AQ44">
        <v>-0.21829999999999999</v>
      </c>
      <c r="AR44">
        <v>0.42270000000000002</v>
      </c>
      <c r="AS44">
        <v>-0.53720000000000001</v>
      </c>
      <c r="AT44">
        <v>1.252</v>
      </c>
      <c r="AU44">
        <v>-5.9999999999999995E-4</v>
      </c>
      <c r="AV44">
        <v>5.3E-3</v>
      </c>
      <c r="AW44">
        <v>-4.8500000000000001E-2</v>
      </c>
      <c r="AX44">
        <v>1.2999999999999999E-3</v>
      </c>
      <c r="AY44">
        <v>-0.56599999999999995</v>
      </c>
      <c r="AZ44">
        <v>-3.2099999999999997E-2</v>
      </c>
      <c r="BA44">
        <v>0.84970000000000001</v>
      </c>
      <c r="BB44">
        <v>9.01E-2</v>
      </c>
      <c r="BC44">
        <v>1</v>
      </c>
      <c r="BD44">
        <v>1</v>
      </c>
      <c r="BE44">
        <v>1</v>
      </c>
      <c r="BF44">
        <v>1.0304503805862284</v>
      </c>
      <c r="BG44">
        <v>0.18</v>
      </c>
      <c r="BH44">
        <v>-1.7147984280919266</v>
      </c>
      <c r="BI44">
        <v>-1.5300292747417861</v>
      </c>
      <c r="BJ44">
        <v>-1.5766192484657444</v>
      </c>
      <c r="BK44">
        <v>0.55516214614036996</v>
      </c>
      <c r="BL44">
        <v>-0.66205799369079832</v>
      </c>
      <c r="BM44">
        <v>2.3682423996019861</v>
      </c>
      <c r="BN44">
        <v>0.47949086306397387</v>
      </c>
      <c r="BO44">
        <v>-0.96348183335021309</v>
      </c>
      <c r="BP44">
        <v>0.3815620350003287</v>
      </c>
      <c r="BQ44">
        <v>0.50170000000000003</v>
      </c>
      <c r="BR44">
        <v>0.3</v>
      </c>
    </row>
    <row r="45" spans="1:70" x14ac:dyDescent="0.25">
      <c r="A45">
        <v>19</v>
      </c>
      <c r="B45">
        <v>0.89600000000000002</v>
      </c>
      <c r="C45">
        <v>896</v>
      </c>
      <c r="D45">
        <v>9.5250000000000005E-3</v>
      </c>
      <c r="E45">
        <v>9.5250000000000004</v>
      </c>
      <c r="F45">
        <v>94.068241469816272</v>
      </c>
      <c r="G45">
        <v>100</v>
      </c>
      <c r="H45" t="s">
        <v>117</v>
      </c>
      <c r="I45">
        <v>8</v>
      </c>
      <c r="J45">
        <v>10</v>
      </c>
      <c r="K45">
        <v>359000</v>
      </c>
      <c r="L45">
        <v>455000</v>
      </c>
      <c r="M45">
        <v>1.9969902892117808</v>
      </c>
      <c r="N45">
        <v>1.9041242414694344</v>
      </c>
      <c r="O45">
        <v>0.69164119173371341</v>
      </c>
      <c r="P45">
        <v>75</v>
      </c>
      <c r="Q45" t="s">
        <v>9</v>
      </c>
      <c r="R45" t="s">
        <v>270</v>
      </c>
      <c r="S45">
        <v>19</v>
      </c>
      <c r="T45">
        <v>43</v>
      </c>
      <c r="U45">
        <v>0</v>
      </c>
      <c r="V45">
        <v>0</v>
      </c>
      <c r="W45">
        <v>0.9</v>
      </c>
      <c r="X45">
        <v>0.8</v>
      </c>
      <c r="Y45">
        <v>1.8</v>
      </c>
      <c r="Z45">
        <v>34.278032614587922</v>
      </c>
      <c r="AA45">
        <v>18.784824717152006</v>
      </c>
      <c r="AB45">
        <v>80</v>
      </c>
      <c r="AC45">
        <v>865.97444478783666</v>
      </c>
      <c r="AD45">
        <v>6.7638553986441545</v>
      </c>
      <c r="AE45">
        <v>4.5440204919621658</v>
      </c>
      <c r="AF45">
        <v>3.5345047004428238</v>
      </c>
      <c r="AG45">
        <v>5.5951000000000004</v>
      </c>
      <c r="AH45">
        <v>1.6E-2</v>
      </c>
      <c r="AI45">
        <v>1.2641</v>
      </c>
      <c r="AJ45">
        <v>-0.52429999999999999</v>
      </c>
      <c r="AK45">
        <v>0.35830000000000001</v>
      </c>
      <c r="AL45">
        <v>-0.35920000000000002</v>
      </c>
      <c r="AM45">
        <v>-0.2482</v>
      </c>
      <c r="AN45">
        <v>8.8509920075637738E-2</v>
      </c>
      <c r="AO45">
        <v>-2.3450000000000002</v>
      </c>
      <c r="AP45">
        <v>0.19470000000000001</v>
      </c>
      <c r="AQ45">
        <v>-0.2044</v>
      </c>
      <c r="AR45">
        <v>0.4143</v>
      </c>
      <c r="AS45">
        <v>-0.55710000000000004</v>
      </c>
      <c r="AT45">
        <v>1.0931</v>
      </c>
      <c r="AU45">
        <v>1E-4</v>
      </c>
      <c r="AV45">
        <v>3.5000000000000001E-3</v>
      </c>
      <c r="AW45">
        <v>-4.07E-2</v>
      </c>
      <c r="AX45">
        <v>1.6000000000000001E-3</v>
      </c>
      <c r="AY45">
        <v>-0.65949999999999998</v>
      </c>
      <c r="AZ45">
        <v>-3.0099999999999998E-2</v>
      </c>
      <c r="BA45">
        <v>0.84219999999999995</v>
      </c>
      <c r="BB45">
        <v>0.50680000000000003</v>
      </c>
      <c r="BC45">
        <v>1</v>
      </c>
      <c r="BD45">
        <v>0</v>
      </c>
      <c r="BE45">
        <v>1</v>
      </c>
      <c r="BF45">
        <v>1.2063369896131648</v>
      </c>
      <c r="BG45">
        <v>0.4</v>
      </c>
      <c r="BH45">
        <v>-0.916290731874155</v>
      </c>
      <c r="BI45">
        <v>-1.0048006519497927</v>
      </c>
      <c r="BJ45">
        <v>-1.2121281936344583</v>
      </c>
      <c r="BK45">
        <v>0.88472078978503377</v>
      </c>
      <c r="BL45">
        <v>-0.72245276077051324</v>
      </c>
      <c r="BM45">
        <v>2.8022652916582733</v>
      </c>
      <c r="BN45">
        <v>6.1177861852614784E-2</v>
      </c>
      <c r="BO45">
        <v>-0.53141701110905004</v>
      </c>
      <c r="BP45">
        <v>0.58777150055444438</v>
      </c>
      <c r="BQ45">
        <v>0.43780000000000002</v>
      </c>
      <c r="BR45">
        <v>0.3</v>
      </c>
    </row>
    <row r="46" spans="1:70" x14ac:dyDescent="0.25">
      <c r="A46">
        <v>20</v>
      </c>
      <c r="B46">
        <v>0.5</v>
      </c>
      <c r="C46">
        <v>500</v>
      </c>
      <c r="D46">
        <v>9.5250000000000005E-3</v>
      </c>
      <c r="E46">
        <v>9.5250000000000004</v>
      </c>
      <c r="F46">
        <v>52.493438320209975</v>
      </c>
      <c r="G46">
        <v>300</v>
      </c>
      <c r="H46" t="s">
        <v>117</v>
      </c>
      <c r="I46">
        <v>8</v>
      </c>
      <c r="J46">
        <v>10</v>
      </c>
      <c r="K46">
        <v>359000</v>
      </c>
      <c r="L46">
        <v>455000</v>
      </c>
      <c r="M46">
        <v>1.9969902892117808</v>
      </c>
      <c r="N46">
        <v>1.9041242414694344</v>
      </c>
      <c r="O46">
        <v>0.69164119173371341</v>
      </c>
      <c r="P46">
        <v>90</v>
      </c>
      <c r="Q46" t="s">
        <v>9</v>
      </c>
      <c r="R46" t="s">
        <v>267</v>
      </c>
      <c r="S46">
        <v>18</v>
      </c>
      <c r="T46">
        <v>37</v>
      </c>
      <c r="U46">
        <v>0</v>
      </c>
      <c r="V46">
        <v>0</v>
      </c>
      <c r="W46">
        <v>0.9</v>
      </c>
      <c r="X46">
        <v>2</v>
      </c>
      <c r="Y46">
        <v>4</v>
      </c>
      <c r="Z46">
        <v>37.145531811713909</v>
      </c>
      <c r="AA46">
        <v>14.286272930000003</v>
      </c>
      <c r="AB46">
        <v>64.071522599936642</v>
      </c>
      <c r="AC46">
        <v>401.31383858985748</v>
      </c>
      <c r="AD46">
        <v>5.9947437610786407</v>
      </c>
      <c r="AE46">
        <v>3.9606881774094269</v>
      </c>
      <c r="AF46">
        <v>3.6148434896829706</v>
      </c>
      <c r="AG46">
        <v>14.575100000000001</v>
      </c>
      <c r="AH46">
        <v>0.1356</v>
      </c>
      <c r="AI46">
        <v>2.9990000000000001</v>
      </c>
      <c r="AJ46">
        <v>-0.94710000000000005</v>
      </c>
      <c r="AK46">
        <v>0.6603</v>
      </c>
      <c r="AL46">
        <v>-1.2488999999999999</v>
      </c>
      <c r="AM46">
        <v>-0.44140000000000001</v>
      </c>
      <c r="AN46">
        <v>0.89288001558423113</v>
      </c>
      <c r="AO46">
        <v>5.1353999999999997</v>
      </c>
      <c r="AP46">
        <v>-4.9599999999999998E-2</v>
      </c>
      <c r="AQ46">
        <v>0.44590000000000002</v>
      </c>
      <c r="AR46">
        <v>-0.83709999999999996</v>
      </c>
      <c r="AS46">
        <v>0.63090000000000002</v>
      </c>
      <c r="AT46">
        <v>0.91390000000000005</v>
      </c>
      <c r="AU46">
        <v>2.5000000000000001E-3</v>
      </c>
      <c r="AV46">
        <v>1.6000000000000001E-3</v>
      </c>
      <c r="AW46">
        <v>-9.7500000000000003E-2</v>
      </c>
      <c r="AX46">
        <v>1.1999999999999999E-3</v>
      </c>
      <c r="AY46">
        <v>0.46479999999999999</v>
      </c>
      <c r="AZ46">
        <v>8.0000000000000004E-4</v>
      </c>
      <c r="BA46">
        <v>6.7900000000000002E-2</v>
      </c>
      <c r="BB46">
        <v>0.58979999999999999</v>
      </c>
      <c r="BC46">
        <v>1</v>
      </c>
      <c r="BD46">
        <v>0</v>
      </c>
      <c r="BE46">
        <v>1</v>
      </c>
      <c r="BF46">
        <v>0.97225595551353683</v>
      </c>
      <c r="BG46">
        <v>1.2</v>
      </c>
      <c r="BH46">
        <v>0.18232155679395459</v>
      </c>
      <c r="BI46">
        <v>-0.71055845879027657</v>
      </c>
      <c r="BJ46">
        <v>-0.69084469329936637</v>
      </c>
      <c r="BK46">
        <v>-0.19645013359950758</v>
      </c>
      <c r="BL46">
        <v>1.6118587120496366</v>
      </c>
      <c r="BM46">
        <v>-5.0182000023989302</v>
      </c>
      <c r="BN46">
        <v>-0.43730655621526948</v>
      </c>
      <c r="BO46">
        <v>0.40445732653656241</v>
      </c>
      <c r="BP46">
        <v>1.4984890891045519</v>
      </c>
      <c r="BQ46">
        <v>0.34749999999999998</v>
      </c>
      <c r="BR46">
        <v>0.3</v>
      </c>
    </row>
  </sheetData>
  <dataValidations count="1">
    <dataValidation type="list" allowBlank="1" showInputMessage="1" showErrorMessage="1" sqref="H3:H22" xr:uid="{9CA0ED3A-4AEF-46FA-B253-040488C181DF}">
      <formula1>"Grade-B,X-42,X-52,X-60,X-70,X-80"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4E6E-67E1-4616-9992-789E98870F67}">
  <dimension ref="A1:T48"/>
  <sheetViews>
    <sheetView workbookViewId="0">
      <selection sqref="A1:H1"/>
    </sheetView>
  </sheetViews>
  <sheetFormatPr defaultRowHeight="15" x14ac:dyDescent="0.25"/>
  <cols>
    <col min="5" max="7" width="11.5703125" customWidth="1"/>
    <col min="9" max="9" width="12.5703125" customWidth="1"/>
    <col min="11" max="11" width="12" bestFit="1" customWidth="1"/>
    <col min="12" max="12" width="30" customWidth="1"/>
  </cols>
  <sheetData>
    <row r="1" spans="1:16" x14ac:dyDescent="0.25">
      <c r="A1" s="171" t="s">
        <v>173</v>
      </c>
      <c r="B1" s="171"/>
      <c r="C1" s="171"/>
      <c r="D1" s="171"/>
      <c r="E1" s="171"/>
      <c r="F1" s="171"/>
      <c r="G1" s="171"/>
      <c r="H1" s="171"/>
    </row>
    <row r="2" spans="1:16" ht="18" x14ac:dyDescent="0.25">
      <c r="A2" s="36" t="s">
        <v>50</v>
      </c>
      <c r="B2" s="31" t="s">
        <v>139</v>
      </c>
      <c r="C2" s="31" t="s">
        <v>140</v>
      </c>
      <c r="D2" s="31" t="s">
        <v>141</v>
      </c>
      <c r="E2" s="31" t="s">
        <v>142</v>
      </c>
      <c r="F2" s="31" t="s">
        <v>143</v>
      </c>
      <c r="G2" s="31" t="s">
        <v>144</v>
      </c>
      <c r="H2" s="31" t="s">
        <v>145</v>
      </c>
    </row>
    <row r="3" spans="1:16" x14ac:dyDescent="0.25">
      <c r="A3" s="32">
        <v>30</v>
      </c>
      <c r="B3" s="33">
        <v>3.9632999999999998</v>
      </c>
      <c r="C3" s="33">
        <v>0.29370000000000002</v>
      </c>
      <c r="D3" s="33">
        <v>1.2438</v>
      </c>
      <c r="E3" s="33">
        <v>-0.70199999999999996</v>
      </c>
      <c r="F3" s="33">
        <v>-0.3957</v>
      </c>
      <c r="G3" s="33">
        <v>-0.40510000000000002</v>
      </c>
      <c r="H3" s="33">
        <v>1E-4</v>
      </c>
    </row>
    <row r="4" spans="1:16" x14ac:dyDescent="0.25">
      <c r="A4" s="32">
        <v>45</v>
      </c>
      <c r="B4" s="33">
        <v>3.7532999999999999</v>
      </c>
      <c r="C4" s="33">
        <v>0.14510000000000001</v>
      </c>
      <c r="D4" s="33">
        <v>1.2497</v>
      </c>
      <c r="E4" s="33">
        <v>-0.46100000000000002</v>
      </c>
      <c r="F4" s="33">
        <v>0.39140000000000003</v>
      </c>
      <c r="G4" s="33">
        <v>-0.21310000000000001</v>
      </c>
      <c r="H4" s="33">
        <v>-0.34139999999999998</v>
      </c>
    </row>
    <row r="5" spans="1:16" x14ac:dyDescent="0.25">
      <c r="A5" s="32">
        <v>60</v>
      </c>
      <c r="B5" s="33">
        <v>4.3182999999999998</v>
      </c>
      <c r="C5" s="33">
        <v>-2.7900000000000001E-2</v>
      </c>
      <c r="D5" s="33">
        <v>1.0497000000000001</v>
      </c>
      <c r="E5" s="33">
        <v>-0.46910000000000002</v>
      </c>
      <c r="F5" s="33">
        <v>0.29149999999999998</v>
      </c>
      <c r="G5" s="33">
        <v>-0.28610000000000002</v>
      </c>
      <c r="H5" s="33">
        <v>-0.1348</v>
      </c>
    </row>
    <row r="6" spans="1:16" x14ac:dyDescent="0.25">
      <c r="A6" s="32">
        <v>75</v>
      </c>
      <c r="B6" s="33">
        <v>5.5951000000000004</v>
      </c>
      <c r="C6" s="33">
        <v>1.6E-2</v>
      </c>
      <c r="D6" s="33">
        <v>1.2641</v>
      </c>
      <c r="E6" s="33">
        <v>-0.52429999999999999</v>
      </c>
      <c r="F6" s="33">
        <v>0.35830000000000001</v>
      </c>
      <c r="G6" s="33">
        <v>-0.35920000000000002</v>
      </c>
      <c r="H6" s="33">
        <v>-0.2482</v>
      </c>
    </row>
    <row r="7" spans="1:16" x14ac:dyDescent="0.25">
      <c r="A7" s="32">
        <v>90</v>
      </c>
      <c r="B7" s="33">
        <v>14.575100000000001</v>
      </c>
      <c r="C7" s="33">
        <v>0.1356</v>
      </c>
      <c r="D7" s="33">
        <v>2.9990000000000001</v>
      </c>
      <c r="E7" s="33">
        <v>-0.94710000000000005</v>
      </c>
      <c r="F7" s="33">
        <v>0.6603</v>
      </c>
      <c r="G7" s="33">
        <v>-1.2488999999999999</v>
      </c>
      <c r="H7" s="33">
        <v>-0.44140000000000001</v>
      </c>
    </row>
    <row r="8" spans="1:16" ht="18" x14ac:dyDescent="0.25">
      <c r="A8" s="172" t="s">
        <v>174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</row>
    <row r="9" spans="1:16" ht="18" x14ac:dyDescent="0.25">
      <c r="A9" s="36" t="s">
        <v>50</v>
      </c>
      <c r="B9" s="31" t="s">
        <v>147</v>
      </c>
      <c r="C9" s="31" t="s">
        <v>148</v>
      </c>
      <c r="D9" s="31" t="s">
        <v>149</v>
      </c>
      <c r="E9" s="31" t="s">
        <v>150</v>
      </c>
      <c r="F9" s="31" t="s">
        <v>151</v>
      </c>
      <c r="G9" s="31" t="s">
        <v>152</v>
      </c>
      <c r="H9" s="31" t="s">
        <v>153</v>
      </c>
      <c r="I9" s="31" t="s">
        <v>154</v>
      </c>
      <c r="J9" s="31" t="s">
        <v>155</v>
      </c>
      <c r="K9" s="31" t="s">
        <v>156</v>
      </c>
      <c r="L9" s="31" t="s">
        <v>157</v>
      </c>
      <c r="M9" s="31" t="s">
        <v>158</v>
      </c>
      <c r="N9" s="31" t="s">
        <v>159</v>
      </c>
      <c r="O9" s="31" t="s">
        <v>160</v>
      </c>
      <c r="P9" s="31" t="s">
        <v>175</v>
      </c>
    </row>
    <row r="10" spans="1:16" x14ac:dyDescent="0.25">
      <c r="A10" s="32">
        <v>30</v>
      </c>
      <c r="B10" s="33">
        <v>0.80179999999999996</v>
      </c>
      <c r="C10" s="33">
        <v>2.6499999999999999E-2</v>
      </c>
      <c r="D10" s="33">
        <v>0</v>
      </c>
      <c r="E10" s="33">
        <v>1.7999999999999999E-2</v>
      </c>
      <c r="F10" s="33">
        <v>0.14169999999999999</v>
      </c>
      <c r="G10" s="33">
        <v>1.1363000000000001</v>
      </c>
      <c r="H10" s="33">
        <v>1.1999999999999999E-3</v>
      </c>
      <c r="I10" s="33">
        <v>3.8E-3</v>
      </c>
      <c r="J10" s="33">
        <v>0</v>
      </c>
      <c r="K10" s="33">
        <v>3.2000000000000002E-3</v>
      </c>
      <c r="L10" s="33">
        <v>2.1297000000000001</v>
      </c>
      <c r="M10" s="33">
        <v>1E-3</v>
      </c>
      <c r="N10" s="33">
        <v>0</v>
      </c>
      <c r="O10" s="33">
        <v>-0.38669999999999999</v>
      </c>
      <c r="P10" s="33">
        <v>0.34899999999999998</v>
      </c>
    </row>
    <row r="11" spans="1:16" x14ac:dyDescent="0.25">
      <c r="A11" s="32">
        <v>45</v>
      </c>
      <c r="B11" s="33">
        <v>-1.1082000000000001</v>
      </c>
      <c r="C11" s="33">
        <v>0.10630000000000001</v>
      </c>
      <c r="D11" s="33">
        <v>-0.1439</v>
      </c>
      <c r="E11" s="33">
        <v>0.27879999999999999</v>
      </c>
      <c r="F11" s="33">
        <v>-0.31030000000000002</v>
      </c>
      <c r="G11" s="33">
        <v>1.2553000000000001</v>
      </c>
      <c r="H11" s="33">
        <v>2.9999999999999997E-4</v>
      </c>
      <c r="I11" s="33">
        <v>5.1999999999999998E-3</v>
      </c>
      <c r="J11" s="33">
        <v>-8.5900000000000004E-2</v>
      </c>
      <c r="K11" s="33">
        <v>5.9999999999999995E-4</v>
      </c>
      <c r="L11" s="33">
        <v>-0.21759999999999999</v>
      </c>
      <c r="M11" s="33">
        <v>-2.69E-2</v>
      </c>
      <c r="N11" s="33">
        <v>0.57389999999999997</v>
      </c>
      <c r="O11" s="33">
        <v>0.34460000000000002</v>
      </c>
      <c r="P11" s="33">
        <v>0.3997</v>
      </c>
    </row>
    <row r="12" spans="1:16" x14ac:dyDescent="0.25">
      <c r="A12" s="32">
        <v>60</v>
      </c>
      <c r="B12" s="33">
        <v>-2.1276999999999999</v>
      </c>
      <c r="C12" s="33">
        <v>0.14760000000000001</v>
      </c>
      <c r="D12" s="33">
        <v>-0.21829999999999999</v>
      </c>
      <c r="E12" s="33">
        <v>0.42270000000000002</v>
      </c>
      <c r="F12" s="33">
        <v>-0.53720000000000001</v>
      </c>
      <c r="G12" s="33">
        <v>1.252</v>
      </c>
      <c r="H12" s="33">
        <v>-5.9999999999999995E-4</v>
      </c>
      <c r="I12" s="33">
        <v>5.3E-3</v>
      </c>
      <c r="J12" s="33">
        <v>-4.8500000000000001E-2</v>
      </c>
      <c r="K12" s="33">
        <v>1.2999999999999999E-3</v>
      </c>
      <c r="L12" s="33">
        <v>-0.56599999999999995</v>
      </c>
      <c r="M12" s="33">
        <v>-3.2099999999999997E-2</v>
      </c>
      <c r="N12" s="33">
        <v>0.84970000000000001</v>
      </c>
      <c r="O12" s="33">
        <v>9.01E-2</v>
      </c>
      <c r="P12" s="33">
        <v>0.50170000000000003</v>
      </c>
    </row>
    <row r="13" spans="1:16" x14ac:dyDescent="0.25">
      <c r="A13" s="32">
        <v>75</v>
      </c>
      <c r="B13" s="33">
        <v>-2.3450000000000002</v>
      </c>
      <c r="C13" s="33">
        <v>0.19470000000000001</v>
      </c>
      <c r="D13" s="33">
        <v>-0.2044</v>
      </c>
      <c r="E13" s="33">
        <v>0.4143</v>
      </c>
      <c r="F13" s="33">
        <v>-0.55710000000000004</v>
      </c>
      <c r="G13" s="33">
        <v>1.0931</v>
      </c>
      <c r="H13" s="33">
        <v>1E-4</v>
      </c>
      <c r="I13" s="33">
        <v>3.5000000000000001E-3</v>
      </c>
      <c r="J13" s="33">
        <v>-4.07E-2</v>
      </c>
      <c r="K13" s="33">
        <v>1.6000000000000001E-3</v>
      </c>
      <c r="L13" s="33">
        <v>-0.65949999999999998</v>
      </c>
      <c r="M13" s="33">
        <v>-3.0099999999999998E-2</v>
      </c>
      <c r="N13" s="33">
        <v>0.84219999999999995</v>
      </c>
      <c r="O13" s="33">
        <v>0.50680000000000003</v>
      </c>
      <c r="P13" s="33">
        <v>0.43780000000000002</v>
      </c>
    </row>
    <row r="14" spans="1:16" x14ac:dyDescent="0.25">
      <c r="A14" s="32">
        <v>90</v>
      </c>
      <c r="B14" s="33">
        <v>5.1353999999999997</v>
      </c>
      <c r="C14" s="33">
        <v>-4.9599999999999998E-2</v>
      </c>
      <c r="D14" s="33">
        <v>0.44590000000000002</v>
      </c>
      <c r="E14" s="33">
        <v>-0.83709999999999996</v>
      </c>
      <c r="F14" s="33">
        <v>0.63090000000000002</v>
      </c>
      <c r="G14" s="33">
        <v>0.91390000000000005</v>
      </c>
      <c r="H14" s="33">
        <v>2.5000000000000001E-3</v>
      </c>
      <c r="I14" s="33">
        <v>1.6000000000000001E-3</v>
      </c>
      <c r="J14" s="33">
        <v>-9.7500000000000003E-2</v>
      </c>
      <c r="K14" s="33">
        <v>1.1999999999999999E-3</v>
      </c>
      <c r="L14" s="33">
        <v>0.46479999999999999</v>
      </c>
      <c r="M14" s="33">
        <v>8.0000000000000004E-4</v>
      </c>
      <c r="N14" s="33">
        <v>6.7900000000000002E-2</v>
      </c>
      <c r="O14" s="33">
        <v>0.58979999999999999</v>
      </c>
      <c r="P14" s="33">
        <v>0.34749999999999998</v>
      </c>
    </row>
    <row r="16" spans="1:16" ht="18" x14ac:dyDescent="0.35">
      <c r="D16" s="171" t="s">
        <v>176</v>
      </c>
      <c r="E16" s="171"/>
      <c r="F16" s="171"/>
      <c r="G16" s="171"/>
    </row>
    <row r="17" spans="4:20" x14ac:dyDescent="0.25">
      <c r="D17" s="33"/>
      <c r="E17" s="33" t="s">
        <v>177</v>
      </c>
      <c r="F17" s="33" t="s">
        <v>178</v>
      </c>
      <c r="G17" s="33" t="s">
        <v>179</v>
      </c>
    </row>
    <row r="18" spans="4:20" x14ac:dyDescent="0.25">
      <c r="D18" s="33" t="s">
        <v>18</v>
      </c>
      <c r="E18" s="37">
        <v>13.08197373</v>
      </c>
      <c r="F18" s="37">
        <v>17.16864833</v>
      </c>
      <c r="G18" s="37">
        <v>22.265246900000001</v>
      </c>
    </row>
    <row r="19" spans="4:20" x14ac:dyDescent="0.25">
      <c r="D19" s="33" t="s">
        <v>19</v>
      </c>
      <c r="E19" s="37">
        <v>-1.03819712</v>
      </c>
      <c r="F19" s="37">
        <v>-1.57125015</v>
      </c>
      <c r="G19" s="37">
        <v>-3.5677026399999998</v>
      </c>
    </row>
    <row r="20" spans="4:20" x14ac:dyDescent="0.25">
      <c r="D20" s="33" t="s">
        <v>104</v>
      </c>
      <c r="E20" s="37">
        <v>0.57950358000000002</v>
      </c>
      <c r="F20" s="37">
        <v>0.58594570999999995</v>
      </c>
      <c r="G20" s="37">
        <v>1.08316196</v>
      </c>
    </row>
    <row r="21" spans="4:20" x14ac:dyDescent="0.25">
      <c r="D21" s="33" t="s">
        <v>105</v>
      </c>
      <c r="E21" s="37">
        <v>-7.2290160000000006E-2</v>
      </c>
      <c r="F21" s="37">
        <v>-6.3292440000000005E-2</v>
      </c>
      <c r="G21" s="37">
        <v>-0.10313583</v>
      </c>
    </row>
    <row r="22" spans="4:20" x14ac:dyDescent="0.25">
      <c r="D22" s="33" t="s">
        <v>106</v>
      </c>
      <c r="E22" s="37">
        <v>2.77969E-3</v>
      </c>
      <c r="F22" s="37">
        <v>2.2038600000000002E-3</v>
      </c>
      <c r="G22" s="37">
        <v>3.18987E-3</v>
      </c>
    </row>
    <row r="24" spans="4:20" x14ac:dyDescent="0.25">
      <c r="O24" s="36" t="s">
        <v>50</v>
      </c>
      <c r="P24" s="32">
        <v>30</v>
      </c>
      <c r="Q24" s="32">
        <v>45</v>
      </c>
      <c r="R24" s="32">
        <v>60</v>
      </c>
      <c r="S24" s="32">
        <v>75</v>
      </c>
      <c r="T24" s="32">
        <v>90</v>
      </c>
    </row>
    <row r="25" spans="4:20" ht="18" x14ac:dyDescent="0.25">
      <c r="O25" s="31" t="s">
        <v>139</v>
      </c>
      <c r="P25" s="33">
        <v>3.9632999999999998</v>
      </c>
      <c r="Q25" s="33">
        <v>3.7532999999999999</v>
      </c>
      <c r="R25" s="33">
        <v>4.3182999999999998</v>
      </c>
      <c r="S25" s="33">
        <v>5.5951000000000004</v>
      </c>
      <c r="T25" s="33">
        <v>14.575100000000001</v>
      </c>
    </row>
    <row r="26" spans="4:20" ht="18" x14ac:dyDescent="0.25">
      <c r="O26" s="31" t="s">
        <v>140</v>
      </c>
      <c r="P26" s="33">
        <v>0.29370000000000002</v>
      </c>
      <c r="Q26" s="33">
        <v>0.14510000000000001</v>
      </c>
      <c r="R26" s="33">
        <v>-2.7900000000000001E-2</v>
      </c>
      <c r="S26" s="33">
        <v>1.6E-2</v>
      </c>
      <c r="T26" s="33">
        <v>0.1356</v>
      </c>
    </row>
    <row r="27" spans="4:20" ht="18" x14ac:dyDescent="0.25">
      <c r="O27" s="31" t="s">
        <v>141</v>
      </c>
      <c r="P27" s="33">
        <v>1.2438</v>
      </c>
      <c r="Q27" s="33">
        <v>1.2497</v>
      </c>
      <c r="R27" s="33">
        <v>1.0497000000000001</v>
      </c>
      <c r="S27" s="33">
        <v>1.2641</v>
      </c>
      <c r="T27" s="33">
        <v>2.9990000000000001</v>
      </c>
    </row>
    <row r="28" spans="4:20" ht="18" x14ac:dyDescent="0.25">
      <c r="D28" s="149" t="s">
        <v>180</v>
      </c>
      <c r="E28" s="149" t="s">
        <v>181</v>
      </c>
      <c r="F28" s="149" t="s">
        <v>182</v>
      </c>
      <c r="G28" s="150" t="s">
        <v>183</v>
      </c>
      <c r="H28" s="150"/>
      <c r="I28" s="148" t="s">
        <v>184</v>
      </c>
      <c r="O28" s="31" t="s">
        <v>142</v>
      </c>
      <c r="P28" s="33">
        <v>-0.70199999999999996</v>
      </c>
      <c r="Q28" s="33">
        <v>-0.46100000000000002</v>
      </c>
      <c r="R28" s="33">
        <v>-0.46910000000000002</v>
      </c>
      <c r="S28" s="33">
        <v>-0.52429999999999999</v>
      </c>
      <c r="T28" s="33">
        <v>-0.94710000000000005</v>
      </c>
    </row>
    <row r="29" spans="4:20" ht="18" x14ac:dyDescent="0.25">
      <c r="D29" s="151"/>
      <c r="E29" s="151"/>
      <c r="F29" s="151"/>
      <c r="G29" s="1" t="s">
        <v>46</v>
      </c>
      <c r="H29" s="1" t="s">
        <v>185</v>
      </c>
      <c r="I29" s="149"/>
      <c r="O29" s="31" t="s">
        <v>143</v>
      </c>
      <c r="P29" s="33">
        <v>-0.3957</v>
      </c>
      <c r="Q29" s="33">
        <v>0.39140000000000003</v>
      </c>
      <c r="R29" s="33">
        <v>0.29149999999999998</v>
      </c>
      <c r="S29" s="33">
        <v>0.35830000000000001</v>
      </c>
      <c r="T29" s="33">
        <v>0.6603</v>
      </c>
    </row>
    <row r="30" spans="4:20" ht="18" x14ac:dyDescent="0.25">
      <c r="D30" s="44" t="s">
        <v>186</v>
      </c>
      <c r="E30" s="44">
        <v>241</v>
      </c>
      <c r="F30" s="45">
        <f>E30*J30</f>
        <v>343.78650000000005</v>
      </c>
      <c r="G30" s="1">
        <v>3</v>
      </c>
      <c r="H30" s="1">
        <v>8</v>
      </c>
      <c r="I30" s="46">
        <f>(F30/210000) * (1+(((G30/(1+H30))*((F30/E30)^H30))))</f>
        <v>1.0993773658472166E-2</v>
      </c>
      <c r="J30">
        <v>1.4265000000000001</v>
      </c>
      <c r="K30">
        <f>I30*100</f>
        <v>1.0993773658472166</v>
      </c>
      <c r="L30" s="96">
        <v>1.0993773658472166</v>
      </c>
      <c r="O30" s="31" t="s">
        <v>144</v>
      </c>
      <c r="P30" s="33">
        <v>-0.40510000000000002</v>
      </c>
      <c r="Q30" s="33">
        <v>-0.21310000000000001</v>
      </c>
      <c r="R30" s="33">
        <v>-0.28610000000000002</v>
      </c>
      <c r="S30" s="33">
        <v>-0.35920000000000002</v>
      </c>
      <c r="T30" s="33">
        <v>-1.2488999999999999</v>
      </c>
    </row>
    <row r="31" spans="4:20" ht="18" x14ac:dyDescent="0.25">
      <c r="D31" s="32" t="s">
        <v>187</v>
      </c>
      <c r="E31" s="32">
        <v>290</v>
      </c>
      <c r="F31" s="45">
        <f t="shared" ref="F31:F35" si="0">E31*J31</f>
        <v>413.685</v>
      </c>
      <c r="G31" s="1">
        <v>3</v>
      </c>
      <c r="H31" s="1">
        <v>9</v>
      </c>
      <c r="I31" s="46">
        <f t="shared" ref="I31:I35" si="1">(F31/210000) * (1+(((G31/(1+H31))*((F31/E31)^H31))))</f>
        <v>1.6424915983774071E-2</v>
      </c>
      <c r="J31">
        <v>1.4265000000000001</v>
      </c>
      <c r="K31">
        <f t="shared" ref="K31:K35" si="2">I31*100</f>
        <v>1.6424915983774071</v>
      </c>
      <c r="L31" s="96">
        <v>1.6424915983774071</v>
      </c>
      <c r="O31" s="31" t="s">
        <v>145</v>
      </c>
      <c r="P31" s="33">
        <v>1E-4</v>
      </c>
      <c r="Q31" s="33">
        <v>-0.34139999999999998</v>
      </c>
      <c r="R31" s="33">
        <v>-0.1348</v>
      </c>
      <c r="S31" s="33">
        <v>-0.2482</v>
      </c>
      <c r="T31" s="33">
        <v>-0.44140000000000001</v>
      </c>
    </row>
    <row r="32" spans="4:20" x14ac:dyDescent="0.25">
      <c r="D32" s="44" t="s">
        <v>117</v>
      </c>
      <c r="E32" s="44">
        <v>359</v>
      </c>
      <c r="F32" s="45">
        <f t="shared" si="0"/>
        <v>455.05403999999999</v>
      </c>
      <c r="G32" s="1">
        <v>8</v>
      </c>
      <c r="H32" s="1">
        <v>10</v>
      </c>
      <c r="I32" s="46">
        <f t="shared" si="1"/>
        <v>1.9041242414694345E-2</v>
      </c>
      <c r="J32">
        <v>1.26756</v>
      </c>
      <c r="K32">
        <f t="shared" si="2"/>
        <v>1.9041242414694344</v>
      </c>
      <c r="L32" s="96">
        <v>1.9041242414694344</v>
      </c>
    </row>
    <row r="33" spans="4:20" x14ac:dyDescent="0.25">
      <c r="D33" s="32" t="s">
        <v>118</v>
      </c>
      <c r="E33" s="32">
        <v>414</v>
      </c>
      <c r="F33" s="45">
        <f t="shared" si="0"/>
        <v>517.10711399999991</v>
      </c>
      <c r="G33" s="1">
        <v>8</v>
      </c>
      <c r="H33" s="1">
        <v>12</v>
      </c>
      <c r="I33" s="46">
        <f t="shared" si="1"/>
        <v>2.4313344008036558E-2</v>
      </c>
      <c r="J33">
        <v>1.2490509999999999</v>
      </c>
      <c r="K33">
        <f t="shared" si="2"/>
        <v>2.4313344008036557</v>
      </c>
      <c r="L33" s="96">
        <v>2.4313344008036557</v>
      </c>
      <c r="O33" s="36" t="s">
        <v>50</v>
      </c>
      <c r="P33" s="32">
        <v>30</v>
      </c>
      <c r="Q33" s="32">
        <v>45</v>
      </c>
      <c r="R33" s="32">
        <v>60</v>
      </c>
      <c r="S33" s="32">
        <v>75</v>
      </c>
      <c r="T33" s="32">
        <v>90</v>
      </c>
    </row>
    <row r="34" spans="4:20" ht="18" x14ac:dyDescent="0.25">
      <c r="D34" s="32" t="s">
        <v>119</v>
      </c>
      <c r="E34" s="32">
        <v>483</v>
      </c>
      <c r="F34" s="45">
        <f t="shared" si="0"/>
        <v>565.37033699999995</v>
      </c>
      <c r="G34" s="1">
        <v>14</v>
      </c>
      <c r="H34" s="1">
        <v>15</v>
      </c>
      <c r="I34" s="46">
        <f t="shared" si="1"/>
        <v>2.7690517990613433E-2</v>
      </c>
      <c r="J34">
        <v>1.170539</v>
      </c>
      <c r="K34">
        <f t="shared" si="2"/>
        <v>2.7690517990613435</v>
      </c>
      <c r="L34" s="96">
        <v>2.7690517990613435</v>
      </c>
      <c r="O34" s="31" t="s">
        <v>147</v>
      </c>
      <c r="P34" s="33">
        <v>0.80179999999999996</v>
      </c>
      <c r="Q34" s="33">
        <v>-1.1082000000000001</v>
      </c>
      <c r="R34" s="33">
        <v>-2.1276999999999999</v>
      </c>
      <c r="S34" s="33">
        <v>-2.3450000000000002</v>
      </c>
      <c r="T34" s="33">
        <v>5.1353999999999997</v>
      </c>
    </row>
    <row r="35" spans="4:20" ht="18" x14ac:dyDescent="0.25">
      <c r="D35" s="44" t="s">
        <v>120</v>
      </c>
      <c r="E35" s="44">
        <v>552</v>
      </c>
      <c r="F35" s="45">
        <f t="shared" si="0"/>
        <v>624.99979200000007</v>
      </c>
      <c r="G35" s="1">
        <v>15</v>
      </c>
      <c r="H35" s="1">
        <v>20</v>
      </c>
      <c r="I35" s="46">
        <f t="shared" si="1"/>
        <v>2.8464933991254465E-2</v>
      </c>
      <c r="J35">
        <v>1.1322460000000001</v>
      </c>
      <c r="K35">
        <f t="shared" si="2"/>
        <v>2.8464933991254466</v>
      </c>
      <c r="L35" s="96">
        <v>2.8464933991254466</v>
      </c>
      <c r="O35" s="31" t="s">
        <v>148</v>
      </c>
      <c r="P35" s="33">
        <v>2.6499999999999999E-2</v>
      </c>
      <c r="Q35" s="33">
        <v>0.10630000000000001</v>
      </c>
      <c r="R35" s="33">
        <v>0.14760000000000001</v>
      </c>
      <c r="S35" s="33">
        <v>0.19470000000000001</v>
      </c>
      <c r="T35" s="33">
        <v>-4.9599999999999998E-2</v>
      </c>
    </row>
    <row r="36" spans="4:20" ht="18" x14ac:dyDescent="0.25">
      <c r="O36" s="31" t="s">
        <v>149</v>
      </c>
      <c r="P36" s="33">
        <v>0</v>
      </c>
      <c r="Q36" s="33">
        <v>-0.1439</v>
      </c>
      <c r="R36" s="33">
        <v>-0.21829999999999999</v>
      </c>
      <c r="S36" s="33">
        <v>-0.2044</v>
      </c>
      <c r="T36" s="33">
        <v>0.44590000000000002</v>
      </c>
    </row>
    <row r="37" spans="4:20" ht="18" x14ac:dyDescent="0.25">
      <c r="O37" s="31" t="s">
        <v>150</v>
      </c>
      <c r="P37" s="33">
        <v>1.7999999999999999E-2</v>
      </c>
      <c r="Q37" s="33">
        <v>0.27879999999999999</v>
      </c>
      <c r="R37" s="33">
        <v>0.42270000000000002</v>
      </c>
      <c r="S37" s="33">
        <v>0.4143</v>
      </c>
      <c r="T37" s="33">
        <v>-0.83709999999999996</v>
      </c>
    </row>
    <row r="38" spans="4:20" ht="18" x14ac:dyDescent="0.25">
      <c r="O38" s="31" t="s">
        <v>151</v>
      </c>
      <c r="P38" s="33">
        <v>0.14169999999999999</v>
      </c>
      <c r="Q38" s="33">
        <v>-0.31030000000000002</v>
      </c>
      <c r="R38" s="33">
        <v>-0.53720000000000001</v>
      </c>
      <c r="S38" s="33">
        <v>-0.55710000000000004</v>
      </c>
      <c r="T38" s="33">
        <v>0.63090000000000002</v>
      </c>
    </row>
    <row r="39" spans="4:20" ht="18" x14ac:dyDescent="0.25">
      <c r="O39" s="31" t="s">
        <v>152</v>
      </c>
      <c r="P39" s="33">
        <v>1.1363000000000001</v>
      </c>
      <c r="Q39" s="33">
        <v>1.2553000000000001</v>
      </c>
      <c r="R39" s="33">
        <v>1.252</v>
      </c>
      <c r="S39" s="33">
        <v>1.0931</v>
      </c>
      <c r="T39" s="33">
        <v>0.91390000000000005</v>
      </c>
    </row>
    <row r="40" spans="4:20" ht="18" x14ac:dyDescent="0.25">
      <c r="O40" s="31" t="s">
        <v>153</v>
      </c>
      <c r="P40" s="33">
        <v>1.1999999999999999E-3</v>
      </c>
      <c r="Q40" s="33">
        <v>2.9999999999999997E-4</v>
      </c>
      <c r="R40" s="33">
        <v>-5.9999999999999995E-4</v>
      </c>
      <c r="S40" s="33">
        <v>1E-4</v>
      </c>
      <c r="T40" s="33">
        <v>2.5000000000000001E-3</v>
      </c>
    </row>
    <row r="41" spans="4:20" ht="18" x14ac:dyDescent="0.25">
      <c r="O41" s="31" t="s">
        <v>154</v>
      </c>
      <c r="P41" s="33">
        <v>3.8E-3</v>
      </c>
      <c r="Q41" s="33">
        <v>5.1999999999999998E-3</v>
      </c>
      <c r="R41" s="33">
        <v>5.3E-3</v>
      </c>
      <c r="S41" s="33">
        <v>3.5000000000000001E-3</v>
      </c>
      <c r="T41" s="33">
        <v>1.6000000000000001E-3</v>
      </c>
    </row>
    <row r="42" spans="4:20" ht="18" x14ac:dyDescent="0.25">
      <c r="O42" s="31" t="s">
        <v>155</v>
      </c>
      <c r="P42" s="33">
        <v>0</v>
      </c>
      <c r="Q42" s="33">
        <v>-8.5900000000000004E-2</v>
      </c>
      <c r="R42" s="33">
        <v>-4.8500000000000001E-2</v>
      </c>
      <c r="S42" s="33">
        <v>-4.07E-2</v>
      </c>
      <c r="T42" s="33">
        <v>-9.7500000000000003E-2</v>
      </c>
    </row>
    <row r="43" spans="4:20" ht="18" x14ac:dyDescent="0.25">
      <c r="O43" s="31" t="s">
        <v>156</v>
      </c>
      <c r="P43" s="33">
        <v>3.2000000000000002E-3</v>
      </c>
      <c r="Q43" s="33">
        <v>5.9999999999999995E-4</v>
      </c>
      <c r="R43" s="33">
        <v>1.2999999999999999E-3</v>
      </c>
      <c r="S43" s="33">
        <v>1.6000000000000001E-3</v>
      </c>
      <c r="T43" s="33">
        <v>1.1999999999999999E-3</v>
      </c>
    </row>
    <row r="44" spans="4:20" ht="18" x14ac:dyDescent="0.25">
      <c r="O44" s="31" t="s">
        <v>157</v>
      </c>
      <c r="P44" s="33">
        <v>2.1297000000000001</v>
      </c>
      <c r="Q44" s="33">
        <v>-0.21759999999999999</v>
      </c>
      <c r="R44" s="33">
        <v>-0.56599999999999995</v>
      </c>
      <c r="S44" s="33">
        <v>-0.65949999999999998</v>
      </c>
      <c r="T44" s="33">
        <v>0.46479999999999999</v>
      </c>
    </row>
    <row r="45" spans="4:20" ht="18" x14ac:dyDescent="0.25">
      <c r="O45" s="31" t="s">
        <v>158</v>
      </c>
      <c r="P45" s="33">
        <v>1E-3</v>
      </c>
      <c r="Q45" s="33">
        <v>-2.69E-2</v>
      </c>
      <c r="R45" s="33">
        <v>-3.2099999999999997E-2</v>
      </c>
      <c r="S45" s="33">
        <v>-3.0099999999999998E-2</v>
      </c>
      <c r="T45" s="33">
        <v>8.0000000000000004E-4</v>
      </c>
    </row>
    <row r="46" spans="4:20" ht="18" x14ac:dyDescent="0.25">
      <c r="O46" s="31" t="s">
        <v>159</v>
      </c>
      <c r="P46" s="33">
        <v>0</v>
      </c>
      <c r="Q46" s="33">
        <v>0.57389999999999997</v>
      </c>
      <c r="R46" s="33">
        <v>0.84970000000000001</v>
      </c>
      <c r="S46" s="33">
        <v>0.84219999999999995</v>
      </c>
      <c r="T46" s="33">
        <v>6.7900000000000002E-2</v>
      </c>
    </row>
    <row r="47" spans="4:20" ht="18" x14ac:dyDescent="0.25">
      <c r="O47" s="31" t="s">
        <v>160</v>
      </c>
      <c r="P47" s="33">
        <v>-0.38669999999999999</v>
      </c>
      <c r="Q47" s="33">
        <v>0.34460000000000002</v>
      </c>
      <c r="R47" s="33">
        <v>9.01E-2</v>
      </c>
      <c r="S47" s="33">
        <v>0.50680000000000003</v>
      </c>
      <c r="T47" s="33">
        <v>0.58979999999999999</v>
      </c>
    </row>
    <row r="48" spans="4:20" x14ac:dyDescent="0.25">
      <c r="O48" s="31" t="s">
        <v>175</v>
      </c>
      <c r="P48" s="33">
        <v>0.34899999999999998</v>
      </c>
      <c r="Q48" s="33">
        <v>0.3997</v>
      </c>
      <c r="R48" s="33">
        <v>0.50170000000000003</v>
      </c>
      <c r="S48" s="33">
        <v>0.43780000000000002</v>
      </c>
      <c r="T48" s="33">
        <v>0.34749999999999998</v>
      </c>
    </row>
  </sheetData>
  <mergeCells count="8">
    <mergeCell ref="A1:H1"/>
    <mergeCell ref="A8:P8"/>
    <mergeCell ref="D16:G16"/>
    <mergeCell ref="D28:D29"/>
    <mergeCell ref="E28:E29"/>
    <mergeCell ref="F28:F29"/>
    <mergeCell ref="G28:H28"/>
    <mergeCell ref="I28:I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F4E-5DC5-49E0-845E-52E5E9FE45A7}">
  <dimension ref="A3:I38"/>
  <sheetViews>
    <sheetView workbookViewId="0">
      <selection activeCell="H43" sqref="H43"/>
    </sheetView>
  </sheetViews>
  <sheetFormatPr defaultRowHeight="15" x14ac:dyDescent="0.25"/>
  <cols>
    <col min="1" max="1" width="20.140625" style="12" customWidth="1"/>
    <col min="2" max="2" width="25.28515625" style="12" customWidth="1"/>
    <col min="3" max="3" width="37.5703125" style="1" customWidth="1"/>
    <col min="4" max="4" width="30.28515625" style="1" customWidth="1"/>
    <col min="5" max="9" width="21" customWidth="1"/>
  </cols>
  <sheetData>
    <row r="3" spans="1:9" x14ac:dyDescent="0.25">
      <c r="D3" s="9" t="s">
        <v>57</v>
      </c>
      <c r="E3" s="25"/>
      <c r="F3" s="10"/>
      <c r="G3" s="10"/>
      <c r="H3" s="10"/>
      <c r="I3" s="10"/>
    </row>
    <row r="4" spans="1:9" x14ac:dyDescent="0.25">
      <c r="E4" s="25"/>
      <c r="F4" s="10"/>
      <c r="G4" s="10"/>
      <c r="H4" s="10"/>
      <c r="I4" s="10"/>
    </row>
    <row r="5" spans="1:9" s="23" customFormat="1" x14ac:dyDescent="0.25">
      <c r="A5" s="175" t="s">
        <v>53</v>
      </c>
      <c r="B5" s="175"/>
      <c r="C5" s="175"/>
      <c r="D5" s="176"/>
      <c r="E5" s="173" t="s">
        <v>59</v>
      </c>
      <c r="F5" s="174"/>
      <c r="G5" s="174"/>
      <c r="H5" s="174"/>
      <c r="I5" s="174"/>
    </row>
    <row r="6" spans="1:9" s="20" customFormat="1" x14ac:dyDescent="0.25">
      <c r="A6" s="19" t="s">
        <v>47</v>
      </c>
      <c r="B6" s="21" t="s">
        <v>30</v>
      </c>
      <c r="C6" s="22"/>
      <c r="D6" s="19" t="s">
        <v>39</v>
      </c>
      <c r="E6" s="26" t="s">
        <v>60</v>
      </c>
      <c r="F6" s="19" t="s">
        <v>61</v>
      </c>
      <c r="G6" s="19" t="s">
        <v>62</v>
      </c>
      <c r="H6" s="19" t="s">
        <v>63</v>
      </c>
      <c r="I6" s="19" t="s">
        <v>64</v>
      </c>
    </row>
    <row r="7" spans="1:9" ht="31.5" customHeight="1" x14ac:dyDescent="0.25">
      <c r="A7" s="10">
        <v>1</v>
      </c>
      <c r="B7" s="14" t="s">
        <v>52</v>
      </c>
      <c r="D7" s="24" t="s">
        <v>81</v>
      </c>
      <c r="E7" s="25"/>
      <c r="F7" s="27"/>
      <c r="G7" s="27"/>
      <c r="H7" s="27" t="s">
        <v>65</v>
      </c>
      <c r="I7" s="27" t="s">
        <v>65</v>
      </c>
    </row>
    <row r="8" spans="1:9" ht="31.5" customHeight="1" x14ac:dyDescent="0.25">
      <c r="A8" s="10">
        <v>2</v>
      </c>
      <c r="B8" s="10" t="s">
        <v>51</v>
      </c>
      <c r="D8" s="24" t="s">
        <v>68</v>
      </c>
      <c r="E8" s="25"/>
      <c r="F8" s="27" t="s">
        <v>65</v>
      </c>
      <c r="G8" s="27" t="s">
        <v>65</v>
      </c>
      <c r="H8" s="27"/>
      <c r="I8" s="27"/>
    </row>
    <row r="9" spans="1:9" x14ac:dyDescent="0.25">
      <c r="A9" s="10"/>
      <c r="E9" s="25"/>
      <c r="F9" s="27"/>
      <c r="G9" s="27"/>
      <c r="H9" s="27"/>
      <c r="I9" s="27"/>
    </row>
    <row r="10" spans="1:9" s="23" customFormat="1" x14ac:dyDescent="0.25">
      <c r="A10" s="175" t="s">
        <v>54</v>
      </c>
      <c r="B10" s="175"/>
      <c r="C10" s="175"/>
      <c r="D10" s="176"/>
      <c r="E10" s="28"/>
      <c r="F10" s="29"/>
      <c r="G10" s="29"/>
      <c r="H10" s="29"/>
      <c r="I10" s="29"/>
    </row>
    <row r="11" spans="1:9" s="20" customFormat="1" x14ac:dyDescent="0.25">
      <c r="A11" s="19" t="s">
        <v>47</v>
      </c>
      <c r="B11" s="21" t="s">
        <v>30</v>
      </c>
      <c r="C11" s="22"/>
      <c r="D11" s="19" t="s">
        <v>39</v>
      </c>
      <c r="E11" s="26"/>
      <c r="F11" s="30"/>
      <c r="G11" s="30"/>
      <c r="H11" s="30"/>
      <c r="I11" s="30"/>
    </row>
    <row r="12" spans="1:9" x14ac:dyDescent="0.25">
      <c r="A12" s="10">
        <v>1</v>
      </c>
      <c r="B12" s="14" t="s">
        <v>52</v>
      </c>
      <c r="D12" s="10" t="s">
        <v>56</v>
      </c>
      <c r="E12" s="25" t="s">
        <v>65</v>
      </c>
      <c r="F12" s="27"/>
      <c r="G12" s="27"/>
      <c r="H12" s="27"/>
      <c r="I12" s="27"/>
    </row>
    <row r="13" spans="1:9" ht="31.5" customHeight="1" x14ac:dyDescent="0.25">
      <c r="A13" s="10">
        <v>2</v>
      </c>
      <c r="B13" s="10" t="s">
        <v>51</v>
      </c>
      <c r="D13" s="24" t="s">
        <v>67</v>
      </c>
      <c r="E13" s="25"/>
      <c r="F13" s="27" t="s">
        <v>65</v>
      </c>
      <c r="G13" s="27" t="s">
        <v>65</v>
      </c>
      <c r="H13" s="27"/>
      <c r="I13" s="27"/>
    </row>
    <row r="14" spans="1:9" x14ac:dyDescent="0.25">
      <c r="A14" s="10"/>
      <c r="D14" s="10"/>
      <c r="E14" s="25"/>
      <c r="F14" s="27"/>
      <c r="G14" s="27"/>
      <c r="H14" s="27"/>
      <c r="I14" s="27"/>
    </row>
    <row r="15" spans="1:9" s="23" customFormat="1" x14ac:dyDescent="0.25">
      <c r="A15" s="175" t="s">
        <v>55</v>
      </c>
      <c r="B15" s="175"/>
      <c r="C15" s="175"/>
      <c r="D15" s="176"/>
      <c r="E15" s="28"/>
      <c r="F15" s="29"/>
      <c r="G15" s="29"/>
      <c r="H15" s="29"/>
      <c r="I15" s="29"/>
    </row>
    <row r="16" spans="1:9" s="20" customFormat="1" ht="15.75" customHeight="1" x14ac:dyDescent="0.25">
      <c r="A16" s="19" t="s">
        <v>47</v>
      </c>
      <c r="B16" s="21" t="s">
        <v>30</v>
      </c>
      <c r="C16" s="22"/>
      <c r="D16" s="19" t="s">
        <v>39</v>
      </c>
      <c r="E16" s="26"/>
      <c r="F16" s="30"/>
      <c r="G16" s="30"/>
      <c r="H16" s="30"/>
      <c r="I16" s="30"/>
    </row>
    <row r="17" spans="1:9" x14ac:dyDescent="0.25">
      <c r="A17" s="10">
        <v>1</v>
      </c>
      <c r="B17" s="10" t="s">
        <v>48</v>
      </c>
      <c r="D17" s="10" t="s">
        <v>35</v>
      </c>
      <c r="E17" s="25"/>
      <c r="F17" s="27"/>
      <c r="G17" s="27"/>
      <c r="H17" s="27" t="s">
        <v>65</v>
      </c>
      <c r="I17" s="27"/>
    </row>
    <row r="18" spans="1:9" x14ac:dyDescent="0.25">
      <c r="E18" s="25"/>
      <c r="F18" s="27"/>
      <c r="G18" s="27"/>
      <c r="H18" s="27"/>
      <c r="I18" s="27"/>
    </row>
    <row r="19" spans="1:9" s="23" customFormat="1" x14ac:dyDescent="0.25">
      <c r="A19" s="175" t="s">
        <v>49</v>
      </c>
      <c r="B19" s="175"/>
      <c r="C19" s="175"/>
      <c r="D19" s="176"/>
      <c r="E19" s="28"/>
      <c r="F19" s="29"/>
      <c r="G19" s="29"/>
      <c r="H19" s="29"/>
      <c r="I19" s="29"/>
    </row>
    <row r="20" spans="1:9" s="20" customFormat="1" x14ac:dyDescent="0.25">
      <c r="A20" s="22" t="s">
        <v>47</v>
      </c>
      <c r="B20" s="22" t="s">
        <v>30</v>
      </c>
      <c r="C20" s="22" t="s">
        <v>31</v>
      </c>
      <c r="D20" s="22" t="s">
        <v>39</v>
      </c>
      <c r="E20" s="26"/>
      <c r="F20" s="30"/>
      <c r="G20" s="30"/>
      <c r="H20" s="30"/>
      <c r="I20" s="30"/>
    </row>
    <row r="21" spans="1:9" s="20" customFormat="1" x14ac:dyDescent="0.25">
      <c r="A21" s="1">
        <v>1</v>
      </c>
      <c r="B21" s="9" t="s">
        <v>32</v>
      </c>
      <c r="C21" s="9" t="s">
        <v>37</v>
      </c>
      <c r="D21" s="7" t="s">
        <v>66</v>
      </c>
      <c r="E21" s="25"/>
      <c r="F21" s="27" t="s">
        <v>65</v>
      </c>
      <c r="G21" s="27"/>
      <c r="H21" s="27"/>
      <c r="I21" s="27"/>
    </row>
    <row r="22" spans="1:9" x14ac:dyDescent="0.25">
      <c r="A22" s="1">
        <v>2</v>
      </c>
      <c r="B22" s="9" t="s">
        <v>32</v>
      </c>
      <c r="C22" s="1" t="s">
        <v>40</v>
      </c>
      <c r="D22" s="7" t="s">
        <v>69</v>
      </c>
      <c r="E22" s="25"/>
      <c r="F22" s="27" t="s">
        <v>65</v>
      </c>
      <c r="G22" s="27"/>
      <c r="H22" s="27" t="s">
        <v>65</v>
      </c>
      <c r="I22" s="27"/>
    </row>
    <row r="23" spans="1:9" x14ac:dyDescent="0.25">
      <c r="A23" s="1">
        <v>3</v>
      </c>
      <c r="B23" s="9" t="s">
        <v>32</v>
      </c>
      <c r="C23" s="9" t="s">
        <v>36</v>
      </c>
      <c r="D23" s="1" t="s">
        <v>35</v>
      </c>
      <c r="E23" s="25"/>
      <c r="F23" s="27"/>
      <c r="G23" s="27"/>
      <c r="H23" s="27" t="s">
        <v>65</v>
      </c>
      <c r="I23" s="27"/>
    </row>
    <row r="24" spans="1:9" x14ac:dyDescent="0.25">
      <c r="A24" s="1">
        <v>4</v>
      </c>
      <c r="B24" s="9" t="s">
        <v>32</v>
      </c>
      <c r="C24" s="1" t="s">
        <v>41</v>
      </c>
      <c r="D24" s="7" t="s">
        <v>70</v>
      </c>
      <c r="E24" s="25"/>
      <c r="F24" s="27"/>
      <c r="G24" s="27" t="s">
        <v>65</v>
      </c>
      <c r="H24" s="27" t="s">
        <v>65</v>
      </c>
      <c r="I24" s="27"/>
    </row>
    <row r="25" spans="1:9" x14ac:dyDescent="0.25">
      <c r="A25" s="1">
        <v>5</v>
      </c>
      <c r="B25" s="9" t="s">
        <v>32</v>
      </c>
      <c r="C25" s="6" t="s">
        <v>34</v>
      </c>
      <c r="D25" s="1" t="s">
        <v>71</v>
      </c>
      <c r="E25" s="25"/>
      <c r="F25" s="27"/>
      <c r="G25" s="27" t="s">
        <v>65</v>
      </c>
      <c r="H25" s="27"/>
      <c r="I25" s="27"/>
    </row>
    <row r="26" spans="1:9" x14ac:dyDescent="0.25">
      <c r="A26" s="1">
        <v>6</v>
      </c>
      <c r="B26" s="9" t="s">
        <v>33</v>
      </c>
      <c r="C26" s="6" t="s">
        <v>34</v>
      </c>
      <c r="D26" s="1" t="s">
        <v>71</v>
      </c>
      <c r="E26" s="25"/>
      <c r="F26" s="27"/>
      <c r="G26" s="27" t="s">
        <v>65</v>
      </c>
      <c r="H26" s="27"/>
      <c r="I26" s="27"/>
    </row>
    <row r="27" spans="1:9" x14ac:dyDescent="0.25">
      <c r="A27" s="1">
        <v>7</v>
      </c>
      <c r="B27" s="9" t="s">
        <v>33</v>
      </c>
      <c r="C27" s="1" t="s">
        <v>44</v>
      </c>
      <c r="D27" s="7" t="s">
        <v>72</v>
      </c>
      <c r="E27" s="25"/>
      <c r="F27" s="27"/>
      <c r="G27" s="27" t="s">
        <v>65</v>
      </c>
      <c r="H27" s="27"/>
      <c r="I27" s="27" t="s">
        <v>65</v>
      </c>
    </row>
    <row r="28" spans="1:9" x14ac:dyDescent="0.25">
      <c r="A28" s="1">
        <v>8</v>
      </c>
      <c r="B28" s="9" t="s">
        <v>33</v>
      </c>
      <c r="C28" s="9" t="s">
        <v>42</v>
      </c>
      <c r="D28" s="1" t="s">
        <v>43</v>
      </c>
      <c r="E28" s="25"/>
      <c r="F28" s="27"/>
      <c r="G28" s="27"/>
      <c r="H28" s="27"/>
      <c r="I28" s="27" t="s">
        <v>65</v>
      </c>
    </row>
    <row r="29" spans="1:9" x14ac:dyDescent="0.25">
      <c r="A29" s="1">
        <v>9</v>
      </c>
      <c r="B29" s="9" t="s">
        <v>33</v>
      </c>
      <c r="C29" s="1" t="s">
        <v>45</v>
      </c>
      <c r="D29" s="7" t="s">
        <v>73</v>
      </c>
      <c r="E29" s="25"/>
      <c r="F29" s="27" t="s">
        <v>65</v>
      </c>
      <c r="G29" s="27"/>
      <c r="H29" s="27"/>
      <c r="I29" s="27" t="s">
        <v>65</v>
      </c>
    </row>
    <row r="30" spans="1:9" x14ac:dyDescent="0.25">
      <c r="A30" s="1">
        <v>10</v>
      </c>
      <c r="B30" s="9" t="s">
        <v>33</v>
      </c>
      <c r="C30" s="9" t="s">
        <v>58</v>
      </c>
      <c r="D30" s="7" t="s">
        <v>66</v>
      </c>
      <c r="E30" s="25"/>
      <c r="F30" s="27" t="s">
        <v>65</v>
      </c>
      <c r="G30" s="27"/>
      <c r="H30" s="27"/>
      <c r="I30" s="27"/>
    </row>
    <row r="33" spans="1:3" x14ac:dyDescent="0.25">
      <c r="A33" s="34" t="s">
        <v>80</v>
      </c>
      <c r="B33" s="34"/>
      <c r="C33" s="35"/>
    </row>
    <row r="34" spans="1:3" x14ac:dyDescent="0.25">
      <c r="B34" s="12" t="s">
        <v>75</v>
      </c>
      <c r="C34" s="1" t="s">
        <v>74</v>
      </c>
    </row>
    <row r="35" spans="1:3" x14ac:dyDescent="0.25">
      <c r="B35" s="12" t="s">
        <v>51</v>
      </c>
      <c r="C35" s="1" t="s">
        <v>76</v>
      </c>
    </row>
    <row r="37" spans="1:3" x14ac:dyDescent="0.25">
      <c r="B37" s="12" t="s">
        <v>79</v>
      </c>
      <c r="C37" s="1" t="s">
        <v>77</v>
      </c>
    </row>
    <row r="38" spans="1:3" x14ac:dyDescent="0.25">
      <c r="B38" s="12" t="s">
        <v>51</v>
      </c>
      <c r="C38" s="1" t="s">
        <v>78</v>
      </c>
    </row>
  </sheetData>
  <mergeCells count="5">
    <mergeCell ref="E5:I5"/>
    <mergeCell ref="A5:D5"/>
    <mergeCell ref="A10:D10"/>
    <mergeCell ref="A15:D15"/>
    <mergeCell ref="A19:D19"/>
  </mergeCells>
  <conditionalFormatting sqref="E7:I8">
    <cfRule type="containsText" dxfId="3" priority="4" operator="containsText" text="x">
      <formula>NOT(ISERROR(SEARCH("x",E7)))</formula>
    </cfRule>
  </conditionalFormatting>
  <conditionalFormatting sqref="E12:I13">
    <cfRule type="containsText" dxfId="2" priority="3" operator="containsText" text="x">
      <formula>NOT(ISERROR(SEARCH("x",E12)))</formula>
    </cfRule>
  </conditionalFormatting>
  <conditionalFormatting sqref="E17:I17">
    <cfRule type="containsText" dxfId="1" priority="2" operator="containsText" text="x">
      <formula>NOT(ISERROR(SEARCH("x",E17)))</formula>
    </cfRule>
  </conditionalFormatting>
  <conditionalFormatting sqref="E21:I30">
    <cfRule type="containsText" dxfId="0" priority="1" operator="containsText" text="x">
      <formula>NOT(ISERROR(SEARCH("x",E21)))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1812-BA0A-4AF8-A4C7-2CB2E1F102B1}">
  <dimension ref="A1:P45"/>
  <sheetViews>
    <sheetView workbookViewId="0">
      <selection activeCell="N19" sqref="N19"/>
    </sheetView>
  </sheetViews>
  <sheetFormatPr defaultRowHeight="15" x14ac:dyDescent="0.25"/>
  <cols>
    <col min="1" max="1" width="5.140625" style="126" bestFit="1" customWidth="1"/>
    <col min="2" max="2" width="9.85546875" bestFit="1" customWidth="1"/>
    <col min="3" max="3" width="7.140625" bestFit="1" customWidth="1"/>
    <col min="4" max="4" width="8.5703125" style="126" bestFit="1" customWidth="1"/>
    <col min="5" max="5" width="13.28515625" style="126" bestFit="1" customWidth="1"/>
    <col min="6" max="6" width="15" bestFit="1" customWidth="1"/>
    <col min="7" max="7" width="6.140625" bestFit="1" customWidth="1"/>
    <col min="8" max="8" width="12.7109375" bestFit="1" customWidth="1"/>
    <col min="9" max="9" width="8" bestFit="1" customWidth="1"/>
    <col min="10" max="10" width="12" bestFit="1" customWidth="1"/>
    <col min="11" max="11" width="16.140625" bestFit="1" customWidth="1"/>
    <col min="12" max="13" width="12.7109375" bestFit="1" customWidth="1"/>
    <col min="14" max="14" width="12.28515625" bestFit="1" customWidth="1"/>
    <col min="15" max="15" width="15.42578125" bestFit="1" customWidth="1"/>
    <col min="16" max="16" width="19.42578125" bestFit="1" customWidth="1"/>
  </cols>
  <sheetData>
    <row r="1" spans="1:16" ht="18" x14ac:dyDescent="0.25">
      <c r="A1" s="126" t="s">
        <v>87</v>
      </c>
      <c r="B1" s="126" t="s">
        <v>88</v>
      </c>
      <c r="D1" s="126" t="s">
        <v>91</v>
      </c>
      <c r="E1" s="128" t="s">
        <v>30</v>
      </c>
      <c r="F1" s="128" t="s">
        <v>399</v>
      </c>
      <c r="G1" s="18" t="s">
        <v>238</v>
      </c>
      <c r="H1" s="18" t="s">
        <v>18</v>
      </c>
      <c r="I1" s="18" t="s">
        <v>19</v>
      </c>
      <c r="J1" s="18" t="s">
        <v>104</v>
      </c>
      <c r="M1" s="17" t="s">
        <v>307</v>
      </c>
      <c r="N1" s="141" t="s">
        <v>309</v>
      </c>
    </row>
    <row r="2" spans="1:16" x14ac:dyDescent="0.25">
      <c r="A2" t="s">
        <v>38</v>
      </c>
      <c r="B2" t="s">
        <v>288</v>
      </c>
      <c r="C2" t="s">
        <v>1</v>
      </c>
      <c r="D2" t="s">
        <v>125</v>
      </c>
      <c r="E2" t="s">
        <v>400</v>
      </c>
      <c r="F2" t="s">
        <v>401</v>
      </c>
      <c r="G2" t="s">
        <v>6</v>
      </c>
      <c r="H2" t="s">
        <v>18</v>
      </c>
      <c r="I2" t="s">
        <v>19</v>
      </c>
      <c r="J2" t="s">
        <v>104</v>
      </c>
      <c r="K2" t="s">
        <v>402</v>
      </c>
      <c r="L2" t="s">
        <v>403</v>
      </c>
      <c r="M2" t="s">
        <v>284</v>
      </c>
      <c r="N2" t="s">
        <v>8</v>
      </c>
      <c r="O2" t="s">
        <v>290</v>
      </c>
      <c r="P2" t="s">
        <v>291</v>
      </c>
    </row>
    <row r="3" spans="1:16" ht="15.75" x14ac:dyDescent="0.25">
      <c r="A3" s="126">
        <v>1</v>
      </c>
      <c r="B3">
        <v>0.20319999999999999</v>
      </c>
      <c r="C3">
        <f>B3*1000</f>
        <v>203.2</v>
      </c>
      <c r="D3" s="126">
        <v>15</v>
      </c>
      <c r="E3" s="126">
        <v>105</v>
      </c>
      <c r="F3" s="126">
        <f>IF(AND(E3&gt;95,E3&lt;=120),E3-120,0)</f>
        <v>-15</v>
      </c>
      <c r="G3" s="126">
        <v>0.2</v>
      </c>
      <c r="H3" s="126">
        <f t="shared" ref="H3:H22" si="0">-6.50785 + 0.98692*B3 + 0.01601*D3 + (-0.04575 * F3)</f>
        <v>-5.3809078560000003</v>
      </c>
      <c r="I3" s="126">
        <f t="shared" ref="I3:I22" si="1" xml:space="preserve"> 4.54097 - 0.01093*D3</f>
        <v>4.3770199999999999</v>
      </c>
      <c r="J3" s="126">
        <f t="shared" ref="J3:J22" si="2">0.34262 + (-0.10918 * B3) + 0.00197 * D3+ 0.0027*F3</f>
        <v>0.30948462400000004</v>
      </c>
      <c r="K3">
        <f>(LN(G3) - H3) / I3</f>
        <v>0.86165243557623683</v>
      </c>
      <c r="L3">
        <f>IF(K3&gt;=1,5,ATANH(K3))</f>
        <v>1.2997253384540037</v>
      </c>
      <c r="M3">
        <f>(L3 / J3) - 4</f>
        <v>0.19964430431284885</v>
      </c>
      <c r="N3" s="143">
        <f>MIN(EXP(M3),100)</f>
        <v>1.2209683877232429</v>
      </c>
      <c r="O3">
        <v>0.57099999999999995</v>
      </c>
      <c r="P3">
        <v>0.3</v>
      </c>
    </row>
    <row r="4" spans="1:16" ht="15.75" x14ac:dyDescent="0.25">
      <c r="A4" s="126">
        <v>2</v>
      </c>
      <c r="B4">
        <v>0.30480000000000002</v>
      </c>
      <c r="C4">
        <f t="shared" ref="C4:C22" si="3">B4*1000</f>
        <v>304.8</v>
      </c>
      <c r="D4" s="126">
        <v>30</v>
      </c>
      <c r="E4" s="126">
        <v>145</v>
      </c>
      <c r="F4" s="126">
        <f t="shared" ref="F4:F22" si="4">IF(AND(E4&gt;95,E4&lt;=120),E4-120,0)</f>
        <v>0</v>
      </c>
      <c r="G4" s="126">
        <v>0.1</v>
      </c>
      <c r="H4" s="126">
        <f t="shared" si="0"/>
        <v>-5.7267367840000007</v>
      </c>
      <c r="I4" s="126">
        <f t="shared" si="1"/>
        <v>4.2130700000000001</v>
      </c>
      <c r="J4" s="126">
        <f t="shared" si="2"/>
        <v>0.36844193599999997</v>
      </c>
      <c r="K4">
        <f t="shared" ref="K4:K22" si="5">(LN(G4) - H4) / I4</f>
        <v>0.81274502702446316</v>
      </c>
      <c r="L4">
        <f t="shared" ref="L4:L22" si="6">IF(K4&gt;=1,5,ATANH(K4))</f>
        <v>1.135063192462112</v>
      </c>
      <c r="M4">
        <f t="shared" ref="M4:M22" si="7">(L4 / J4) - 4</f>
        <v>-0.91928881716083488</v>
      </c>
      <c r="N4" s="143">
        <f t="shared" ref="N4:N22" si="8">MIN(EXP(M4),100)</f>
        <v>0.39880256179319534</v>
      </c>
      <c r="O4">
        <v>0.57099999999999995</v>
      </c>
      <c r="P4">
        <v>0.3</v>
      </c>
    </row>
    <row r="5" spans="1:16" ht="15.75" x14ac:dyDescent="0.25">
      <c r="A5" s="126">
        <v>3</v>
      </c>
      <c r="B5">
        <v>0.40639999999999998</v>
      </c>
      <c r="C5">
        <f t="shared" si="3"/>
        <v>406.4</v>
      </c>
      <c r="D5" s="126">
        <v>50</v>
      </c>
      <c r="E5" s="126">
        <v>165</v>
      </c>
      <c r="F5" s="126">
        <f t="shared" si="4"/>
        <v>0</v>
      </c>
      <c r="G5" s="126">
        <v>0.2</v>
      </c>
      <c r="H5" s="126">
        <f t="shared" si="0"/>
        <v>-5.3062657120000001</v>
      </c>
      <c r="I5" s="126">
        <f t="shared" si="1"/>
        <v>3.9944699999999997</v>
      </c>
      <c r="J5" s="126">
        <f t="shared" si="2"/>
        <v>0.396749248</v>
      </c>
      <c r="K5">
        <f t="shared" si="5"/>
        <v>0.92548643488770721</v>
      </c>
      <c r="L5">
        <f t="shared" si="6"/>
        <v>1.6259763586968217</v>
      </c>
      <c r="M5">
        <f t="shared" si="7"/>
        <v>9.8246857160575018E-2</v>
      </c>
      <c r="N5" s="143">
        <f t="shared" si="8"/>
        <v>1.1032350929790506</v>
      </c>
      <c r="O5">
        <v>0.57099999999999995</v>
      </c>
      <c r="P5">
        <v>0.3</v>
      </c>
    </row>
    <row r="6" spans="1:16" ht="15.75" x14ac:dyDescent="0.25">
      <c r="A6" s="126">
        <v>4</v>
      </c>
      <c r="B6">
        <v>0.50800000000000001</v>
      </c>
      <c r="C6">
        <f t="shared" si="3"/>
        <v>508</v>
      </c>
      <c r="D6" s="126">
        <v>100</v>
      </c>
      <c r="E6" s="126">
        <v>105</v>
      </c>
      <c r="F6" s="126">
        <f t="shared" si="4"/>
        <v>-15</v>
      </c>
      <c r="G6" s="126">
        <v>0.7</v>
      </c>
      <c r="H6" s="126">
        <f t="shared" si="0"/>
        <v>-3.7192446400000003</v>
      </c>
      <c r="I6" s="126">
        <f t="shared" si="1"/>
        <v>3.4479699999999998</v>
      </c>
      <c r="J6" s="126">
        <f t="shared" si="2"/>
        <v>0.44365656000000003</v>
      </c>
      <c r="K6">
        <f t="shared" si="5"/>
        <v>0.97523171491088034</v>
      </c>
      <c r="L6">
        <f t="shared" si="6"/>
        <v>2.1894384933683062</v>
      </c>
      <c r="M6">
        <f t="shared" si="7"/>
        <v>0.93498505548595112</v>
      </c>
      <c r="N6" s="143">
        <f t="shared" si="8"/>
        <v>2.5471753911561468</v>
      </c>
      <c r="O6">
        <v>0.57099999999999995</v>
      </c>
      <c r="P6">
        <v>0.3</v>
      </c>
    </row>
    <row r="7" spans="1:16" ht="15.75" x14ac:dyDescent="0.25">
      <c r="A7" s="126">
        <v>5</v>
      </c>
      <c r="B7">
        <v>0.60960000000000003</v>
      </c>
      <c r="C7">
        <f t="shared" si="3"/>
        <v>609.6</v>
      </c>
      <c r="D7" s="126">
        <v>15</v>
      </c>
      <c r="E7" s="126">
        <v>145</v>
      </c>
      <c r="F7" s="126">
        <f t="shared" si="4"/>
        <v>0</v>
      </c>
      <c r="G7" s="126">
        <v>0.2</v>
      </c>
      <c r="H7" s="126">
        <f t="shared" si="0"/>
        <v>-5.6660735680000007</v>
      </c>
      <c r="I7" s="126">
        <f t="shared" si="1"/>
        <v>4.3770199999999999</v>
      </c>
      <c r="J7" s="126">
        <f t="shared" si="2"/>
        <v>0.30561387200000001</v>
      </c>
      <c r="K7">
        <f t="shared" si="5"/>
        <v>0.92680308876036677</v>
      </c>
      <c r="L7">
        <f t="shared" si="6"/>
        <v>1.6352321269547774</v>
      </c>
      <c r="M7">
        <f t="shared" si="7"/>
        <v>1.3506475876028867</v>
      </c>
      <c r="N7" s="143">
        <f t="shared" si="8"/>
        <v>3.8599243606680402</v>
      </c>
      <c r="O7">
        <v>0.57099999999999995</v>
      </c>
      <c r="P7">
        <v>0.3</v>
      </c>
    </row>
    <row r="8" spans="1:16" ht="15.75" x14ac:dyDescent="0.25">
      <c r="A8" s="126">
        <v>6</v>
      </c>
      <c r="B8">
        <v>0.76200000000000001</v>
      </c>
      <c r="C8">
        <f t="shared" si="3"/>
        <v>762</v>
      </c>
      <c r="D8" s="126">
        <v>30</v>
      </c>
      <c r="E8" s="126">
        <v>165</v>
      </c>
      <c r="F8" s="126">
        <f t="shared" si="4"/>
        <v>0</v>
      </c>
      <c r="G8" s="126">
        <v>0.3</v>
      </c>
      <c r="H8" s="126">
        <f t="shared" si="0"/>
        <v>-5.2755169600000009</v>
      </c>
      <c r="I8" s="126">
        <f t="shared" si="1"/>
        <v>4.2130700000000001</v>
      </c>
      <c r="J8" s="126">
        <f t="shared" si="2"/>
        <v>0.31852483999999998</v>
      </c>
      <c r="K8">
        <f t="shared" si="5"/>
        <v>0.96640790579650115</v>
      </c>
      <c r="L8">
        <f t="shared" si="6"/>
        <v>2.0348365057620685</v>
      </c>
      <c r="M8">
        <f t="shared" si="7"/>
        <v>2.38831340677251</v>
      </c>
      <c r="N8" s="143">
        <f t="shared" si="8"/>
        <v>10.895102831591004</v>
      </c>
      <c r="O8">
        <v>0.57099999999999995</v>
      </c>
      <c r="P8">
        <v>0.3</v>
      </c>
    </row>
    <row r="9" spans="1:16" ht="15.75" x14ac:dyDescent="0.25">
      <c r="A9" s="126">
        <v>7</v>
      </c>
      <c r="B9">
        <v>0.86360000000000003</v>
      </c>
      <c r="C9">
        <f t="shared" si="3"/>
        <v>863.6</v>
      </c>
      <c r="D9" s="126">
        <v>50</v>
      </c>
      <c r="E9" s="126">
        <v>105</v>
      </c>
      <c r="F9" s="126">
        <f t="shared" si="4"/>
        <v>-15</v>
      </c>
      <c r="G9" s="126">
        <v>0.5</v>
      </c>
      <c r="H9" s="126">
        <f t="shared" si="0"/>
        <v>-4.1687958880000009</v>
      </c>
      <c r="I9" s="126">
        <f t="shared" si="1"/>
        <v>3.9944699999999997</v>
      </c>
      <c r="J9" s="126">
        <f t="shared" si="2"/>
        <v>0.30633215199999997</v>
      </c>
      <c r="K9">
        <f t="shared" si="5"/>
        <v>0.87011511100097283</v>
      </c>
      <c r="L9">
        <f t="shared" si="6"/>
        <v>1.3335533378406192</v>
      </c>
      <c r="M9">
        <f t="shared" si="7"/>
        <v>0.35329210183794046</v>
      </c>
      <c r="N9" s="143">
        <f t="shared" si="8"/>
        <v>1.4237469618042953</v>
      </c>
      <c r="O9">
        <v>0.57099999999999995</v>
      </c>
      <c r="P9">
        <v>0.3</v>
      </c>
    </row>
    <row r="10" spans="1:16" ht="15.75" x14ac:dyDescent="0.25">
      <c r="A10" s="126">
        <v>8</v>
      </c>
      <c r="B10">
        <v>1.0668</v>
      </c>
      <c r="C10">
        <f t="shared" si="3"/>
        <v>1066.8</v>
      </c>
      <c r="D10" s="126">
        <v>100</v>
      </c>
      <c r="E10" s="126">
        <v>145</v>
      </c>
      <c r="F10" s="126">
        <f t="shared" si="4"/>
        <v>0</v>
      </c>
      <c r="G10" s="126">
        <v>0.65</v>
      </c>
      <c r="H10" s="126">
        <f t="shared" si="0"/>
        <v>-3.8540037440000008</v>
      </c>
      <c r="I10" s="126">
        <f t="shared" si="1"/>
        <v>3.4479699999999998</v>
      </c>
      <c r="J10" s="126">
        <f t="shared" si="2"/>
        <v>0.423146776</v>
      </c>
      <c r="K10">
        <f t="shared" si="5"/>
        <v>0.99282210341376143</v>
      </c>
      <c r="L10">
        <f t="shared" si="6"/>
        <v>2.8131503349727711</v>
      </c>
      <c r="M10">
        <f t="shared" si="7"/>
        <v>2.6481667698509677</v>
      </c>
      <c r="N10" s="143">
        <f t="shared" si="8"/>
        <v>14.128114804444175</v>
      </c>
      <c r="O10">
        <v>0.57099999999999995</v>
      </c>
      <c r="P10">
        <v>0.3</v>
      </c>
    </row>
    <row r="11" spans="1:16" ht="15.75" x14ac:dyDescent="0.25">
      <c r="A11" s="126">
        <v>9</v>
      </c>
      <c r="B11">
        <v>0.60960000000000003</v>
      </c>
      <c r="C11">
        <f t="shared" si="3"/>
        <v>609.6</v>
      </c>
      <c r="D11" s="126">
        <v>150</v>
      </c>
      <c r="E11" s="126">
        <v>165</v>
      </c>
      <c r="F11" s="126">
        <f t="shared" si="4"/>
        <v>0</v>
      </c>
      <c r="G11" s="126">
        <v>0.54</v>
      </c>
      <c r="H11" s="126">
        <f t="shared" si="0"/>
        <v>-3.5047235680000006</v>
      </c>
      <c r="I11" s="126">
        <f t="shared" si="1"/>
        <v>2.9014699999999998</v>
      </c>
      <c r="J11" s="126">
        <f t="shared" si="2"/>
        <v>0.57156387200000003</v>
      </c>
      <c r="K11">
        <f t="shared" si="5"/>
        <v>0.99554275197613074</v>
      </c>
      <c r="L11">
        <f t="shared" si="6"/>
        <v>3.0520699039355779</v>
      </c>
      <c r="M11">
        <f t="shared" si="7"/>
        <v>1.3398579816737923</v>
      </c>
      <c r="N11" s="143">
        <f t="shared" si="8"/>
        <v>3.8185011697117019</v>
      </c>
      <c r="O11">
        <v>0.57099999999999995</v>
      </c>
      <c r="P11">
        <v>0.3</v>
      </c>
    </row>
    <row r="12" spans="1:16" ht="15.75" x14ac:dyDescent="0.25">
      <c r="A12" s="126">
        <v>10</v>
      </c>
      <c r="B12">
        <v>0.60960000000000003</v>
      </c>
      <c r="C12">
        <f t="shared" si="3"/>
        <v>609.6</v>
      </c>
      <c r="D12" s="126">
        <v>200</v>
      </c>
      <c r="E12" s="126">
        <v>105</v>
      </c>
      <c r="F12" s="126">
        <f t="shared" si="4"/>
        <v>-15</v>
      </c>
      <c r="G12" s="126">
        <v>0.5</v>
      </c>
      <c r="H12" s="126">
        <f t="shared" si="0"/>
        <v>-2.0179735680000004</v>
      </c>
      <c r="I12" s="126">
        <f t="shared" si="1"/>
        <v>2.3549699999999998</v>
      </c>
      <c r="J12" s="126">
        <f t="shared" si="2"/>
        <v>0.62956387200000008</v>
      </c>
      <c r="K12">
        <f t="shared" si="5"/>
        <v>0.56256614200607868</v>
      </c>
      <c r="L12">
        <f t="shared" si="6"/>
        <v>0.63657959947907028</v>
      </c>
      <c r="M12">
        <f t="shared" si="7"/>
        <v>-2.9888562101621514</v>
      </c>
      <c r="N12" s="143">
        <f t="shared" si="8"/>
        <v>5.034498788963291E-2</v>
      </c>
      <c r="O12">
        <v>0.57099999999999995</v>
      </c>
      <c r="P12">
        <v>0.3</v>
      </c>
    </row>
    <row r="13" spans="1:16" ht="15.75" x14ac:dyDescent="0.25">
      <c r="A13" s="126">
        <v>11</v>
      </c>
      <c r="B13">
        <v>0.20319999999999999</v>
      </c>
      <c r="C13">
        <f t="shared" si="3"/>
        <v>203.2</v>
      </c>
      <c r="D13" s="126">
        <v>15</v>
      </c>
      <c r="E13" s="126">
        <v>145</v>
      </c>
      <c r="F13" s="126">
        <f t="shared" si="4"/>
        <v>0</v>
      </c>
      <c r="G13" s="126">
        <v>0.7</v>
      </c>
      <c r="H13" s="126">
        <f t="shared" si="0"/>
        <v>-6.0671578560000006</v>
      </c>
      <c r="I13" s="126">
        <f t="shared" si="1"/>
        <v>4.3770199999999999</v>
      </c>
      <c r="J13" s="126">
        <f t="shared" si="2"/>
        <v>0.34998462400000002</v>
      </c>
      <c r="K13">
        <f t="shared" si="5"/>
        <v>1.3046508611021352</v>
      </c>
      <c r="L13">
        <f t="shared" si="6"/>
        <v>5</v>
      </c>
      <c r="M13">
        <f t="shared" si="7"/>
        <v>10.286341905123237</v>
      </c>
      <c r="N13" s="143">
        <f t="shared" si="8"/>
        <v>100</v>
      </c>
      <c r="O13">
        <v>0.57099999999999995</v>
      </c>
      <c r="P13">
        <v>0.3</v>
      </c>
    </row>
    <row r="14" spans="1:16" ht="15.75" x14ac:dyDescent="0.25">
      <c r="A14" s="126">
        <v>12</v>
      </c>
      <c r="B14">
        <v>0.30480000000000002</v>
      </c>
      <c r="C14">
        <f t="shared" si="3"/>
        <v>304.8</v>
      </c>
      <c r="D14" s="126">
        <v>30</v>
      </c>
      <c r="E14" s="126">
        <v>165</v>
      </c>
      <c r="F14" s="126">
        <f t="shared" si="4"/>
        <v>0</v>
      </c>
      <c r="G14" s="126">
        <v>0.6</v>
      </c>
      <c r="H14" s="126">
        <f t="shared" si="0"/>
        <v>-5.7267367840000007</v>
      </c>
      <c r="I14" s="126">
        <f t="shared" si="1"/>
        <v>4.2130700000000001</v>
      </c>
      <c r="J14" s="126">
        <f t="shared" si="2"/>
        <v>0.36844193599999997</v>
      </c>
      <c r="K14">
        <f t="shared" si="5"/>
        <v>1.2380309750927494</v>
      </c>
      <c r="L14">
        <f t="shared" si="6"/>
        <v>5</v>
      </c>
      <c r="M14">
        <f t="shared" si="7"/>
        <v>9.570659339929211</v>
      </c>
      <c r="N14" s="143">
        <f t="shared" si="8"/>
        <v>100</v>
      </c>
      <c r="O14">
        <v>0.57099999999999995</v>
      </c>
      <c r="P14">
        <v>0.3</v>
      </c>
    </row>
    <row r="15" spans="1:16" ht="15.75" x14ac:dyDescent="0.25">
      <c r="A15" s="126">
        <v>13</v>
      </c>
      <c r="B15">
        <v>0.40639999999999998</v>
      </c>
      <c r="C15">
        <f t="shared" si="3"/>
        <v>406.4</v>
      </c>
      <c r="D15" s="126">
        <v>50</v>
      </c>
      <c r="E15" s="126">
        <v>105</v>
      </c>
      <c r="F15" s="126">
        <f t="shared" si="4"/>
        <v>-15</v>
      </c>
      <c r="G15" s="126">
        <v>0.5</v>
      </c>
      <c r="H15" s="126">
        <f t="shared" si="0"/>
        <v>-4.6200157119999998</v>
      </c>
      <c r="I15" s="126">
        <f t="shared" si="1"/>
        <v>3.9944699999999997</v>
      </c>
      <c r="J15" s="126">
        <f t="shared" si="2"/>
        <v>0.35624924800000002</v>
      </c>
      <c r="K15">
        <f t="shared" si="5"/>
        <v>0.98307623575594627</v>
      </c>
      <c r="L15">
        <f t="shared" si="6"/>
        <v>2.3818428849754718</v>
      </c>
      <c r="M15">
        <f t="shared" si="7"/>
        <v>2.6858888779337766</v>
      </c>
      <c r="N15" s="143">
        <f t="shared" si="8"/>
        <v>14.671236524486245</v>
      </c>
      <c r="O15">
        <v>0.57099999999999995</v>
      </c>
      <c r="P15">
        <v>0.3</v>
      </c>
    </row>
    <row r="16" spans="1:16" ht="15.75" x14ac:dyDescent="0.25">
      <c r="A16" s="126">
        <v>14</v>
      </c>
      <c r="B16">
        <v>0.50800000000000001</v>
      </c>
      <c r="C16">
        <f t="shared" si="3"/>
        <v>508</v>
      </c>
      <c r="D16" s="126">
        <v>100</v>
      </c>
      <c r="E16" s="126">
        <v>145</v>
      </c>
      <c r="F16" s="126">
        <f t="shared" si="4"/>
        <v>0</v>
      </c>
      <c r="G16" s="126">
        <v>0.2</v>
      </c>
      <c r="H16" s="126">
        <f t="shared" si="0"/>
        <v>-4.4054946400000006</v>
      </c>
      <c r="I16" s="126">
        <f t="shared" si="1"/>
        <v>3.4479699999999998</v>
      </c>
      <c r="J16" s="126">
        <f t="shared" si="2"/>
        <v>0.48415656000000001</v>
      </c>
      <c r="K16">
        <f t="shared" si="5"/>
        <v>0.81092838034144732</v>
      </c>
      <c r="L16">
        <f t="shared" si="6"/>
        <v>1.129734513403053</v>
      </c>
      <c r="M16">
        <f t="shared" si="7"/>
        <v>-1.6665925720327883</v>
      </c>
      <c r="N16" s="143">
        <f t="shared" si="8"/>
        <v>0.18888959802468036</v>
      </c>
      <c r="O16">
        <v>0.57099999999999995</v>
      </c>
      <c r="P16">
        <v>0.3</v>
      </c>
    </row>
    <row r="17" spans="1:16" ht="15.75" x14ac:dyDescent="0.25">
      <c r="A17" s="126">
        <v>15</v>
      </c>
      <c r="B17">
        <v>0.60960000000000003</v>
      </c>
      <c r="C17">
        <f t="shared" si="3"/>
        <v>609.6</v>
      </c>
      <c r="D17" s="126">
        <v>15</v>
      </c>
      <c r="E17" s="126">
        <v>165</v>
      </c>
      <c r="F17" s="126">
        <f t="shared" si="4"/>
        <v>0</v>
      </c>
      <c r="G17" s="126">
        <v>0.4</v>
      </c>
      <c r="H17" s="126">
        <f t="shared" si="0"/>
        <v>-5.6660735680000007</v>
      </c>
      <c r="I17" s="126">
        <f t="shared" si="1"/>
        <v>4.3770199999999999</v>
      </c>
      <c r="J17" s="126">
        <f t="shared" si="2"/>
        <v>0.30561387200000001</v>
      </c>
      <c r="K17">
        <f t="shared" si="5"/>
        <v>1.0851636127150084</v>
      </c>
      <c r="L17">
        <f t="shared" si="6"/>
        <v>5</v>
      </c>
      <c r="M17">
        <f t="shared" si="7"/>
        <v>12.360513897091685</v>
      </c>
      <c r="N17" s="143">
        <f t="shared" si="8"/>
        <v>100</v>
      </c>
      <c r="O17">
        <v>0.57099999999999995</v>
      </c>
      <c r="P17">
        <v>0.3</v>
      </c>
    </row>
    <row r="18" spans="1:16" ht="15.75" x14ac:dyDescent="0.25">
      <c r="A18" s="126">
        <v>16</v>
      </c>
      <c r="B18">
        <v>0.76200000000000001</v>
      </c>
      <c r="C18">
        <f t="shared" si="3"/>
        <v>762</v>
      </c>
      <c r="D18" s="126">
        <v>30</v>
      </c>
      <c r="E18" s="126">
        <v>105</v>
      </c>
      <c r="F18" s="126">
        <f t="shared" si="4"/>
        <v>-15</v>
      </c>
      <c r="G18" s="126">
        <v>0.3</v>
      </c>
      <c r="H18" s="126">
        <f t="shared" si="0"/>
        <v>-4.5892669600000007</v>
      </c>
      <c r="I18" s="126">
        <f t="shared" si="1"/>
        <v>4.2130700000000001</v>
      </c>
      <c r="J18" s="126">
        <f t="shared" si="2"/>
        <v>0.27802484</v>
      </c>
      <c r="K18">
        <f t="shared" si="5"/>
        <v>0.80352193428404106</v>
      </c>
      <c r="L18">
        <f t="shared" si="6"/>
        <v>1.1084729310554529</v>
      </c>
      <c r="M18">
        <f t="shared" si="7"/>
        <v>-1.3043542960215593E-2</v>
      </c>
      <c r="N18" s="143">
        <f t="shared" si="8"/>
        <v>0.98704115539080384</v>
      </c>
      <c r="O18">
        <v>0.57099999999999995</v>
      </c>
      <c r="P18">
        <v>0.3</v>
      </c>
    </row>
    <row r="19" spans="1:16" ht="15.75" x14ac:dyDescent="0.25">
      <c r="A19" s="126">
        <v>17</v>
      </c>
      <c r="B19">
        <v>0.86360000000000003</v>
      </c>
      <c r="C19">
        <f t="shared" si="3"/>
        <v>863.6</v>
      </c>
      <c r="D19" s="126">
        <v>50</v>
      </c>
      <c r="E19" s="126">
        <v>145</v>
      </c>
      <c r="F19" s="126">
        <f t="shared" si="4"/>
        <v>0</v>
      </c>
      <c r="G19" s="126">
        <v>0.5</v>
      </c>
      <c r="H19" s="126">
        <f t="shared" si="0"/>
        <v>-4.8550458880000011</v>
      </c>
      <c r="I19" s="126">
        <f t="shared" si="1"/>
        <v>3.9944699999999997</v>
      </c>
      <c r="J19" s="126">
        <f t="shared" si="2"/>
        <v>0.34683215199999995</v>
      </c>
      <c r="K19">
        <f t="shared" si="5"/>
        <v>1.0419151245196625</v>
      </c>
      <c r="L19">
        <f t="shared" si="6"/>
        <v>5</v>
      </c>
      <c r="M19">
        <f t="shared" si="7"/>
        <v>10.416195185964192</v>
      </c>
      <c r="N19" s="143">
        <f t="shared" si="8"/>
        <v>100</v>
      </c>
      <c r="O19">
        <v>0.57099999999999995</v>
      </c>
      <c r="P19">
        <v>0.3</v>
      </c>
    </row>
    <row r="20" spans="1:16" ht="15.75" x14ac:dyDescent="0.25">
      <c r="A20" s="126">
        <v>18</v>
      </c>
      <c r="B20">
        <v>1.0668</v>
      </c>
      <c r="C20">
        <f t="shared" si="3"/>
        <v>1066.8</v>
      </c>
      <c r="D20" s="126">
        <v>100</v>
      </c>
      <c r="E20" s="126">
        <v>165</v>
      </c>
      <c r="F20" s="126">
        <f t="shared" si="4"/>
        <v>0</v>
      </c>
      <c r="G20" s="126">
        <v>0.7</v>
      </c>
      <c r="H20" s="126">
        <f t="shared" si="0"/>
        <v>-3.8540037440000008</v>
      </c>
      <c r="I20" s="126">
        <f t="shared" si="1"/>
        <v>3.4479699999999998</v>
      </c>
      <c r="J20" s="126">
        <f t="shared" si="2"/>
        <v>0.423146776</v>
      </c>
      <c r="K20">
        <f t="shared" si="5"/>
        <v>1.0143153217868104</v>
      </c>
      <c r="L20">
        <f t="shared" si="6"/>
        <v>5</v>
      </c>
      <c r="M20">
        <f t="shared" si="7"/>
        <v>7.8162308768246405</v>
      </c>
      <c r="N20" s="143">
        <f t="shared" si="8"/>
        <v>100</v>
      </c>
      <c r="O20">
        <v>0.57099999999999995</v>
      </c>
      <c r="P20">
        <v>0.3</v>
      </c>
    </row>
    <row r="21" spans="1:16" ht="15.75" x14ac:dyDescent="0.25">
      <c r="A21" s="126">
        <v>19</v>
      </c>
      <c r="B21">
        <v>0.60960000000000003</v>
      </c>
      <c r="C21">
        <f t="shared" si="3"/>
        <v>609.6</v>
      </c>
      <c r="D21" s="126">
        <v>150</v>
      </c>
      <c r="E21" s="126">
        <v>115</v>
      </c>
      <c r="F21" s="126">
        <f t="shared" si="4"/>
        <v>-5</v>
      </c>
      <c r="G21" s="126">
        <v>0.6</v>
      </c>
      <c r="H21" s="126">
        <f t="shared" si="0"/>
        <v>-3.2759735680000004</v>
      </c>
      <c r="I21" s="126">
        <f t="shared" si="1"/>
        <v>2.9014699999999998</v>
      </c>
      <c r="J21" s="126">
        <f t="shared" si="2"/>
        <v>0.55806387200000007</v>
      </c>
      <c r="K21">
        <f t="shared" si="5"/>
        <v>0.95301621048434415</v>
      </c>
      <c r="L21">
        <f t="shared" si="6"/>
        <v>1.8636637964233149</v>
      </c>
      <c r="M21">
        <f t="shared" si="7"/>
        <v>-0.66048298424285967</v>
      </c>
      <c r="N21" s="143">
        <f t="shared" si="8"/>
        <v>0.51660176371546651</v>
      </c>
      <c r="O21">
        <v>0.57099999999999995</v>
      </c>
      <c r="P21">
        <v>0.3</v>
      </c>
    </row>
    <row r="22" spans="1:16" ht="15.75" x14ac:dyDescent="0.25">
      <c r="A22" s="126">
        <v>20</v>
      </c>
      <c r="B22">
        <v>0.60960000000000003</v>
      </c>
      <c r="C22">
        <f t="shared" si="3"/>
        <v>609.6</v>
      </c>
      <c r="D22" s="126">
        <v>200</v>
      </c>
      <c r="E22" s="126">
        <v>135</v>
      </c>
      <c r="F22" s="126">
        <f t="shared" si="4"/>
        <v>0</v>
      </c>
      <c r="G22" s="126">
        <v>1.5</v>
      </c>
      <c r="H22" s="126">
        <f t="shared" si="0"/>
        <v>-2.7042235680000006</v>
      </c>
      <c r="I22" s="126">
        <f t="shared" si="1"/>
        <v>2.3549699999999998</v>
      </c>
      <c r="J22" s="126">
        <f t="shared" si="2"/>
        <v>0.67006387200000006</v>
      </c>
      <c r="K22">
        <f t="shared" si="5"/>
        <v>1.3204791042383408</v>
      </c>
      <c r="L22">
        <f t="shared" si="6"/>
        <v>5</v>
      </c>
      <c r="M22">
        <f t="shared" si="7"/>
        <v>3.4619752070441425</v>
      </c>
      <c r="N22" s="143">
        <f t="shared" si="8"/>
        <v>31.879883737745445</v>
      </c>
      <c r="O22">
        <v>0.57099999999999995</v>
      </c>
      <c r="P22">
        <v>0.3</v>
      </c>
    </row>
    <row r="23" spans="1:16" x14ac:dyDescent="0.25">
      <c r="E23"/>
    </row>
    <row r="25" spans="1:16" x14ac:dyDescent="0.25">
      <c r="A25" t="s">
        <v>38</v>
      </c>
      <c r="B25" t="s">
        <v>288</v>
      </c>
      <c r="C25" t="s">
        <v>1</v>
      </c>
      <c r="D25" t="s">
        <v>125</v>
      </c>
      <c r="E25" t="s">
        <v>400</v>
      </c>
      <c r="F25" t="s">
        <v>401</v>
      </c>
      <c r="G25" t="s">
        <v>6</v>
      </c>
      <c r="H25" t="s">
        <v>18</v>
      </c>
      <c r="I25" t="s">
        <v>19</v>
      </c>
      <c r="J25" t="s">
        <v>104</v>
      </c>
      <c r="K25" t="s">
        <v>402</v>
      </c>
      <c r="L25" t="s">
        <v>403</v>
      </c>
      <c r="M25" t="s">
        <v>284</v>
      </c>
      <c r="N25" t="s">
        <v>8</v>
      </c>
      <c r="O25" t="s">
        <v>290</v>
      </c>
      <c r="P25" t="s">
        <v>291</v>
      </c>
    </row>
    <row r="26" spans="1:16" x14ac:dyDescent="0.25">
      <c r="A26" s="126">
        <v>1</v>
      </c>
      <c r="B26">
        <v>0.20319999999999999</v>
      </c>
      <c r="C26">
        <v>203.2</v>
      </c>
      <c r="D26" s="126">
        <v>15</v>
      </c>
      <c r="E26" s="126">
        <v>105</v>
      </c>
      <c r="F26">
        <v>-15</v>
      </c>
      <c r="G26">
        <v>0.2</v>
      </c>
      <c r="H26">
        <v>-5.3809078560000003</v>
      </c>
      <c r="I26">
        <v>4.3770199999999999</v>
      </c>
      <c r="J26">
        <v>0.30948462400000004</v>
      </c>
      <c r="K26">
        <v>0.86165243557623683</v>
      </c>
      <c r="L26">
        <v>1.2997253384540037</v>
      </c>
      <c r="M26">
        <v>0.19964430431284885</v>
      </c>
      <c r="N26">
        <v>1.2209683877232429</v>
      </c>
      <c r="O26">
        <v>0.57099999999999995</v>
      </c>
      <c r="P26">
        <v>0.3</v>
      </c>
    </row>
    <row r="27" spans="1:16" x14ac:dyDescent="0.25">
      <c r="A27" s="126">
        <v>2</v>
      </c>
      <c r="B27">
        <v>0.30480000000000002</v>
      </c>
      <c r="C27">
        <v>304.8</v>
      </c>
      <c r="D27" s="126">
        <v>30</v>
      </c>
      <c r="E27" s="126">
        <v>145</v>
      </c>
      <c r="F27">
        <v>0</v>
      </c>
      <c r="G27">
        <v>0.1</v>
      </c>
      <c r="H27">
        <v>-5.7267367840000007</v>
      </c>
      <c r="I27">
        <v>4.2130700000000001</v>
      </c>
      <c r="J27">
        <v>0.36844193599999997</v>
      </c>
      <c r="K27">
        <v>0.81274502702446316</v>
      </c>
      <c r="L27">
        <v>1.135063192462112</v>
      </c>
      <c r="M27">
        <v>-0.91928881716083488</v>
      </c>
      <c r="N27">
        <v>0.39880256179319534</v>
      </c>
      <c r="O27">
        <v>0.57099999999999995</v>
      </c>
      <c r="P27">
        <v>0.3</v>
      </c>
    </row>
    <row r="28" spans="1:16" x14ac:dyDescent="0.25">
      <c r="A28" s="126">
        <v>3</v>
      </c>
      <c r="B28">
        <v>0.40639999999999998</v>
      </c>
      <c r="C28">
        <v>406.4</v>
      </c>
      <c r="D28" s="126">
        <v>50</v>
      </c>
      <c r="E28" s="126">
        <v>165</v>
      </c>
      <c r="F28">
        <v>0</v>
      </c>
      <c r="G28">
        <v>0.2</v>
      </c>
      <c r="H28">
        <v>-5.3062657120000001</v>
      </c>
      <c r="I28">
        <v>3.9944699999999997</v>
      </c>
      <c r="J28">
        <v>0.396749248</v>
      </c>
      <c r="K28">
        <v>0.92548643488770721</v>
      </c>
      <c r="L28">
        <v>1.6259763586968217</v>
      </c>
      <c r="M28">
        <v>9.8246857160575018E-2</v>
      </c>
      <c r="N28">
        <v>1.1032350929790506</v>
      </c>
      <c r="O28">
        <v>0.57099999999999995</v>
      </c>
      <c r="P28">
        <v>0.3</v>
      </c>
    </row>
    <row r="29" spans="1:16" x14ac:dyDescent="0.25">
      <c r="A29" s="126">
        <v>4</v>
      </c>
      <c r="B29">
        <v>0.50800000000000001</v>
      </c>
      <c r="C29">
        <v>508</v>
      </c>
      <c r="D29" s="126">
        <v>100</v>
      </c>
      <c r="E29" s="126">
        <v>105</v>
      </c>
      <c r="F29">
        <v>-15</v>
      </c>
      <c r="G29">
        <v>0.7</v>
      </c>
      <c r="H29">
        <v>-3.7192446400000003</v>
      </c>
      <c r="I29">
        <v>3.4479699999999998</v>
      </c>
      <c r="J29">
        <v>0.44365656000000003</v>
      </c>
      <c r="K29">
        <v>0.97523171491088034</v>
      </c>
      <c r="L29">
        <v>2.1894384933683062</v>
      </c>
      <c r="M29">
        <v>0.93498505548595112</v>
      </c>
      <c r="N29">
        <v>2.5471753911561468</v>
      </c>
      <c r="O29">
        <v>0.57099999999999995</v>
      </c>
      <c r="P29">
        <v>0.3</v>
      </c>
    </row>
    <row r="30" spans="1:16" x14ac:dyDescent="0.25">
      <c r="A30" s="126">
        <v>5</v>
      </c>
      <c r="B30">
        <v>0.60960000000000003</v>
      </c>
      <c r="C30">
        <v>609.6</v>
      </c>
      <c r="D30" s="126">
        <v>15</v>
      </c>
      <c r="E30" s="126">
        <v>145</v>
      </c>
      <c r="F30">
        <v>0</v>
      </c>
      <c r="G30">
        <v>0.2</v>
      </c>
      <c r="H30">
        <v>-5.6660735680000007</v>
      </c>
      <c r="I30">
        <v>4.3770199999999999</v>
      </c>
      <c r="J30">
        <v>0.30561387200000001</v>
      </c>
      <c r="K30">
        <v>0.92680308876036677</v>
      </c>
      <c r="L30">
        <v>1.6352321269547774</v>
      </c>
      <c r="M30">
        <v>1.3506475876028867</v>
      </c>
      <c r="N30">
        <v>3.8599243606680402</v>
      </c>
      <c r="O30">
        <v>0.57099999999999995</v>
      </c>
      <c r="P30">
        <v>0.3</v>
      </c>
    </row>
    <row r="31" spans="1:16" x14ac:dyDescent="0.25">
      <c r="A31" s="126">
        <v>6</v>
      </c>
      <c r="B31">
        <v>0.76200000000000001</v>
      </c>
      <c r="C31">
        <v>762</v>
      </c>
      <c r="D31" s="126">
        <v>30</v>
      </c>
      <c r="E31" s="126">
        <v>165</v>
      </c>
      <c r="F31">
        <v>0</v>
      </c>
      <c r="G31">
        <v>0.3</v>
      </c>
      <c r="H31">
        <v>-5.2755169600000009</v>
      </c>
      <c r="I31">
        <v>4.2130700000000001</v>
      </c>
      <c r="J31">
        <v>0.31852483999999998</v>
      </c>
      <c r="K31">
        <v>0.96640790579650115</v>
      </c>
      <c r="L31">
        <v>2.0348365057620685</v>
      </c>
      <c r="M31">
        <v>2.38831340677251</v>
      </c>
      <c r="N31">
        <v>10.895102831591004</v>
      </c>
      <c r="O31">
        <v>0.57099999999999995</v>
      </c>
      <c r="P31">
        <v>0.3</v>
      </c>
    </row>
    <row r="32" spans="1:16" x14ac:dyDescent="0.25">
      <c r="A32" s="126">
        <v>7</v>
      </c>
      <c r="B32">
        <v>0.86360000000000003</v>
      </c>
      <c r="C32">
        <v>863.6</v>
      </c>
      <c r="D32" s="126">
        <v>50</v>
      </c>
      <c r="E32" s="126">
        <v>105</v>
      </c>
      <c r="F32">
        <v>-15</v>
      </c>
      <c r="G32">
        <v>0.5</v>
      </c>
      <c r="H32">
        <v>-4.1687958880000009</v>
      </c>
      <c r="I32">
        <v>3.9944699999999997</v>
      </c>
      <c r="J32">
        <v>0.30633215199999997</v>
      </c>
      <c r="K32">
        <v>0.87011511100097283</v>
      </c>
      <c r="L32">
        <v>1.3335533378406192</v>
      </c>
      <c r="M32">
        <v>0.35329210183794046</v>
      </c>
      <c r="N32">
        <v>1.4237469618042953</v>
      </c>
      <c r="O32">
        <v>0.57099999999999995</v>
      </c>
      <c r="P32">
        <v>0.3</v>
      </c>
    </row>
    <row r="33" spans="1:16" x14ac:dyDescent="0.25">
      <c r="A33" s="126">
        <v>8</v>
      </c>
      <c r="B33">
        <v>1.0668</v>
      </c>
      <c r="C33">
        <v>1066.8</v>
      </c>
      <c r="D33" s="126">
        <v>100</v>
      </c>
      <c r="E33" s="126">
        <v>145</v>
      </c>
      <c r="F33">
        <v>0</v>
      </c>
      <c r="G33">
        <v>0.65</v>
      </c>
      <c r="H33">
        <v>-3.8540037440000008</v>
      </c>
      <c r="I33">
        <v>3.4479699999999998</v>
      </c>
      <c r="J33">
        <v>0.423146776</v>
      </c>
      <c r="K33">
        <v>0.99282210341376143</v>
      </c>
      <c r="L33">
        <v>2.8131503349727711</v>
      </c>
      <c r="M33">
        <v>2.6481667698509677</v>
      </c>
      <c r="N33">
        <v>14.128114804444175</v>
      </c>
      <c r="O33">
        <v>0.57099999999999995</v>
      </c>
      <c r="P33">
        <v>0.3</v>
      </c>
    </row>
    <row r="34" spans="1:16" x14ac:dyDescent="0.25">
      <c r="A34" s="126">
        <v>9</v>
      </c>
      <c r="B34">
        <v>0.60960000000000003</v>
      </c>
      <c r="C34">
        <v>609.6</v>
      </c>
      <c r="D34" s="126">
        <v>150</v>
      </c>
      <c r="E34" s="126">
        <v>165</v>
      </c>
      <c r="F34">
        <v>0</v>
      </c>
      <c r="G34">
        <v>0.54</v>
      </c>
      <c r="H34">
        <v>-3.5047235680000006</v>
      </c>
      <c r="I34">
        <v>2.9014699999999998</v>
      </c>
      <c r="J34">
        <v>0.57156387200000003</v>
      </c>
      <c r="K34">
        <v>0.99554275197613074</v>
      </c>
      <c r="L34">
        <v>3.0520699039355779</v>
      </c>
      <c r="M34">
        <v>1.3398579816737923</v>
      </c>
      <c r="N34">
        <v>3.8185011697117019</v>
      </c>
      <c r="O34">
        <v>0.57099999999999995</v>
      </c>
      <c r="P34">
        <v>0.3</v>
      </c>
    </row>
    <row r="35" spans="1:16" x14ac:dyDescent="0.25">
      <c r="A35" s="126">
        <v>10</v>
      </c>
      <c r="B35">
        <v>0.60960000000000003</v>
      </c>
      <c r="C35">
        <v>609.6</v>
      </c>
      <c r="D35" s="126">
        <v>200</v>
      </c>
      <c r="E35" s="126">
        <v>105</v>
      </c>
      <c r="F35">
        <v>-15</v>
      </c>
      <c r="G35">
        <v>0.5</v>
      </c>
      <c r="H35">
        <v>-2.0179735680000004</v>
      </c>
      <c r="I35">
        <v>2.3549699999999998</v>
      </c>
      <c r="J35">
        <v>0.62956387200000008</v>
      </c>
      <c r="K35">
        <v>0.56256614200607868</v>
      </c>
      <c r="L35">
        <v>0.63657959947907028</v>
      </c>
      <c r="M35">
        <v>-2.9888562101621514</v>
      </c>
      <c r="N35">
        <v>5.034498788963291E-2</v>
      </c>
      <c r="O35">
        <v>0.57099999999999995</v>
      </c>
      <c r="P35">
        <v>0.3</v>
      </c>
    </row>
    <row r="36" spans="1:16" x14ac:dyDescent="0.25">
      <c r="A36" s="126">
        <v>11</v>
      </c>
      <c r="B36">
        <v>0.20319999999999999</v>
      </c>
      <c r="C36">
        <v>203.2</v>
      </c>
      <c r="D36" s="126">
        <v>15</v>
      </c>
      <c r="E36" s="126">
        <v>145</v>
      </c>
      <c r="F36">
        <v>0</v>
      </c>
      <c r="G36">
        <v>0.7</v>
      </c>
      <c r="H36">
        <v>-6.0671578560000006</v>
      </c>
      <c r="I36">
        <v>4.3770199999999999</v>
      </c>
      <c r="J36">
        <v>0.34998462400000002</v>
      </c>
      <c r="K36">
        <v>1.3046508611021352</v>
      </c>
      <c r="L36">
        <v>5</v>
      </c>
      <c r="M36">
        <v>10.286341905123237</v>
      </c>
      <c r="N36">
        <v>100</v>
      </c>
      <c r="O36">
        <v>0.57099999999999995</v>
      </c>
      <c r="P36">
        <v>0.3</v>
      </c>
    </row>
    <row r="37" spans="1:16" x14ac:dyDescent="0.25">
      <c r="A37" s="126">
        <v>12</v>
      </c>
      <c r="B37">
        <v>0.30480000000000002</v>
      </c>
      <c r="C37">
        <v>304.8</v>
      </c>
      <c r="D37" s="126">
        <v>30</v>
      </c>
      <c r="E37" s="126">
        <v>165</v>
      </c>
      <c r="F37">
        <v>0</v>
      </c>
      <c r="G37">
        <v>0.6</v>
      </c>
      <c r="H37">
        <v>-5.7267367840000007</v>
      </c>
      <c r="I37">
        <v>4.2130700000000001</v>
      </c>
      <c r="J37">
        <v>0.36844193599999997</v>
      </c>
      <c r="K37">
        <v>1.2380309750927494</v>
      </c>
      <c r="L37">
        <v>5</v>
      </c>
      <c r="M37">
        <v>9.570659339929211</v>
      </c>
      <c r="N37">
        <v>100</v>
      </c>
      <c r="O37">
        <v>0.57099999999999995</v>
      </c>
      <c r="P37">
        <v>0.3</v>
      </c>
    </row>
    <row r="38" spans="1:16" x14ac:dyDescent="0.25">
      <c r="A38" s="126">
        <v>13</v>
      </c>
      <c r="B38">
        <v>0.40639999999999998</v>
      </c>
      <c r="C38">
        <v>406.4</v>
      </c>
      <c r="D38" s="126">
        <v>50</v>
      </c>
      <c r="E38" s="126">
        <v>105</v>
      </c>
      <c r="F38">
        <v>-15</v>
      </c>
      <c r="G38">
        <v>0.5</v>
      </c>
      <c r="H38">
        <v>-4.6200157119999998</v>
      </c>
      <c r="I38">
        <v>3.9944699999999997</v>
      </c>
      <c r="J38">
        <v>0.35624924800000002</v>
      </c>
      <c r="K38">
        <v>0.98307623575594627</v>
      </c>
      <c r="L38">
        <v>2.3818428849754718</v>
      </c>
      <c r="M38">
        <v>2.6858888779337766</v>
      </c>
      <c r="N38">
        <v>14.671236524486245</v>
      </c>
      <c r="O38">
        <v>0.57099999999999995</v>
      </c>
      <c r="P38">
        <v>0.3</v>
      </c>
    </row>
    <row r="39" spans="1:16" x14ac:dyDescent="0.25">
      <c r="A39" s="126">
        <v>14</v>
      </c>
      <c r="B39">
        <v>0.50800000000000001</v>
      </c>
      <c r="C39">
        <v>508</v>
      </c>
      <c r="D39" s="126">
        <v>100</v>
      </c>
      <c r="E39" s="126">
        <v>145</v>
      </c>
      <c r="F39">
        <v>0</v>
      </c>
      <c r="G39">
        <v>0.2</v>
      </c>
      <c r="H39">
        <v>-4.4054946400000006</v>
      </c>
      <c r="I39">
        <v>3.4479699999999998</v>
      </c>
      <c r="J39">
        <v>0.48415656000000001</v>
      </c>
      <c r="K39">
        <v>0.81092838034144732</v>
      </c>
      <c r="L39">
        <v>1.129734513403053</v>
      </c>
      <c r="M39">
        <v>-1.6665925720327883</v>
      </c>
      <c r="N39">
        <v>0.18888959802468036</v>
      </c>
      <c r="O39">
        <v>0.57099999999999995</v>
      </c>
      <c r="P39">
        <v>0.3</v>
      </c>
    </row>
    <row r="40" spans="1:16" x14ac:dyDescent="0.25">
      <c r="A40" s="126">
        <v>15</v>
      </c>
      <c r="B40">
        <v>0.60960000000000003</v>
      </c>
      <c r="C40">
        <v>609.6</v>
      </c>
      <c r="D40" s="126">
        <v>15</v>
      </c>
      <c r="E40" s="126">
        <v>165</v>
      </c>
      <c r="F40">
        <v>0</v>
      </c>
      <c r="G40">
        <v>0.4</v>
      </c>
      <c r="H40">
        <v>-5.6660735680000007</v>
      </c>
      <c r="I40">
        <v>4.3770199999999999</v>
      </c>
      <c r="J40">
        <v>0.30561387200000001</v>
      </c>
      <c r="K40">
        <v>1.0851636127150084</v>
      </c>
      <c r="L40">
        <v>5</v>
      </c>
      <c r="M40">
        <v>12.360513897091685</v>
      </c>
      <c r="N40">
        <v>100</v>
      </c>
      <c r="O40">
        <v>0.57099999999999995</v>
      </c>
      <c r="P40">
        <v>0.3</v>
      </c>
    </row>
    <row r="41" spans="1:16" x14ac:dyDescent="0.25">
      <c r="A41" s="126">
        <v>16</v>
      </c>
      <c r="B41">
        <v>0.76200000000000001</v>
      </c>
      <c r="C41">
        <v>762</v>
      </c>
      <c r="D41" s="126">
        <v>30</v>
      </c>
      <c r="E41" s="126">
        <v>105</v>
      </c>
      <c r="F41">
        <v>-15</v>
      </c>
      <c r="G41">
        <v>0.3</v>
      </c>
      <c r="H41">
        <v>-4.5892669600000007</v>
      </c>
      <c r="I41">
        <v>4.2130700000000001</v>
      </c>
      <c r="J41">
        <v>0.27802484</v>
      </c>
      <c r="K41">
        <v>0.80352193428404106</v>
      </c>
      <c r="L41">
        <v>1.1084729310554529</v>
      </c>
      <c r="M41">
        <v>-1.3043542960215593E-2</v>
      </c>
      <c r="N41">
        <v>0.98704115539080384</v>
      </c>
      <c r="O41">
        <v>0.57099999999999995</v>
      </c>
      <c r="P41">
        <v>0.3</v>
      </c>
    </row>
    <row r="42" spans="1:16" x14ac:dyDescent="0.25">
      <c r="A42" s="126">
        <v>17</v>
      </c>
      <c r="B42">
        <v>0.86360000000000003</v>
      </c>
      <c r="C42">
        <v>863.6</v>
      </c>
      <c r="D42" s="126">
        <v>50</v>
      </c>
      <c r="E42" s="126">
        <v>145</v>
      </c>
      <c r="F42">
        <v>0</v>
      </c>
      <c r="G42">
        <v>0.5</v>
      </c>
      <c r="H42">
        <v>-4.8550458880000011</v>
      </c>
      <c r="I42">
        <v>3.9944699999999997</v>
      </c>
      <c r="J42">
        <v>0.34683215199999995</v>
      </c>
      <c r="K42">
        <v>1.0419151245196625</v>
      </c>
      <c r="L42">
        <v>5</v>
      </c>
      <c r="M42">
        <v>10.416195185964192</v>
      </c>
      <c r="N42">
        <v>100</v>
      </c>
      <c r="O42">
        <v>0.57099999999999995</v>
      </c>
      <c r="P42">
        <v>0.3</v>
      </c>
    </row>
    <row r="43" spans="1:16" x14ac:dyDescent="0.25">
      <c r="A43" s="126">
        <v>18</v>
      </c>
      <c r="B43">
        <v>1.0668</v>
      </c>
      <c r="C43">
        <v>1066.8</v>
      </c>
      <c r="D43" s="126">
        <v>100</v>
      </c>
      <c r="E43" s="126">
        <v>165</v>
      </c>
      <c r="F43">
        <v>0</v>
      </c>
      <c r="G43">
        <v>0.7</v>
      </c>
      <c r="H43">
        <v>-3.8540037440000008</v>
      </c>
      <c r="I43">
        <v>3.4479699999999998</v>
      </c>
      <c r="J43">
        <v>0.423146776</v>
      </c>
      <c r="K43">
        <v>1.0143153217868104</v>
      </c>
      <c r="L43">
        <v>5</v>
      </c>
      <c r="M43">
        <v>7.8162308768246405</v>
      </c>
      <c r="N43">
        <v>100</v>
      </c>
      <c r="O43">
        <v>0.57099999999999995</v>
      </c>
      <c r="P43">
        <v>0.3</v>
      </c>
    </row>
    <row r="44" spans="1:16" x14ac:dyDescent="0.25">
      <c r="A44" s="126">
        <v>19</v>
      </c>
      <c r="B44">
        <v>0.60960000000000003</v>
      </c>
      <c r="C44">
        <v>609.6</v>
      </c>
      <c r="D44" s="126">
        <v>150</v>
      </c>
      <c r="E44" s="126">
        <v>115</v>
      </c>
      <c r="F44">
        <v>-5</v>
      </c>
      <c r="G44">
        <v>0.6</v>
      </c>
      <c r="H44">
        <v>-3.2759735680000004</v>
      </c>
      <c r="I44">
        <v>2.9014699999999998</v>
      </c>
      <c r="J44">
        <v>0.55806387200000007</v>
      </c>
      <c r="K44">
        <v>0.95301621048434415</v>
      </c>
      <c r="L44">
        <v>1.8636637964233149</v>
      </c>
      <c r="M44">
        <v>-0.66048298424285967</v>
      </c>
      <c r="N44">
        <v>0.51660176371546651</v>
      </c>
      <c r="O44">
        <v>0.57099999999999995</v>
      </c>
      <c r="P44">
        <v>0.3</v>
      </c>
    </row>
    <row r="45" spans="1:16" x14ac:dyDescent="0.25">
      <c r="A45" s="126">
        <v>20</v>
      </c>
      <c r="B45">
        <v>0.60960000000000003</v>
      </c>
      <c r="C45">
        <v>609.6</v>
      </c>
      <c r="D45" s="126">
        <v>200</v>
      </c>
      <c r="E45" s="126">
        <v>135</v>
      </c>
      <c r="F45">
        <v>0</v>
      </c>
      <c r="G45">
        <v>1.5</v>
      </c>
      <c r="H45">
        <v>-2.7042235680000006</v>
      </c>
      <c r="I45">
        <v>2.3549699999999998</v>
      </c>
      <c r="J45">
        <v>0.67006387200000006</v>
      </c>
      <c r="K45">
        <v>1.3204791042383408</v>
      </c>
      <c r="L45">
        <v>5</v>
      </c>
      <c r="M45">
        <v>3.4619752070441425</v>
      </c>
      <c r="N45">
        <v>31.879883737745445</v>
      </c>
      <c r="O45">
        <v>0.57099999999999995</v>
      </c>
      <c r="P45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F00B-DD29-4618-B42E-32CB0FD54E88}">
  <dimension ref="A1:BQ86"/>
  <sheetViews>
    <sheetView tabSelected="1" topLeftCell="A19" zoomScale="55" zoomScaleNormal="55" workbookViewId="0">
      <selection activeCell="BQ46" sqref="A46:BQ86"/>
    </sheetView>
  </sheetViews>
  <sheetFormatPr defaultRowHeight="15" x14ac:dyDescent="0.25"/>
  <cols>
    <col min="3" max="3" width="15.28515625" customWidth="1"/>
  </cols>
  <sheetData>
    <row r="1" spans="1:69" ht="18" x14ac:dyDescent="0.25">
      <c r="A1" s="146" t="s">
        <v>87</v>
      </c>
      <c r="B1" s="146"/>
      <c r="C1" s="146"/>
      <c r="D1" s="146" t="s">
        <v>88</v>
      </c>
      <c r="E1" s="146"/>
      <c r="F1" s="146" t="s">
        <v>89</v>
      </c>
      <c r="G1" s="146"/>
      <c r="H1" s="146" t="s">
        <v>90</v>
      </c>
      <c r="I1" s="146" t="s">
        <v>91</v>
      </c>
      <c r="J1" t="s">
        <v>213</v>
      </c>
      <c r="O1" s="18" t="s">
        <v>214</v>
      </c>
      <c r="P1" s="147" t="s">
        <v>224</v>
      </c>
      <c r="Q1" s="147" t="s">
        <v>384</v>
      </c>
      <c r="W1" s="147" t="s">
        <v>385</v>
      </c>
      <c r="X1" s="147" t="s">
        <v>133</v>
      </c>
      <c r="Y1" s="147"/>
      <c r="Z1" s="147"/>
      <c r="AA1" s="147"/>
      <c r="AB1" s="147"/>
      <c r="AC1" s="147"/>
      <c r="AD1" s="147"/>
      <c r="AE1" s="147"/>
      <c r="AF1" s="147"/>
      <c r="AG1" s="147"/>
      <c r="AJ1" s="140" t="s">
        <v>387</v>
      </c>
      <c r="AK1" s="18" t="s">
        <v>238</v>
      </c>
      <c r="AN1" s="18" t="s">
        <v>371</v>
      </c>
      <c r="AO1" s="18" t="s">
        <v>372</v>
      </c>
      <c r="AP1" s="147" t="s">
        <v>373</v>
      </c>
      <c r="BM1" s="147" t="s">
        <v>19</v>
      </c>
      <c r="BN1" s="17" t="s">
        <v>382</v>
      </c>
      <c r="BO1" s="141" t="s">
        <v>383</v>
      </c>
    </row>
    <row r="2" spans="1:69" ht="15.75" x14ac:dyDescent="0.25">
      <c r="A2" s="146" t="s">
        <v>38</v>
      </c>
      <c r="B2" s="146" t="s">
        <v>400</v>
      </c>
      <c r="C2" s="146" t="s">
        <v>431</v>
      </c>
      <c r="D2" s="146" t="s">
        <v>288</v>
      </c>
      <c r="E2" s="146" t="s">
        <v>1</v>
      </c>
      <c r="F2" s="146" t="s">
        <v>289</v>
      </c>
      <c r="G2" s="146" t="s">
        <v>2</v>
      </c>
      <c r="H2" s="146" t="s">
        <v>124</v>
      </c>
      <c r="I2" s="146" t="s">
        <v>125</v>
      </c>
      <c r="J2" s="146" t="s">
        <v>15</v>
      </c>
      <c r="K2" s="146" t="s">
        <v>4</v>
      </c>
      <c r="L2" s="146" t="s">
        <v>5</v>
      </c>
      <c r="M2" s="146" t="s">
        <v>3</v>
      </c>
      <c r="N2" s="146" t="s">
        <v>16</v>
      </c>
      <c r="O2" s="18" t="s">
        <v>17</v>
      </c>
      <c r="P2" s="147" t="s">
        <v>0</v>
      </c>
      <c r="Q2" s="147" t="s">
        <v>86</v>
      </c>
      <c r="R2" t="s">
        <v>84</v>
      </c>
      <c r="S2" t="s">
        <v>85</v>
      </c>
      <c r="T2" t="s">
        <v>83</v>
      </c>
      <c r="U2" t="s">
        <v>82</v>
      </c>
      <c r="V2" t="s">
        <v>406</v>
      </c>
      <c r="W2" s="147" t="s">
        <v>287</v>
      </c>
      <c r="X2" s="147" t="s">
        <v>7</v>
      </c>
      <c r="Y2" s="147" t="s">
        <v>429</v>
      </c>
      <c r="Z2" s="147" t="s">
        <v>430</v>
      </c>
      <c r="AA2" s="146" t="s">
        <v>14</v>
      </c>
      <c r="AB2" s="146" t="s">
        <v>12</v>
      </c>
      <c r="AC2" s="146" t="s">
        <v>13</v>
      </c>
      <c r="AD2" s="146" t="s">
        <v>425</v>
      </c>
      <c r="AE2" s="146" t="s">
        <v>426</v>
      </c>
      <c r="AF2" s="146" t="s">
        <v>427</v>
      </c>
      <c r="AG2" s="146" t="s">
        <v>428</v>
      </c>
      <c r="AH2" t="s">
        <v>11</v>
      </c>
      <c r="AI2" t="s">
        <v>388</v>
      </c>
      <c r="AJ2" s="140" t="s">
        <v>271</v>
      </c>
      <c r="AK2" s="18" t="s">
        <v>6</v>
      </c>
      <c r="AL2" t="s">
        <v>389</v>
      </c>
      <c r="AM2" t="s">
        <v>390</v>
      </c>
      <c r="AN2" s="18" t="s">
        <v>272</v>
      </c>
      <c r="AO2" s="18" t="s">
        <v>273</v>
      </c>
      <c r="AP2" s="147" t="s">
        <v>286</v>
      </c>
      <c r="AQ2" s="146" t="s">
        <v>18</v>
      </c>
      <c r="AR2" s="146" t="s">
        <v>104</v>
      </c>
      <c r="AS2" s="146" t="s">
        <v>105</v>
      </c>
      <c r="AT2" s="146" t="s">
        <v>20</v>
      </c>
      <c r="AU2" s="146" t="s">
        <v>21</v>
      </c>
      <c r="AV2" s="146" t="s">
        <v>22</v>
      </c>
      <c r="AW2" s="146" t="s">
        <v>23</v>
      </c>
      <c r="AX2" s="146" t="s">
        <v>24</v>
      </c>
      <c r="AY2" s="146" t="s">
        <v>25</v>
      </c>
      <c r="AZ2" s="146" t="s">
        <v>26</v>
      </c>
      <c r="BA2" s="146" t="s">
        <v>27</v>
      </c>
      <c r="BB2" s="146" t="s">
        <v>28</v>
      </c>
      <c r="BC2" t="s">
        <v>374</v>
      </c>
      <c r="BD2" t="s">
        <v>375</v>
      </c>
      <c r="BE2" t="s">
        <v>376</v>
      </c>
      <c r="BF2" t="s">
        <v>377</v>
      </c>
      <c r="BG2" t="s">
        <v>378</v>
      </c>
      <c r="BH2" t="s">
        <v>379</v>
      </c>
      <c r="BI2" t="s">
        <v>380</v>
      </c>
      <c r="BJ2" t="s">
        <v>381</v>
      </c>
      <c r="BK2" t="s">
        <v>404</v>
      </c>
      <c r="BL2" t="s">
        <v>405</v>
      </c>
      <c r="BM2" s="147" t="s">
        <v>19</v>
      </c>
      <c r="BN2" s="17" t="s">
        <v>284</v>
      </c>
      <c r="BO2" s="141" t="s">
        <v>8</v>
      </c>
      <c r="BP2" t="s">
        <v>290</v>
      </c>
      <c r="BQ2" t="s">
        <v>291</v>
      </c>
    </row>
    <row r="3" spans="1:69" ht="15.75" x14ac:dyDescent="0.25">
      <c r="A3" s="146">
        <v>1</v>
      </c>
      <c r="B3" s="146">
        <v>5</v>
      </c>
      <c r="C3" s="146" t="str">
        <f>IF(AND(B3&gt;=5,B3&lt;85),"SSTens_5to85",IF(AND(B3&gt;=85,B3&lt;=90),"SSTens_85to90"))</f>
        <v>SSTens_5to85</v>
      </c>
      <c r="D3">
        <v>0.20319999999999999</v>
      </c>
      <c r="E3">
        <f t="shared" ref="E3:E22" si="0">D3*1000</f>
        <v>203.2</v>
      </c>
      <c r="F3">
        <v>5.5599999999999998E-3</v>
      </c>
      <c r="G3">
        <f t="shared" ref="G3:G22" si="1">F3*1000</f>
        <v>5.56</v>
      </c>
      <c r="H3" s="4">
        <f t="shared" ref="H3:H22" si="2">D3/F3</f>
        <v>36.546762589928058</v>
      </c>
      <c r="I3" s="146">
        <v>15</v>
      </c>
      <c r="J3" s="146" t="s">
        <v>117</v>
      </c>
      <c r="K3" s="146">
        <f>IF(J3="Grade-B",3,IF(J3="X-42",3,IF(J3="X-52",8,IF(J3="X-60",8,IF(J3="X-70",14,IF(J3="X-80",15,8))))))</f>
        <v>8</v>
      </c>
      <c r="L3" s="146">
        <f>IF(J3="Grade-B",8,IF(J3="X-42",9,IF(J3="X-52",10,IF(J3="X-60",12,IF(J3="X-70",15,IF(J3="X-80",20,10))))))</f>
        <v>10</v>
      </c>
      <c r="M3" s="146">
        <f>IF(J3="Grade-B",241,IF(J3="X-42",290,IF(J3="X-52",359,IF(J3="X-60",414,IF(J3="X-70",483,IF(J3="X-80",552,359))))))*1000</f>
        <v>359000</v>
      </c>
      <c r="N3" s="146">
        <f>IF(J3="Grade-B",344,IF(J3="X-42",414,IF(J3="X-52",455,IF(J3="X-60",517,IF(J3="X-70",565,IF(J3="X-80",625,M3*1.2/1000))))))*1000</f>
        <v>455000</v>
      </c>
      <c r="O3" s="146">
        <f>N3/200000000*(1+K3/(1+L3)*(N3/M3)^L3)*100</f>
        <v>1.9969902892117808</v>
      </c>
      <c r="P3" t="s">
        <v>9</v>
      </c>
      <c r="Q3" t="s">
        <v>267</v>
      </c>
      <c r="R3">
        <f>IF(Q3="medium dense",18,IF(Q3="dense",18.5,IF(Q3="very dense",19,IF(Q3="soft",17.5,IF(Q3="medium stiff",18,IF(Q3="stiff",18.5,0))))))</f>
        <v>18</v>
      </c>
      <c r="S3">
        <f>IF(Q3="medium dense",37,IF(Q3="dense",40,IF(Q3="very dense",43,0)))</f>
        <v>37</v>
      </c>
      <c r="T3">
        <f>IF(Q3="soft",37.5,IF(Q3="medium stiff",75,IF(Q3="stiff",125,0)))</f>
        <v>0</v>
      </c>
      <c r="U3">
        <f>IF(Q3="soft",1.1,IF(Q3="medium stiff",0.72,IF(Q3="stiff",0.4,0)))</f>
        <v>0</v>
      </c>
      <c r="V3">
        <v>0.9</v>
      </c>
      <c r="W3" s="146">
        <v>1</v>
      </c>
      <c r="X3">
        <f>IF(P3="clay",U3*T3,IF(P3="sand",W3*R3*TAN(RADIANS(V3*S3))))*PI()*D3</f>
        <v>7.5479720641402661</v>
      </c>
      <c r="Y3">
        <f>IF(X3&lt;70,1,0)</f>
        <v>1</v>
      </c>
      <c r="Z3">
        <f>IF(H3&lt;100,1,0)</f>
        <v>1</v>
      </c>
      <c r="AA3" s="146">
        <f>IF(AND(B3&gt;=5,B3&lt;45),-0.05402*(B3-45)-1.82829,IF(AND(B3&gt;=45,B3&lt;85),0.00735*(B3-75)-1.60779))</f>
        <v>0.33251000000000008</v>
      </c>
      <c r="AB3" s="146">
        <f>IF(AND(B3&gt;=5,B3&lt;45),0.01347*(B3-45)+0.37664,IF(AND(B3&gt;=45,B3&lt;85),0.00484*(B3-75)+0.52187))</f>
        <v>-0.16215999999999997</v>
      </c>
      <c r="AC3" s="146">
        <f>IF(AND(B3&gt;=5,B3&lt;45),-0.00301*(B3-45)-0.01591,IF(AND(B3&gt;=45,B3&lt;85),-0.02185*(B3-75)-0.67156))</f>
        <v>0.10449</v>
      </c>
      <c r="AD3" s="146">
        <f>IF(AND(B3&gt;=5,B3&lt;45),0.02182*(B3-45)+0.49488,IF(AND(B3&gt;=45,B3&lt;85),0.05619*(B3-75)+2.18087))</f>
        <v>-0.37792000000000003</v>
      </c>
      <c r="AE3" s="146">
        <f>IF(AND(B3&gt;=5,B3&lt;45),0.02436*(B3-45)+0.47831,IF(AND(B3&gt;=45,B3&lt;85),0.0643*(B3-75)+2.40733))</f>
        <v>-0.49608999999999992</v>
      </c>
      <c r="AF3" s="146">
        <f>IF(AND(B3&gt;=5,B3&lt;45),-0.00001*(B3-45)-0.00165,IF(AND(B3&gt;=45,B3&lt;85),-0.00153))</f>
        <v>-1.25E-3</v>
      </c>
      <c r="AG3" s="146">
        <f>IF(AND(B3&gt;=5,B3&lt;45),0.00228*(B3-45)+0.10021,IF(AND(B3&gt;=45,B3&lt;85),0.00144*(B3-75)+0.14358))</f>
        <v>9.0099999999999902E-3</v>
      </c>
      <c r="AH3">
        <f>AC3*LN(I3)+AD3*Y3+AE3*(1-Y3)+AF3*Z3*(H3-100)+AG3*(1-Z3)</f>
        <v>-1.563928772424017E-2</v>
      </c>
      <c r="AJ3">
        <f>AA3+AH3*LN(O3)+AB3*LN(I3)</f>
        <v>-0.11744419621019414</v>
      </c>
      <c r="AK3" s="146">
        <v>0.75</v>
      </c>
      <c r="AN3">
        <f>IF(AK3&lt;EXP(AJ3),1,0)</f>
        <v>1</v>
      </c>
      <c r="AO3">
        <f>IF(I3&lt;50,1,0)</f>
        <v>1</v>
      </c>
      <c r="AP3">
        <f>IF(P3="sand",1,0)</f>
        <v>1</v>
      </c>
      <c r="AQ3" s="146">
        <f>IF(AND(B3&gt;=5,B3&lt;45),-0.02174*(B3-45)+0.16235,IF(AND(B3&gt;=45,B3&lt;85),-0.02787*(B3-75)-0.67388))</f>
        <v>1.0319499999999999</v>
      </c>
      <c r="AR3" s="146">
        <f>IF(AND(B3&gt;=5,B3&lt;45),0.00203*(B3-45)+0.24407,IF(AND(B3&gt;=45,B3&lt;85),0.00361*(B3-75)+0.35249))</f>
        <v>0.16287000000000001</v>
      </c>
      <c r="AS3" s="146">
        <f>IF(AND(B3&gt;=5,B3&lt;45),-0.02801*(B3-45)+1.64437,IF(AND(B3&gt;=45,B3&lt;85),0.00794*(B3-75)+1.8827))</f>
        <v>2.7647700000000004</v>
      </c>
      <c r="AT3" s="146">
        <f>IF(AND(B3&gt;=5,B3&lt;45),-0.0001*(B3-45)-0.00387,IF(AND(B3&gt;=45,B3&lt;85),-0.00002*(B3-75)-0.00456))</f>
        <v>1.2999999999999991E-4</v>
      </c>
      <c r="AU3" s="146">
        <f>IF(AND(B3&gt;=5,B3&lt;45),-0.00114*(B3-45)+0.00514,IF(AND(B3&gt;=45,B3&lt;85),0.00057*(B3-75)+0.02215))</f>
        <v>5.074E-2</v>
      </c>
      <c r="AV3" s="146">
        <f>IF(AND(B3&gt;=5,B3&lt;45),0.01436*(B3-45)-0.12124,IF(AND(B3&gt;=45,B3&lt;85),-0.00844*(B3-75)-0.37439))</f>
        <v>-0.69564000000000004</v>
      </c>
      <c r="AW3" s="146">
        <f>IF(AND(B3&gt;=5,B3&lt;45),0.00002*(B3-45)+0.00092,IF(AND(B3&gt;=45,B3&lt;85),0.00002*(B3-75)+0.00156))</f>
        <v>1.1999999999999999E-4</v>
      </c>
      <c r="AX3" s="146">
        <f>IF(AND(B3&gt;=5,B3&lt;45),0.01326*(B3-45)+0.97745,IF(AND(B3&gt;=45,B3&lt;85),-0.00799*(B3-75)+0.73788))</f>
        <v>0.44705000000000006</v>
      </c>
      <c r="AY3" s="146">
        <f>IF(AND(B3&gt;=5,B3&lt;45),0.00061*(B3-45)+0.00602,IF(AND(B3&gt;=45,B3&lt;85),-0.00081*(B3-75)-0.01826))</f>
        <v>-1.8379999999999997E-2</v>
      </c>
      <c r="AZ3" s="146">
        <f>IF(AND(B3&gt;=5,B3&lt;45),-0.00728*(B3-45)-0.06927,IF(AND(B3&gt;=45,B3&lt;85),0.00522*(B3-75)+0.08748))</f>
        <v>0.22193000000000002</v>
      </c>
      <c r="BA3" s="146">
        <f>IF(AND(B3&gt;=5,B3&lt;45),0.0148*(B3-45)+0.46008,IF(AND(B3&gt;=45,B3&lt;85),-0.00924*(B3-75)+0.18293))</f>
        <v>-0.13192000000000009</v>
      </c>
      <c r="BB3" s="146">
        <f>IF(AND(B3&gt;=5,B3&lt;45),0.00272*(B3-45)+0.11565,IF(AND(B3&gt;=45,B3&lt;85),0.00122*(B3-75)+0.15234))</f>
        <v>6.849999999999995E-3</v>
      </c>
      <c r="BK3">
        <f>AN3*(AT3+AU3*X3+AV3*AO3*(I3-50)+AW3*(1-AO3)+AX3*H3)</f>
        <v>41.068744318361823</v>
      </c>
      <c r="BL3">
        <f>(1-AN3)*(AY3+AZ3*AO3*(I3-50)+BA3*(1-AO3)+BB3*LN(O3))</f>
        <v>0</v>
      </c>
      <c r="BM3">
        <f>BK3+BL3</f>
        <v>41.068744318361823</v>
      </c>
      <c r="BN3">
        <f>AQ3+BM3*LN(AK3/EXP(AJ3))+AR3*LN(H3)+AP3*AS3*LN(X3)</f>
        <v>0.21496830266459721</v>
      </c>
      <c r="BO3" s="142">
        <f>MIN(EXP(BN3),100)</f>
        <v>1.2398225972705117</v>
      </c>
      <c r="BP3" s="146">
        <f>IF(AND(B3&gt;=5,B3&lt;45),0.00302*(B3-45)+0.53947,IF(AND(B3&gt;=45,B3&lt;85),0.00428*(B3-75)+0.66796))</f>
        <v>0.41866999999999999</v>
      </c>
      <c r="BQ3">
        <v>0.3</v>
      </c>
    </row>
    <row r="4" spans="1:69" ht="15.75" x14ac:dyDescent="0.25">
      <c r="A4" s="146">
        <v>2</v>
      </c>
      <c r="B4" s="146">
        <v>5</v>
      </c>
      <c r="C4" s="146" t="str">
        <f t="shared" ref="C4:C22" si="3">IF(AND(B4&gt;=5,B4&lt;85),"SSTens_5to85",IF(AND(B4&gt;=85,B4&lt;=90),"SSTens_85to90"))</f>
        <v>SSTens_5to85</v>
      </c>
      <c r="D4">
        <v>0.30480000000000002</v>
      </c>
      <c r="E4">
        <f t="shared" si="0"/>
        <v>304.8</v>
      </c>
      <c r="F4">
        <v>7.1399999999999996E-3</v>
      </c>
      <c r="G4">
        <f t="shared" si="1"/>
        <v>7.14</v>
      </c>
      <c r="H4" s="4">
        <f t="shared" si="2"/>
        <v>42.689075630252105</v>
      </c>
      <c r="I4" s="146">
        <v>30</v>
      </c>
      <c r="J4" s="146" t="s">
        <v>118</v>
      </c>
      <c r="K4" s="146">
        <f t="shared" ref="K4:K22" si="4">IF(J4="Grade-B",3,IF(J4="X-42",3,IF(J4="X-52",8,IF(J4="X-60",8,IF(J4="X-70",14,IF(J4="X-80",15,8))))))</f>
        <v>8</v>
      </c>
      <c r="L4" s="146">
        <f t="shared" ref="L4:L22" si="5">IF(J4="Grade-B",8,IF(J4="X-42",9,IF(J4="X-52",10,IF(J4="X-60",12,IF(J4="X-70",15,IF(J4="X-80",20,10))))))</f>
        <v>12</v>
      </c>
      <c r="M4" s="146">
        <f t="shared" ref="M4:M22" si="6">IF(J4="Grade-B",241,IF(J4="X-42",290,IF(J4="X-52",359,IF(J4="X-60",414,IF(J4="X-70",483,IF(J4="X-80",552,359))))))*1000</f>
        <v>414000</v>
      </c>
      <c r="N4" s="146">
        <f t="shared" ref="N4:N22" si="7">IF(J4="Grade-B",344,IF(J4="X-42",414,IF(J4="X-52",455,IF(J4="X-60",517,IF(J4="X-70",565,IF(J4="X-80",625,M4*1.2/1000))))))*1000</f>
        <v>517000</v>
      </c>
      <c r="O4" s="146">
        <f t="shared" ref="O4:O22" si="8">N4/200000000*(1+K4/(1+L4)*(N4/M4)^L4)*100</f>
        <v>2.5466769467238102</v>
      </c>
      <c r="P4" t="s">
        <v>9</v>
      </c>
      <c r="Q4" t="s">
        <v>267</v>
      </c>
      <c r="R4">
        <f t="shared" ref="R4:R22" si="9">IF(Q4="medium dense",18,IF(Q4="dense",18.5,IF(Q4="very dense",19,IF(Q4="soft",17.5,IF(Q4="medium stiff",18,IF(Q4="stiff",18.5,0))))))</f>
        <v>18</v>
      </c>
      <c r="S4">
        <f t="shared" ref="S4:S22" si="10">IF(Q4="medium dense",37,IF(Q4="dense",40,IF(Q4="very dense",43,0)))</f>
        <v>37</v>
      </c>
      <c r="T4">
        <f t="shared" ref="T4:T22" si="11">IF(Q4="soft",37.5,IF(Q4="medium stiff",75,IF(Q4="stiff",125,0)))</f>
        <v>0</v>
      </c>
      <c r="U4">
        <f t="shared" ref="U4:U22" si="12">IF(Q4="soft",1.1,IF(Q4="medium stiff",0.72,IF(Q4="stiff",0.4,0)))</f>
        <v>0</v>
      </c>
      <c r="V4">
        <v>0.9</v>
      </c>
      <c r="W4" s="146">
        <v>2</v>
      </c>
      <c r="X4">
        <f t="shared" ref="X4:X22" si="13">IF(P4="clay",U4*T4,IF(P4="sand",W4*R4*TAN(RADIANS(V4*S4))))*PI()*D4</f>
        <v>22.6439161924208</v>
      </c>
      <c r="Y4">
        <f t="shared" ref="Y4:Y22" si="14">IF(X4&lt;70,1,0)</f>
        <v>1</v>
      </c>
      <c r="Z4">
        <f t="shared" ref="Z4:Z22" si="15">IF(H4&lt;100,1,0)</f>
        <v>1</v>
      </c>
      <c r="AA4" s="146">
        <f>IF(AND(B4&gt;=5,B4&lt;45),-0.05402*(B4-45)-1.82829,IF(AND(B4&gt;=45,B4&lt;85),0.00735*(B4-75)-1.60779))</f>
        <v>0.33251000000000008</v>
      </c>
      <c r="AB4" s="146">
        <f>IF(AND(B4&gt;=5,B4&lt;45),0.01347*(B4-45)+0.37664,IF(AND(B4&gt;=45,B4&lt;85),0.00484*(B4-75)+0.52187))</f>
        <v>-0.16215999999999997</v>
      </c>
      <c r="AC4" s="146">
        <f>IF(AND(B4&gt;=5,B4&lt;45),-0.00301*(B4-45)-0.01591,IF(AND(B4&gt;=45,B4&lt;85),-0.02185*(B4-75)-0.67156))</f>
        <v>0.10449</v>
      </c>
      <c r="AD4" s="146">
        <f>IF(AND(B4&gt;=5,B4&lt;45),0.02182*(B4-45)+0.49488,IF(AND(B4&gt;=45,B4&lt;85),0.05619*(B4-75)+2.18087))</f>
        <v>-0.37792000000000003</v>
      </c>
      <c r="AE4" s="146">
        <f>IF(AND(B4&gt;=5,B4&lt;45),0.02436*(B4-45)+0.47831,IF(AND(B4&gt;=45,B4&lt;85),0.0643*(B4-75)+2.40733))</f>
        <v>-0.49608999999999992</v>
      </c>
      <c r="AF4" s="146">
        <f>IF(AND(B4&gt;=5,B4&lt;45),-0.00001*(B4-45)-0.00165,IF(AND(B4&gt;=45,B4&lt;85),-0.00153))</f>
        <v>-1.25E-3</v>
      </c>
      <c r="AG4" s="146">
        <f>IF(AND(B4&gt;=5,B4&lt;45),0.00228*(B4-45)+0.10021,IF(AND(B4&gt;=45,B4&lt;85),0.00144*(B4-75)+0.14358))</f>
        <v>9.0099999999999902E-3</v>
      </c>
      <c r="AH4">
        <f>AC4*LN(I4)+AD4*Y4+AE4*(1-Y4)+AF4*Z4*(H4-100)+AG4*(1-Z4)</f>
        <v>4.9109769872063475E-2</v>
      </c>
      <c r="AJ4">
        <f>AA4+AH4*LN(O4)+AB4*LN(I4)</f>
        <v>-0.17312087749533284</v>
      </c>
      <c r="AK4" s="146">
        <v>0.75</v>
      </c>
      <c r="AN4">
        <f>IF(AK4&lt;EXP(AJ4),1,0)</f>
        <v>1</v>
      </c>
      <c r="AO4">
        <f>IF(I4&lt;50,1,0)</f>
        <v>1</v>
      </c>
      <c r="AP4">
        <f>IF(P4="sand",1,0)</f>
        <v>1</v>
      </c>
      <c r="AQ4" s="146">
        <f>IF(AND(B4&gt;=5,B4&lt;45),-0.02174*(B4-45)+0.16235,IF(AND(B4&gt;=45,B4&lt;85),-0.02787*(B4-75)-0.67388))</f>
        <v>1.0319499999999999</v>
      </c>
      <c r="AR4" s="146">
        <f>IF(AND(B4&gt;=5,B4&lt;45),0.00203*(B4-45)+0.24407,IF(AND(B4&gt;=45,B4&lt;85),0.00361*(B4-75)+0.35249))</f>
        <v>0.16287000000000001</v>
      </c>
      <c r="AS4" s="146">
        <f>IF(AND(B4&gt;=5,B4&lt;45),-0.02801*(B4-45)+1.64437,IF(AND(B4&gt;=45,B4&lt;85),0.00794*(B4-75)+1.8827))</f>
        <v>2.7647700000000004</v>
      </c>
      <c r="AT4" s="146">
        <f>IF(AND(B4&gt;=5,B4&lt;45),-0.0001*(B4-45)-0.00387,IF(AND(B4&gt;=45,B4&lt;85),-0.00002*(B4-75)-0.00456))</f>
        <v>1.2999999999999991E-4</v>
      </c>
      <c r="AU4" s="146">
        <f>IF(AND(B4&gt;=5,B4&lt;45),-0.00114*(B4-45)+0.00514,IF(AND(B4&gt;=45,B4&lt;85),0.00057*(B4-75)+0.02215))</f>
        <v>5.074E-2</v>
      </c>
      <c r="AV4" s="146">
        <f>IF(AND(B4&gt;=5,B4&lt;45),0.01436*(B4-45)-0.12124,IF(AND(B4&gt;=45,B4&lt;85),-0.00844*(B4-75)-0.37439))</f>
        <v>-0.69564000000000004</v>
      </c>
      <c r="AW4" s="146">
        <f>IF(AND(B4&gt;=5,B4&lt;45),0.00002*(B4-45)+0.00092,IF(AND(B4&gt;=45,B4&lt;85),0.00002*(B4-75)+0.00156))</f>
        <v>1.1999999999999999E-4</v>
      </c>
      <c r="AX4" s="146">
        <f>IF(AND(B4&gt;=5,B4&lt;45),0.01326*(B4-45)+0.97745,IF(AND(B4&gt;=45,B4&lt;85),-0.00799*(B4-75)+0.73788))</f>
        <v>0.44705000000000006</v>
      </c>
      <c r="AY4" s="146">
        <f>IF(AND(B4&gt;=5,B4&lt;45),0.00061*(B4-45)+0.00602,IF(AND(B4&gt;=45,B4&lt;85),-0.00081*(B4-75)-0.01826))</f>
        <v>-1.8379999999999997E-2</v>
      </c>
      <c r="AZ4" s="146">
        <f>IF(AND(B4&gt;=5,B4&lt;45),-0.00728*(B4-45)-0.06927,IF(AND(B4&gt;=45,B4&lt;85),0.00522*(B4-75)+0.08748))</f>
        <v>0.22193000000000002</v>
      </c>
      <c r="BA4" s="146">
        <f>IF(AND(B4&gt;=5,B4&lt;45),0.0148*(B4-45)+0.46008,IF(AND(B4&gt;=45,B4&lt;85),-0.00924*(B4-75)+0.18293))</f>
        <v>-0.13192000000000009</v>
      </c>
      <c r="BB4" s="146">
        <f>IF(AND(B4&gt;=5,B4&lt;45),0.00272*(B4-45)+0.11565,IF(AND(B4&gt;=45,B4&lt;85),0.00122*(B4-75)+0.15234))</f>
        <v>6.849999999999995E-3</v>
      </c>
      <c r="BK4">
        <f>AN4*(AT4+AU4*X4+AV4*AO4*(I4-50)+AW4*(1-AO4)+AX4*H4)</f>
        <v>34.14603356810764</v>
      </c>
      <c r="BL4">
        <f>(1-AN4)*(AY4+AZ4*AO4*(I4-50)+BA4*(1-AO4)+BB4*LN(O4))</f>
        <v>0</v>
      </c>
      <c r="BM4">
        <f t="shared" ref="BM4:BM22" si="16">BK4+BL4</f>
        <v>34.14603356810764</v>
      </c>
      <c r="BN4">
        <f>AQ4+BM4*LN(AK4/EXP(AJ4))+AR4*LN(H4)+AP4*AS4*LN(X4)</f>
        <v>6.357325930252701</v>
      </c>
      <c r="BO4" s="142">
        <f t="shared" ref="BO4:BO22" si="17">MIN(EXP(BN4),100)</f>
        <v>100</v>
      </c>
      <c r="BP4" s="146">
        <f>IF(AND(B4&gt;=5,B4&lt;45),0.00302*(B4-45)+0.53947,IF(AND(B4&gt;=45,B4&lt;85),0.00428*(B4-75)+0.66796))</f>
        <v>0.41866999999999999</v>
      </c>
      <c r="BQ4">
        <v>0.3</v>
      </c>
    </row>
    <row r="5" spans="1:69" ht="15.75" x14ac:dyDescent="0.25">
      <c r="A5" s="146">
        <v>3</v>
      </c>
      <c r="B5" s="146">
        <v>15</v>
      </c>
      <c r="C5" s="146" t="str">
        <f t="shared" si="3"/>
        <v>SSTens_5to85</v>
      </c>
      <c r="D5">
        <v>0.40639999999999998</v>
      </c>
      <c r="E5">
        <f t="shared" si="0"/>
        <v>406.4</v>
      </c>
      <c r="F5">
        <v>9.5299999999999985E-3</v>
      </c>
      <c r="G5">
        <f t="shared" si="1"/>
        <v>9.5299999999999994</v>
      </c>
      <c r="H5" s="4">
        <f t="shared" si="2"/>
        <v>42.644281217208821</v>
      </c>
      <c r="I5" s="146">
        <v>50</v>
      </c>
      <c r="J5" s="146" t="s">
        <v>119</v>
      </c>
      <c r="K5" s="146">
        <f t="shared" si="4"/>
        <v>14</v>
      </c>
      <c r="L5" s="146">
        <f t="shared" si="5"/>
        <v>15</v>
      </c>
      <c r="M5" s="146">
        <f t="shared" si="6"/>
        <v>483000</v>
      </c>
      <c r="N5" s="146">
        <f t="shared" si="7"/>
        <v>565000</v>
      </c>
      <c r="O5" s="146">
        <f t="shared" si="8"/>
        <v>2.8799444073326219</v>
      </c>
      <c r="P5" t="s">
        <v>9</v>
      </c>
      <c r="Q5" t="s">
        <v>267</v>
      </c>
      <c r="R5">
        <f t="shared" si="9"/>
        <v>18</v>
      </c>
      <c r="S5">
        <f t="shared" si="10"/>
        <v>37</v>
      </c>
      <c r="T5">
        <f t="shared" si="11"/>
        <v>0</v>
      </c>
      <c r="U5">
        <f t="shared" si="12"/>
        <v>0</v>
      </c>
      <c r="V5">
        <v>0.9</v>
      </c>
      <c r="W5" s="146">
        <v>1</v>
      </c>
      <c r="X5">
        <f t="shared" si="13"/>
        <v>15.095944128280532</v>
      </c>
      <c r="Y5">
        <f t="shared" si="14"/>
        <v>1</v>
      </c>
      <c r="Z5">
        <f t="shared" si="15"/>
        <v>1</v>
      </c>
      <c r="AA5" s="146">
        <f>IF(AND(B5&gt;=5,B5&lt;45),-0.05402*(B5-45)-1.82829,IF(AND(B5&gt;=45,B5&lt;85),0.00735*(B5-75)-1.60779))</f>
        <v>-0.20768999999999993</v>
      </c>
      <c r="AB5" s="146">
        <f>IF(AND(B5&gt;=5,B5&lt;45),0.01347*(B5-45)+0.37664,IF(AND(B5&gt;=45,B5&lt;85),0.00484*(B5-75)+0.52187))</f>
        <v>-2.7459999999999984E-2</v>
      </c>
      <c r="AC5" s="146">
        <f>IF(AND(B5&gt;=5,B5&lt;45),-0.00301*(B5-45)-0.01591,IF(AND(B5&gt;=45,B5&lt;85),-0.02185*(B5-75)-0.67156))</f>
        <v>7.4390000000000012E-2</v>
      </c>
      <c r="AD5" s="146">
        <f>IF(AND(B5&gt;=5,B5&lt;45),0.02182*(B5-45)+0.49488,IF(AND(B5&gt;=45,B5&lt;85),0.05619*(B5-75)+2.18087))</f>
        <v>-0.15971999999999997</v>
      </c>
      <c r="AE5" s="146">
        <f>IF(AND(B5&gt;=5,B5&lt;45),0.02436*(B5-45)+0.47831,IF(AND(B5&gt;=45,B5&lt;85),0.0643*(B5-75)+2.40733))</f>
        <v>-0.25248999999999999</v>
      </c>
      <c r="AF5" s="146">
        <f>IF(AND(B5&gt;=5,B5&lt;45),-0.00001*(B5-45)-0.00165,IF(AND(B5&gt;=45,B5&lt;85),-0.00153))</f>
        <v>-1.3500000000000001E-3</v>
      </c>
      <c r="AG5" s="146">
        <f>IF(AND(B5&gt;=5,B5&lt;45),0.00228*(B5-45)+0.10021,IF(AND(B5&gt;=45,B5&lt;85),0.00144*(B5-75)+0.14358))</f>
        <v>3.1809999999999991E-2</v>
      </c>
      <c r="AH5">
        <f>AC5*LN(I5)+AD5*Y5+AE5*(1-Y5)+AF5*Z5*(H5-100)+AG5*(1-Z5)</f>
        <v>0.20872561173056797</v>
      </c>
      <c r="AJ5">
        <f>AA5+AH5*LN(O5)+AB5*LN(I5)</f>
        <v>-9.4330254571742558E-2</v>
      </c>
      <c r="AK5" s="146">
        <v>0.75</v>
      </c>
      <c r="AN5">
        <f>IF(AK5&lt;EXP(AJ5),1,0)</f>
        <v>1</v>
      </c>
      <c r="AO5">
        <f>IF(I5&lt;50,1,0)</f>
        <v>0</v>
      </c>
      <c r="AP5">
        <f>IF(P5="sand",1,0)</f>
        <v>1</v>
      </c>
      <c r="AQ5" s="146">
        <f>IF(AND(B5&gt;=5,B5&lt;45),-0.02174*(B5-45)+0.16235,IF(AND(B5&gt;=45,B5&lt;85),-0.02787*(B5-75)-0.67388))</f>
        <v>0.81455</v>
      </c>
      <c r="AR5" s="146">
        <f>IF(AND(B5&gt;=5,B5&lt;45),0.00203*(B5-45)+0.24407,IF(AND(B5&gt;=45,B5&lt;85),0.00361*(B5-75)+0.35249))</f>
        <v>0.18317</v>
      </c>
      <c r="AS5" s="146">
        <f>IF(AND(B5&gt;=5,B5&lt;45),-0.02801*(B5-45)+1.64437,IF(AND(B5&gt;=45,B5&lt;85),0.00794*(B5-75)+1.8827))</f>
        <v>2.4846700000000004</v>
      </c>
      <c r="AT5" s="146">
        <f>IF(AND(B5&gt;=5,B5&lt;45),-0.0001*(B5-45)-0.00387,IF(AND(B5&gt;=45,B5&lt;85),-0.00002*(B5-75)-0.00456))</f>
        <v>-8.7000000000000011E-4</v>
      </c>
      <c r="AU5" s="146">
        <f>IF(AND(B5&gt;=5,B5&lt;45),-0.00114*(B5-45)+0.00514,IF(AND(B5&gt;=45,B5&lt;85),0.00057*(B5-75)+0.02215))</f>
        <v>3.934E-2</v>
      </c>
      <c r="AV5" s="146">
        <f>IF(AND(B5&gt;=5,B5&lt;45),0.01436*(B5-45)-0.12124,IF(AND(B5&gt;=45,B5&lt;85),-0.00844*(B5-75)-0.37439))</f>
        <v>-0.55203999999999998</v>
      </c>
      <c r="AW5" s="146">
        <f>IF(AND(B5&gt;=5,B5&lt;45),0.00002*(B5-45)+0.00092,IF(AND(B5&gt;=45,B5&lt;85),0.00002*(B5-75)+0.00156))</f>
        <v>3.1999999999999997E-4</v>
      </c>
      <c r="AX5" s="146">
        <f>IF(AND(B5&gt;=5,B5&lt;45),0.01326*(B5-45)+0.97745,IF(AND(B5&gt;=45,B5&lt;85),-0.00799*(B5-75)+0.73788))</f>
        <v>0.57965</v>
      </c>
      <c r="AY5" s="146">
        <f>IF(AND(B5&gt;=5,B5&lt;45),0.00061*(B5-45)+0.00602,IF(AND(B5&gt;=45,B5&lt;85),-0.00081*(B5-75)-0.01826))</f>
        <v>-1.2279999999999999E-2</v>
      </c>
      <c r="AZ5" s="146">
        <f>IF(AND(B5&gt;=5,B5&lt;45),-0.00728*(B5-45)-0.06927,IF(AND(B5&gt;=45,B5&lt;85),0.00522*(B5-75)+0.08748))</f>
        <v>0.14913000000000001</v>
      </c>
      <c r="BA5" s="146">
        <f>IF(AND(B5&gt;=5,B5&lt;45),0.0148*(B5-45)+0.46008,IF(AND(B5&gt;=45,B5&lt;85),-0.00924*(B5-75)+0.18293))</f>
        <v>1.6079999999999983E-2</v>
      </c>
      <c r="BB5" s="146">
        <f>IF(AND(B5&gt;=5,B5&lt;45),0.00272*(B5-45)+0.11565,IF(AND(B5&gt;=45,B5&lt;85),0.00122*(B5-75)+0.15234))</f>
        <v>3.4049999999999997E-2</v>
      </c>
      <c r="BK5">
        <f>AN5*(AT5+AU5*X5+AV5*AO5*(I5-50)+AW5*(1-AO5)+AX5*H5)</f>
        <v>25.312082049561649</v>
      </c>
      <c r="BL5">
        <f>(1-AN5)*(AY5+AZ5*AO5*(I5-50)+BA5*(1-AO5)+BB5*LN(O5))</f>
        <v>0</v>
      </c>
      <c r="BM5">
        <f t="shared" si="16"/>
        <v>25.312082049561649</v>
      </c>
      <c r="BN5">
        <f>AQ5+BM5*LN(AK5/EXP(AJ5))+AR5*LN(H5)+AP5*AS5*LN(X5)</f>
        <v>3.3522834801053834</v>
      </c>
      <c r="BO5" s="142">
        <f t="shared" si="17"/>
        <v>28.567893436223279</v>
      </c>
      <c r="BP5" s="146">
        <f>IF(AND(B5&gt;=5,B5&lt;45),0.00302*(B5-45)+0.53947,IF(AND(B5&gt;=45,B5&lt;85),0.00428*(B5-75)+0.66796))</f>
        <v>0.44886999999999999</v>
      </c>
      <c r="BQ5">
        <v>0.3</v>
      </c>
    </row>
    <row r="6" spans="1:69" ht="15.75" x14ac:dyDescent="0.25">
      <c r="A6" s="146">
        <v>4</v>
      </c>
      <c r="B6" s="146">
        <v>15</v>
      </c>
      <c r="C6" s="146" t="str">
        <f t="shared" si="3"/>
        <v>SSTens_5to85</v>
      </c>
      <c r="D6">
        <v>0.50800000000000001</v>
      </c>
      <c r="E6">
        <f t="shared" si="0"/>
        <v>508</v>
      </c>
      <c r="F6">
        <v>1.1130000000000001E-2</v>
      </c>
      <c r="G6">
        <f t="shared" si="1"/>
        <v>11.13</v>
      </c>
      <c r="H6" s="4">
        <f t="shared" si="2"/>
        <v>45.642407906558844</v>
      </c>
      <c r="I6" s="146">
        <v>100</v>
      </c>
      <c r="J6" s="146" t="s">
        <v>120</v>
      </c>
      <c r="K6" s="146">
        <f t="shared" si="4"/>
        <v>15</v>
      </c>
      <c r="L6" s="146">
        <f t="shared" si="5"/>
        <v>20</v>
      </c>
      <c r="M6" s="146">
        <f t="shared" si="6"/>
        <v>552000</v>
      </c>
      <c r="N6" s="146">
        <f t="shared" si="7"/>
        <v>625000</v>
      </c>
      <c r="O6" s="146">
        <f t="shared" si="8"/>
        <v>2.9888368774026359</v>
      </c>
      <c r="P6" t="s">
        <v>9</v>
      </c>
      <c r="Q6" t="s">
        <v>267</v>
      </c>
      <c r="R6">
        <f t="shared" si="9"/>
        <v>18</v>
      </c>
      <c r="S6">
        <f t="shared" si="10"/>
        <v>37</v>
      </c>
      <c r="T6">
        <f t="shared" si="11"/>
        <v>0</v>
      </c>
      <c r="U6">
        <f t="shared" si="12"/>
        <v>0</v>
      </c>
      <c r="V6">
        <v>0.9</v>
      </c>
      <c r="W6" s="146">
        <v>2</v>
      </c>
      <c r="X6">
        <f t="shared" si="13"/>
        <v>37.739860320701332</v>
      </c>
      <c r="Y6">
        <f t="shared" si="14"/>
        <v>1</v>
      </c>
      <c r="Z6">
        <f t="shared" si="15"/>
        <v>1</v>
      </c>
      <c r="AA6" s="146">
        <f>IF(AND(B6&gt;=5,B6&lt;45),-0.05402*(B6-45)-1.82829,IF(AND(B6&gt;=45,B6&lt;85),0.00735*(B6-75)-1.60779))</f>
        <v>-0.20768999999999993</v>
      </c>
      <c r="AB6" s="146">
        <f>IF(AND(B6&gt;=5,B6&lt;45),0.01347*(B6-45)+0.37664,IF(AND(B6&gt;=45,B6&lt;85),0.00484*(B6-75)+0.52187))</f>
        <v>-2.7459999999999984E-2</v>
      </c>
      <c r="AC6" s="146">
        <f>IF(AND(B6&gt;=5,B6&lt;45),-0.00301*(B6-45)-0.01591,IF(AND(B6&gt;=45,B6&lt;85),-0.02185*(B6-75)-0.67156))</f>
        <v>7.4390000000000012E-2</v>
      </c>
      <c r="AD6" s="146">
        <f>IF(AND(B6&gt;=5,B6&lt;45),0.02182*(B6-45)+0.49488,IF(AND(B6&gt;=45,B6&lt;85),0.05619*(B6-75)+2.18087))</f>
        <v>-0.15971999999999997</v>
      </c>
      <c r="AE6" s="146">
        <f>IF(AND(B6&gt;=5,B6&lt;45),0.02436*(B6-45)+0.47831,IF(AND(B6&gt;=45,B6&lt;85),0.0643*(B6-75)+2.40733))</f>
        <v>-0.25248999999999999</v>
      </c>
      <c r="AF6" s="146">
        <f>IF(AND(B6&gt;=5,B6&lt;45),-0.00001*(B6-45)-0.00165,IF(AND(B6&gt;=45,B6&lt;85),-0.00153))</f>
        <v>-1.3500000000000001E-3</v>
      </c>
      <c r="AG6" s="146">
        <f>IF(AND(B6&gt;=5,B6&lt;45),0.00228*(B6-45)+0.10021,IF(AND(B6&gt;=45,B6&lt;85),0.00144*(B6-75)+0.14358))</f>
        <v>3.1809999999999991E-2</v>
      </c>
      <c r="AH6">
        <f>AC6*LN(I6)+AD6*Y6+AE6*(1-Y6)+AF6*Z6*(H6-100)+AG6*(1-Z6)</f>
        <v>0.25624135946179982</v>
      </c>
      <c r="AJ6">
        <f>AA6+AH6*LN(O6)+AB6*LN(I6)</f>
        <v>-5.359332989807794E-2</v>
      </c>
      <c r="AK6" s="146">
        <v>0.75</v>
      </c>
      <c r="AN6">
        <f>IF(AK6&lt;EXP(AJ6),1,0)</f>
        <v>1</v>
      </c>
      <c r="AO6">
        <f>IF(I6&lt;50,1,0)</f>
        <v>0</v>
      </c>
      <c r="AP6">
        <f>IF(P6="sand",1,0)</f>
        <v>1</v>
      </c>
      <c r="AQ6" s="146">
        <f>IF(AND(B6&gt;=5,B6&lt;45),-0.02174*(B6-45)+0.16235,IF(AND(B6&gt;=45,B6&lt;85),-0.02787*(B6-75)-0.67388))</f>
        <v>0.81455</v>
      </c>
      <c r="AR6" s="146">
        <f>IF(AND(B6&gt;=5,B6&lt;45),0.00203*(B6-45)+0.24407,IF(AND(B6&gt;=45,B6&lt;85),0.00361*(B6-75)+0.35249))</f>
        <v>0.18317</v>
      </c>
      <c r="AS6" s="146">
        <f>IF(AND(B6&gt;=5,B6&lt;45),-0.02801*(B6-45)+1.64437,IF(AND(B6&gt;=45,B6&lt;85),0.00794*(B6-75)+1.8827))</f>
        <v>2.4846700000000004</v>
      </c>
      <c r="AT6" s="146">
        <f>IF(AND(B6&gt;=5,B6&lt;45),-0.0001*(B6-45)-0.00387,IF(AND(B6&gt;=45,B6&lt;85),-0.00002*(B6-75)-0.00456))</f>
        <v>-8.7000000000000011E-4</v>
      </c>
      <c r="AU6" s="146">
        <f>IF(AND(B6&gt;=5,B6&lt;45),-0.00114*(B6-45)+0.00514,IF(AND(B6&gt;=45,B6&lt;85),0.00057*(B6-75)+0.02215))</f>
        <v>3.934E-2</v>
      </c>
      <c r="AV6" s="146">
        <f>IF(AND(B6&gt;=5,B6&lt;45),0.01436*(B6-45)-0.12124,IF(AND(B6&gt;=45,B6&lt;85),-0.00844*(B6-75)-0.37439))</f>
        <v>-0.55203999999999998</v>
      </c>
      <c r="AW6" s="146">
        <f>IF(AND(B6&gt;=5,B6&lt;45),0.00002*(B6-45)+0.00092,IF(AND(B6&gt;=45,B6&lt;85),0.00002*(B6-75)+0.00156))</f>
        <v>3.1999999999999997E-4</v>
      </c>
      <c r="AX6" s="146">
        <f>IF(AND(B6&gt;=5,B6&lt;45),0.01326*(B6-45)+0.97745,IF(AND(B6&gt;=45,B6&lt;85),-0.00799*(B6-75)+0.73788))</f>
        <v>0.57965</v>
      </c>
      <c r="AY6" s="146">
        <f>IF(AND(B6&gt;=5,B6&lt;45),0.00061*(B6-45)+0.00602,IF(AND(B6&gt;=45,B6&lt;85),-0.00081*(B6-75)-0.01826))</f>
        <v>-1.2279999999999999E-2</v>
      </c>
      <c r="AZ6" s="146">
        <f>IF(AND(B6&gt;=5,B6&lt;45),-0.00728*(B6-45)-0.06927,IF(AND(B6&gt;=45,B6&lt;85),0.00522*(B6-75)+0.08748))</f>
        <v>0.14913000000000001</v>
      </c>
      <c r="BA6" s="146">
        <f>IF(AND(B6&gt;=5,B6&lt;45),0.0148*(B6-45)+0.46008,IF(AND(B6&gt;=45,B6&lt;85),-0.00924*(B6-75)+0.18293))</f>
        <v>1.6079999999999983E-2</v>
      </c>
      <c r="BB6" s="146">
        <f>IF(AND(B6&gt;=5,B6&lt;45),0.00272*(B6-45)+0.11565,IF(AND(B6&gt;=45,B6&lt;85),0.00122*(B6-75)+0.15234))</f>
        <v>3.4049999999999997E-2</v>
      </c>
      <c r="BK6">
        <f>AN6*(AT6+AU6*X6+AV6*AO6*(I6-50)+AW6*(1-AO6)+AX6*H6)</f>
        <v>27.940757848053224</v>
      </c>
      <c r="BL6">
        <f>(1-AN6)*(AY6+AZ6*AO6*(I6-50)+BA6*(1-AO6)+BB6*LN(O6))</f>
        <v>0</v>
      </c>
      <c r="BM6">
        <f t="shared" si="16"/>
        <v>27.940757848053224</v>
      </c>
      <c r="BN6">
        <f>AQ6+BM6*LN(AK6/EXP(AJ6))+AR6*LN(H6)+AP6*AS6*LN(X6)</f>
        <v>3.9949291023077054</v>
      </c>
      <c r="BO6" s="142">
        <f t="shared" si="17"/>
        <v>54.321989183611407</v>
      </c>
      <c r="BP6" s="146">
        <f>IF(AND(B6&gt;=5,B6&lt;45),0.00302*(B6-45)+0.53947,IF(AND(B6&gt;=45,B6&lt;85),0.00428*(B6-75)+0.66796))</f>
        <v>0.44886999999999999</v>
      </c>
      <c r="BQ6">
        <v>0.3</v>
      </c>
    </row>
    <row r="7" spans="1:69" ht="15.75" x14ac:dyDescent="0.25">
      <c r="A7" s="146">
        <v>5</v>
      </c>
      <c r="B7" s="146">
        <v>25</v>
      </c>
      <c r="C7" s="146" t="str">
        <f t="shared" si="3"/>
        <v>SSTens_5to85</v>
      </c>
      <c r="D7">
        <v>0.60960000000000003</v>
      </c>
      <c r="E7">
        <f t="shared" si="0"/>
        <v>609.6</v>
      </c>
      <c r="F7">
        <v>9.5299999999999985E-3</v>
      </c>
      <c r="G7">
        <f t="shared" si="1"/>
        <v>9.5299999999999994</v>
      </c>
      <c r="H7" s="4">
        <f t="shared" si="2"/>
        <v>63.966421825813235</v>
      </c>
      <c r="I7" s="146">
        <v>15</v>
      </c>
      <c r="J7" s="146" t="s">
        <v>117</v>
      </c>
      <c r="K7" s="146">
        <f t="shared" si="4"/>
        <v>8</v>
      </c>
      <c r="L7" s="146">
        <f t="shared" si="5"/>
        <v>10</v>
      </c>
      <c r="M7" s="146">
        <f t="shared" si="6"/>
        <v>359000</v>
      </c>
      <c r="N7" s="146">
        <f t="shared" si="7"/>
        <v>455000</v>
      </c>
      <c r="O7" s="146">
        <f t="shared" si="8"/>
        <v>1.9969902892117808</v>
      </c>
      <c r="P7" t="s">
        <v>9</v>
      </c>
      <c r="Q7" t="s">
        <v>268</v>
      </c>
      <c r="R7">
        <f t="shared" si="9"/>
        <v>18.5</v>
      </c>
      <c r="S7">
        <f t="shared" si="10"/>
        <v>40</v>
      </c>
      <c r="T7">
        <f t="shared" si="11"/>
        <v>0</v>
      </c>
      <c r="U7">
        <f t="shared" si="12"/>
        <v>0</v>
      </c>
      <c r="V7">
        <v>0.9</v>
      </c>
      <c r="W7" s="146">
        <v>1</v>
      </c>
      <c r="X7">
        <f t="shared" si="13"/>
        <v>25.741129539100392</v>
      </c>
      <c r="Y7">
        <f t="shared" si="14"/>
        <v>1</v>
      </c>
      <c r="Z7">
        <f t="shared" si="15"/>
        <v>1</v>
      </c>
      <c r="AA7" s="146">
        <f>IF(AND(B7&gt;=5,B7&lt;45),-0.05402*(B7-45)-1.82829,IF(AND(B7&gt;=45,B7&lt;85),0.00735*(B7-75)-1.60779))</f>
        <v>-0.74788999999999994</v>
      </c>
      <c r="AB7" s="146">
        <f>IF(AND(B7&gt;=5,B7&lt;45),0.01347*(B7-45)+0.37664,IF(AND(B7&gt;=45,B7&lt;85),0.00484*(B7-75)+0.52187))</f>
        <v>0.10724</v>
      </c>
      <c r="AC7" s="146">
        <f>IF(AND(B7&gt;=5,B7&lt;45),-0.00301*(B7-45)-0.01591,IF(AND(B7&gt;=45,B7&lt;85),-0.02185*(B7-75)-0.67156))</f>
        <v>4.4290000000000003E-2</v>
      </c>
      <c r="AD7" s="146">
        <f>IF(AND(B7&gt;=5,B7&lt;45),0.02182*(B7-45)+0.49488,IF(AND(B7&gt;=45,B7&lt;85),0.05619*(B7-75)+2.18087))</f>
        <v>5.8479999999999976E-2</v>
      </c>
      <c r="AE7" s="146">
        <f>IF(AND(B7&gt;=5,B7&lt;45),0.02436*(B7-45)+0.47831,IF(AND(B7&gt;=45,B7&lt;85),0.0643*(B7-75)+2.40733))</f>
        <v>-8.8899999999999535E-3</v>
      </c>
      <c r="AF7" s="146">
        <f>IF(AND(B7&gt;=5,B7&lt;45),-0.00001*(B7-45)-0.00165,IF(AND(B7&gt;=45,B7&lt;85),-0.00153))</f>
        <v>-1.4499999999999999E-3</v>
      </c>
      <c r="AG7" s="146">
        <f>IF(AND(B7&gt;=5,B7&lt;45),0.00228*(B7-45)+0.10021,IF(AND(B7&gt;=45,B7&lt;85),0.00144*(B7-75)+0.14358))</f>
        <v>5.4609999999999992E-2</v>
      </c>
      <c r="AH7">
        <f>AC7*LN(I7)+AD7*Y7+AE7*(1-Y7)+AF7*Z7*(H7-100)+AG7*(1-Z7)</f>
        <v>0.23066823175938767</v>
      </c>
      <c r="AJ7">
        <f>AA7+AH7*LN(O7)+AB7*LN(I7)</f>
        <v>-0.29793904572462759</v>
      </c>
      <c r="AK7" s="146">
        <v>2.75</v>
      </c>
      <c r="AN7">
        <f>IF(AK7&lt;EXP(AJ7),1,0)</f>
        <v>0</v>
      </c>
      <c r="AO7">
        <f>IF(I7&lt;50,1,0)</f>
        <v>1</v>
      </c>
      <c r="AP7">
        <f>IF(P7="sand",1,0)</f>
        <v>1</v>
      </c>
      <c r="AQ7" s="146">
        <f>IF(AND(B7&gt;=5,B7&lt;45),-0.02174*(B7-45)+0.16235,IF(AND(B7&gt;=45,B7&lt;85),-0.02787*(B7-75)-0.67388))</f>
        <v>0.59714999999999996</v>
      </c>
      <c r="AR7" s="146">
        <f>IF(AND(B7&gt;=5,B7&lt;45),0.00203*(B7-45)+0.24407,IF(AND(B7&gt;=45,B7&lt;85),0.00361*(B7-75)+0.35249))</f>
        <v>0.20347000000000001</v>
      </c>
      <c r="AS7" s="146">
        <f>IF(AND(B7&gt;=5,B7&lt;45),-0.02801*(B7-45)+1.64437,IF(AND(B7&gt;=45,B7&lt;85),0.00794*(B7-75)+1.8827))</f>
        <v>2.2045700000000004</v>
      </c>
      <c r="AT7" s="146">
        <f>IF(AND(B7&gt;=5,B7&lt;45),-0.0001*(B7-45)-0.00387,IF(AND(B7&gt;=45,B7&lt;85),-0.00002*(B7-75)-0.00456))</f>
        <v>-1.8700000000000001E-3</v>
      </c>
      <c r="AU7" s="146">
        <f>IF(AND(B7&gt;=5,B7&lt;45),-0.00114*(B7-45)+0.00514,IF(AND(B7&gt;=45,B7&lt;85),0.00057*(B7-75)+0.02215))</f>
        <v>2.794E-2</v>
      </c>
      <c r="AV7" s="146">
        <f>IF(AND(B7&gt;=5,B7&lt;45),0.01436*(B7-45)-0.12124,IF(AND(B7&gt;=45,B7&lt;85),-0.00844*(B7-75)-0.37439))</f>
        <v>-0.40844000000000003</v>
      </c>
      <c r="AW7" s="146">
        <f>IF(AND(B7&gt;=5,B7&lt;45),0.00002*(B7-45)+0.00092,IF(AND(B7&gt;=45,B7&lt;85),0.00002*(B7-75)+0.00156))</f>
        <v>5.2000000000000006E-4</v>
      </c>
      <c r="AX7" s="146">
        <f>IF(AND(B7&gt;=5,B7&lt;45),0.01326*(B7-45)+0.97745,IF(AND(B7&gt;=45,B7&lt;85),-0.00799*(B7-75)+0.73788))</f>
        <v>0.71225000000000005</v>
      </c>
      <c r="AY7" s="146">
        <f>IF(AND(B7&gt;=5,B7&lt;45),0.00061*(B7-45)+0.00602,IF(AND(B7&gt;=45,B7&lt;85),-0.00081*(B7-75)-0.01826))</f>
        <v>-6.1799999999999989E-3</v>
      </c>
      <c r="AZ7" s="146">
        <f>IF(AND(B7&gt;=5,B7&lt;45),-0.00728*(B7-45)-0.06927,IF(AND(B7&gt;=45,B7&lt;85),0.00522*(B7-75)+0.08748))</f>
        <v>7.6330000000000009E-2</v>
      </c>
      <c r="BA7" s="146">
        <f>IF(AND(B7&gt;=5,B7&lt;45),0.0148*(B7-45)+0.46008,IF(AND(B7&gt;=45,B7&lt;85),-0.00924*(B7-75)+0.18293))</f>
        <v>0.16407999999999995</v>
      </c>
      <c r="BB7" s="146">
        <f>IF(AND(B7&gt;=5,B7&lt;45),0.00272*(B7-45)+0.11565,IF(AND(B7&gt;=45,B7&lt;85),0.00122*(B7-75)+0.15234))</f>
        <v>6.1249999999999999E-2</v>
      </c>
      <c r="BK7">
        <f>AN7*(AT7+AU7*X7+AV7*AO7*(I7-50)+AW7*(1-AO7)+AX7*H7)</f>
        <v>0</v>
      </c>
      <c r="BL7">
        <f>(1-AN7)*(AY7+AZ7*AO7*(I7-50)+BA7*(1-AO7)+BB7*LN(O7))</f>
        <v>-2.6353669770063104</v>
      </c>
      <c r="BM7">
        <f t="shared" si="16"/>
        <v>-2.6353669770063104</v>
      </c>
      <c r="BN7">
        <f>AQ7+BM7*LN(AK7/EXP(AJ7))+AR7*LN(H7)+AP7*AS7*LN(X7)</f>
        <v>5.1527747579237175</v>
      </c>
      <c r="BO7" s="142">
        <f t="shared" si="17"/>
        <v>100</v>
      </c>
      <c r="BP7" s="146">
        <f>IF(AND(B7&gt;=5,B7&lt;45),0.00302*(B7-45)+0.53947,IF(AND(B7&gt;=45,B7&lt;85),0.00428*(B7-75)+0.66796))</f>
        <v>0.47907</v>
      </c>
      <c r="BQ7">
        <v>0.3</v>
      </c>
    </row>
    <row r="8" spans="1:69" ht="15.75" x14ac:dyDescent="0.25">
      <c r="A8" s="146">
        <v>6</v>
      </c>
      <c r="B8" s="146">
        <v>25</v>
      </c>
      <c r="C8" s="146" t="str">
        <f t="shared" si="3"/>
        <v>SSTens_5to85</v>
      </c>
      <c r="D8">
        <v>0.76200000000000001</v>
      </c>
      <c r="E8">
        <f t="shared" si="0"/>
        <v>762</v>
      </c>
      <c r="F8">
        <v>1.2699999999999999E-2</v>
      </c>
      <c r="G8">
        <f t="shared" si="1"/>
        <v>12.7</v>
      </c>
      <c r="H8" s="4">
        <f t="shared" si="2"/>
        <v>60</v>
      </c>
      <c r="I8" s="146">
        <v>30</v>
      </c>
      <c r="J8" s="146" t="s">
        <v>118</v>
      </c>
      <c r="K8" s="146">
        <f t="shared" si="4"/>
        <v>8</v>
      </c>
      <c r="L8" s="146">
        <f t="shared" si="5"/>
        <v>12</v>
      </c>
      <c r="M8" s="146">
        <f t="shared" si="6"/>
        <v>414000</v>
      </c>
      <c r="N8" s="146">
        <f t="shared" si="7"/>
        <v>517000</v>
      </c>
      <c r="O8" s="146">
        <f t="shared" si="8"/>
        <v>2.5466769467238102</v>
      </c>
      <c r="P8" t="s">
        <v>9</v>
      </c>
      <c r="Q8" t="s">
        <v>268</v>
      </c>
      <c r="R8">
        <f t="shared" si="9"/>
        <v>18.5</v>
      </c>
      <c r="S8">
        <f t="shared" si="10"/>
        <v>40</v>
      </c>
      <c r="T8">
        <f t="shared" si="11"/>
        <v>0</v>
      </c>
      <c r="U8">
        <f t="shared" si="12"/>
        <v>0</v>
      </c>
      <c r="V8">
        <v>0.9</v>
      </c>
      <c r="W8" s="146">
        <v>2</v>
      </c>
      <c r="X8">
        <f t="shared" si="13"/>
        <v>64.352823847750969</v>
      </c>
      <c r="Y8">
        <f t="shared" si="14"/>
        <v>1</v>
      </c>
      <c r="Z8">
        <f t="shared" si="15"/>
        <v>1</v>
      </c>
      <c r="AA8" s="146">
        <f>IF(AND(B8&gt;=5,B8&lt;45),-0.05402*(B8-45)-1.82829,IF(AND(B8&gt;=45,B8&lt;85),0.00735*(B8-75)-1.60779))</f>
        <v>-0.74788999999999994</v>
      </c>
      <c r="AB8" s="146">
        <f>IF(AND(B8&gt;=5,B8&lt;45),0.01347*(B8-45)+0.37664,IF(AND(B8&gt;=45,B8&lt;85),0.00484*(B8-75)+0.52187))</f>
        <v>0.10724</v>
      </c>
      <c r="AC8" s="146">
        <f>IF(AND(B8&gt;=5,B8&lt;45),-0.00301*(B8-45)-0.01591,IF(AND(B8&gt;=45,B8&lt;85),-0.02185*(B8-75)-0.67156))</f>
        <v>4.4290000000000003E-2</v>
      </c>
      <c r="AD8" s="146">
        <f>IF(AND(B8&gt;=5,B8&lt;45),0.02182*(B8-45)+0.49488,IF(AND(B8&gt;=45,B8&lt;85),0.05619*(B8-75)+2.18087))</f>
        <v>5.8479999999999976E-2</v>
      </c>
      <c r="AE8" s="146">
        <f>IF(AND(B8&gt;=5,B8&lt;45),0.02436*(B8-45)+0.47831,IF(AND(B8&gt;=45,B8&lt;85),0.0643*(B8-75)+2.40733))</f>
        <v>-8.8899999999999535E-3</v>
      </c>
      <c r="AF8" s="146">
        <f>IF(AND(B8&gt;=5,B8&lt;45),-0.00001*(B8-45)-0.00165,IF(AND(B8&gt;=45,B8&lt;85),-0.00153))</f>
        <v>-1.4499999999999999E-3</v>
      </c>
      <c r="AG8" s="146">
        <f>IF(AND(B8&gt;=5,B8&lt;45),0.00228*(B8-45)+0.10021,IF(AND(B8&gt;=45,B8&lt;85),0.00144*(B8-75)+0.14358))</f>
        <v>5.4609999999999992E-2</v>
      </c>
      <c r="AH8">
        <f>AC8*LN(I8)+AD8*Y8+AE8*(1-Y8)+AF8*Z8*(H8-100)+AG8*(1-Z8)</f>
        <v>0.26711903203381682</v>
      </c>
      <c r="AJ8">
        <f>AA8+AH8*LN(O8)+AB8*LN(I8)</f>
        <v>-0.1334455661494785</v>
      </c>
      <c r="AK8" s="146">
        <v>3.5</v>
      </c>
      <c r="AN8">
        <f>IF(AK8&lt;EXP(AJ8),1,0)</f>
        <v>0</v>
      </c>
      <c r="AO8">
        <f>IF(I8&lt;50,1,0)</f>
        <v>1</v>
      </c>
      <c r="AP8">
        <f>IF(P8="sand",1,0)</f>
        <v>1</v>
      </c>
      <c r="AQ8" s="146">
        <f>IF(AND(B8&gt;=5,B8&lt;45),-0.02174*(B8-45)+0.16235,IF(AND(B8&gt;=45,B8&lt;85),-0.02787*(B8-75)-0.67388))</f>
        <v>0.59714999999999996</v>
      </c>
      <c r="AR8" s="146">
        <f>IF(AND(B8&gt;=5,B8&lt;45),0.00203*(B8-45)+0.24407,IF(AND(B8&gt;=45,B8&lt;85),0.00361*(B8-75)+0.35249))</f>
        <v>0.20347000000000001</v>
      </c>
      <c r="AS8" s="146">
        <f>IF(AND(B8&gt;=5,B8&lt;45),-0.02801*(B8-45)+1.64437,IF(AND(B8&gt;=45,B8&lt;85),0.00794*(B8-75)+1.8827))</f>
        <v>2.2045700000000004</v>
      </c>
      <c r="AT8" s="146">
        <f>IF(AND(B8&gt;=5,B8&lt;45),-0.0001*(B8-45)-0.00387,IF(AND(B8&gt;=45,B8&lt;85),-0.00002*(B8-75)-0.00456))</f>
        <v>-1.8700000000000001E-3</v>
      </c>
      <c r="AU8" s="146">
        <f>IF(AND(B8&gt;=5,B8&lt;45),-0.00114*(B8-45)+0.00514,IF(AND(B8&gt;=45,B8&lt;85),0.00057*(B8-75)+0.02215))</f>
        <v>2.794E-2</v>
      </c>
      <c r="AV8" s="146">
        <f>IF(AND(B8&gt;=5,B8&lt;45),0.01436*(B8-45)-0.12124,IF(AND(B8&gt;=45,B8&lt;85),-0.00844*(B8-75)-0.37439))</f>
        <v>-0.40844000000000003</v>
      </c>
      <c r="AW8" s="146">
        <f>IF(AND(B8&gt;=5,B8&lt;45),0.00002*(B8-45)+0.00092,IF(AND(B8&gt;=45,B8&lt;85),0.00002*(B8-75)+0.00156))</f>
        <v>5.2000000000000006E-4</v>
      </c>
      <c r="AX8" s="146">
        <f>IF(AND(B8&gt;=5,B8&lt;45),0.01326*(B8-45)+0.97745,IF(AND(B8&gt;=45,B8&lt;85),-0.00799*(B8-75)+0.73788))</f>
        <v>0.71225000000000005</v>
      </c>
      <c r="AY8" s="146">
        <f>IF(AND(B8&gt;=5,B8&lt;45),0.00061*(B8-45)+0.00602,IF(AND(B8&gt;=45,B8&lt;85),-0.00081*(B8-75)-0.01826))</f>
        <v>-6.1799999999999989E-3</v>
      </c>
      <c r="AZ8" s="146">
        <f>IF(AND(B8&gt;=5,B8&lt;45),-0.00728*(B8-45)-0.06927,IF(AND(B8&gt;=45,B8&lt;85),0.00522*(B8-75)+0.08748))</f>
        <v>7.6330000000000009E-2</v>
      </c>
      <c r="BA8" s="146">
        <f>IF(AND(B8&gt;=5,B8&lt;45),0.0148*(B8-45)+0.46008,IF(AND(B8&gt;=45,B8&lt;85),-0.00924*(B8-75)+0.18293))</f>
        <v>0.16407999999999995</v>
      </c>
      <c r="BB8" s="146">
        <f>IF(AND(B8&gt;=5,B8&lt;45),0.00272*(B8-45)+0.11565,IF(AND(B8&gt;=45,B8&lt;85),0.00122*(B8-75)+0.15234))</f>
        <v>6.1249999999999999E-2</v>
      </c>
      <c r="BK8">
        <f>AN8*(AT8+AU8*X8+AV8*AO8*(I8-50)+AW8*(1-AO8)+AX8*H8)</f>
        <v>0</v>
      </c>
      <c r="BL8">
        <f>(1-AN8)*(AY8+AZ8*AO8*(I8-50)+BA8*(1-AO8)+BB8*LN(O8))</f>
        <v>-1.4755241522406035</v>
      </c>
      <c r="BM8">
        <f t="shared" si="16"/>
        <v>-1.4755241522406035</v>
      </c>
      <c r="BN8">
        <f>AQ8+BM8*LN(AK8/EXP(AJ8))+AR8*LN(H8)+AP8*AS8*LN(X8)</f>
        <v>8.5655111300705915</v>
      </c>
      <c r="BO8" s="142">
        <f t="shared" si="17"/>
        <v>100</v>
      </c>
      <c r="BP8" s="146">
        <f>IF(AND(B8&gt;=5,B8&lt;45),0.00302*(B8-45)+0.53947,IF(AND(B8&gt;=45,B8&lt;85),0.00428*(B8-75)+0.66796))</f>
        <v>0.47907</v>
      </c>
      <c r="BQ8">
        <v>0.3</v>
      </c>
    </row>
    <row r="9" spans="1:69" ht="15.75" x14ac:dyDescent="0.25">
      <c r="A9" s="146">
        <v>7</v>
      </c>
      <c r="B9" s="146">
        <v>35</v>
      </c>
      <c r="C9" s="146" t="str">
        <f t="shared" si="3"/>
        <v>SSTens_5to85</v>
      </c>
      <c r="D9">
        <v>0.86360000000000003</v>
      </c>
      <c r="E9">
        <f t="shared" si="0"/>
        <v>863.6</v>
      </c>
      <c r="F9">
        <v>1.1130000000000001E-2</v>
      </c>
      <c r="G9">
        <f t="shared" si="1"/>
        <v>11.13</v>
      </c>
      <c r="H9" s="4">
        <f t="shared" si="2"/>
        <v>77.592093441150041</v>
      </c>
      <c r="I9" s="146">
        <v>50</v>
      </c>
      <c r="J9" s="146" t="s">
        <v>119</v>
      </c>
      <c r="K9" s="146">
        <f t="shared" si="4"/>
        <v>14</v>
      </c>
      <c r="L9" s="146">
        <f t="shared" si="5"/>
        <v>15</v>
      </c>
      <c r="M9" s="146">
        <f t="shared" si="6"/>
        <v>483000</v>
      </c>
      <c r="N9" s="146">
        <f t="shared" si="7"/>
        <v>565000</v>
      </c>
      <c r="O9" s="146">
        <f t="shared" si="8"/>
        <v>2.8799444073326219</v>
      </c>
      <c r="P9" t="s">
        <v>9</v>
      </c>
      <c r="Q9" t="s">
        <v>268</v>
      </c>
      <c r="R9">
        <f t="shared" si="9"/>
        <v>18.5</v>
      </c>
      <c r="S9">
        <f t="shared" si="10"/>
        <v>40</v>
      </c>
      <c r="T9">
        <f t="shared" si="11"/>
        <v>0</v>
      </c>
      <c r="U9">
        <f t="shared" si="12"/>
        <v>0</v>
      </c>
      <c r="V9">
        <v>0.9</v>
      </c>
      <c r="W9" s="146">
        <v>1</v>
      </c>
      <c r="X9">
        <f t="shared" si="13"/>
        <v>36.46660018039222</v>
      </c>
      <c r="Y9">
        <f t="shared" si="14"/>
        <v>1</v>
      </c>
      <c r="Z9">
        <f t="shared" si="15"/>
        <v>1</v>
      </c>
      <c r="AA9" s="146">
        <f>IF(AND(B9&gt;=5,B9&lt;45),-0.05402*(B9-45)-1.82829,IF(AND(B9&gt;=45,B9&lt;85),0.00735*(B9-75)-1.60779))</f>
        <v>-1.28809</v>
      </c>
      <c r="AB9" s="146">
        <f>IF(AND(B9&gt;=5,B9&lt;45),0.01347*(B9-45)+0.37664,IF(AND(B9&gt;=45,B9&lt;85),0.00484*(B9-75)+0.52187))</f>
        <v>0.24193999999999999</v>
      </c>
      <c r="AC9" s="146">
        <f>IF(AND(B9&gt;=5,B9&lt;45),-0.00301*(B9-45)-0.01591,IF(AND(B9&gt;=45,B9&lt;85),-0.02185*(B9-75)-0.67156))</f>
        <v>1.4190000000000001E-2</v>
      </c>
      <c r="AD9" s="146">
        <f>IF(AND(B9&gt;=5,B9&lt;45),0.02182*(B9-45)+0.49488,IF(AND(B9&gt;=45,B9&lt;85),0.05619*(B9-75)+2.18087))</f>
        <v>0.27667999999999998</v>
      </c>
      <c r="AE9" s="146">
        <f>IF(AND(B9&gt;=5,B9&lt;45),0.02436*(B9-45)+0.47831,IF(AND(B9&gt;=45,B9&lt;85),0.0643*(B9-75)+2.40733))</f>
        <v>0.23471000000000003</v>
      </c>
      <c r="AF9" s="146">
        <f>IF(AND(B9&gt;=5,B9&lt;45),-0.00001*(B9-45)-0.00165,IF(AND(B9&gt;=45,B9&lt;85),-0.00153))</f>
        <v>-1.5499999999999999E-3</v>
      </c>
      <c r="AG9" s="146">
        <f>IF(AND(B9&gt;=5,B9&lt;45),0.00228*(B9-45)+0.10021,IF(AND(B9&gt;=45,B9&lt;85),0.00144*(B9-75)+0.14358))</f>
        <v>7.7409999999999993E-2</v>
      </c>
      <c r="AH9">
        <f>AC9*LN(I9)+AD9*Y9+AE9*(1-Y9)+AF9*Z9*(H9-100)+AG9*(1-Z9)</f>
        <v>0.36692386161324281</v>
      </c>
      <c r="AJ9">
        <f>AA9+AH9*LN(O9)+AB9*LN(I9)</f>
        <v>4.650626263587565E-2</v>
      </c>
      <c r="AK9" s="146">
        <v>1.5</v>
      </c>
      <c r="AN9">
        <f>IF(AK9&lt;EXP(AJ9),1,0)</f>
        <v>0</v>
      </c>
      <c r="AO9">
        <f>IF(I9&lt;50,1,0)</f>
        <v>0</v>
      </c>
      <c r="AP9">
        <f>IF(P9="sand",1,0)</f>
        <v>1</v>
      </c>
      <c r="AQ9" s="146">
        <f>IF(AND(B9&gt;=5,B9&lt;45),-0.02174*(B9-45)+0.16235,IF(AND(B9&gt;=45,B9&lt;85),-0.02787*(B9-75)-0.67388))</f>
        <v>0.37974999999999998</v>
      </c>
      <c r="AR9" s="146">
        <f>IF(AND(B9&gt;=5,B9&lt;45),0.00203*(B9-45)+0.24407,IF(AND(B9&gt;=45,B9&lt;85),0.00361*(B9-75)+0.35249))</f>
        <v>0.22377</v>
      </c>
      <c r="AS9" s="146">
        <f>IF(AND(B9&gt;=5,B9&lt;45),-0.02801*(B9-45)+1.64437,IF(AND(B9&gt;=45,B9&lt;85),0.00794*(B9-75)+1.8827))</f>
        <v>1.9244700000000001</v>
      </c>
      <c r="AT9" s="146">
        <f>IF(AND(B9&gt;=5,B9&lt;45),-0.0001*(B9-45)-0.00387,IF(AND(B9&gt;=45,B9&lt;85),-0.00002*(B9-75)-0.00456))</f>
        <v>-2.8700000000000002E-3</v>
      </c>
      <c r="AU9" s="146">
        <f>IF(AND(B9&gt;=5,B9&lt;45),-0.00114*(B9-45)+0.00514,IF(AND(B9&gt;=45,B9&lt;85),0.00057*(B9-75)+0.02215))</f>
        <v>1.6539999999999999E-2</v>
      </c>
      <c r="AV9" s="146">
        <f>IF(AND(B9&gt;=5,B9&lt;45),0.01436*(B9-45)-0.12124,IF(AND(B9&gt;=45,B9&lt;85),-0.00844*(B9-75)-0.37439))</f>
        <v>-0.26484000000000002</v>
      </c>
      <c r="AW9" s="146">
        <f>IF(AND(B9&gt;=5,B9&lt;45),0.00002*(B9-45)+0.00092,IF(AND(B9&gt;=45,B9&lt;85),0.00002*(B9-75)+0.00156))</f>
        <v>7.2000000000000005E-4</v>
      </c>
      <c r="AX9" s="146">
        <f>IF(AND(B9&gt;=5,B9&lt;45),0.01326*(B9-45)+0.97745,IF(AND(B9&gt;=45,B9&lt;85),-0.00799*(B9-75)+0.73788))</f>
        <v>0.8448500000000001</v>
      </c>
      <c r="AY9" s="146">
        <f>IF(AND(B9&gt;=5,B9&lt;45),0.00061*(B9-45)+0.00602,IF(AND(B9&gt;=45,B9&lt;85),-0.00081*(B9-75)-0.01826))</f>
        <v>-7.9999999999999342E-5</v>
      </c>
      <c r="AZ9" s="146">
        <f>IF(AND(B9&gt;=5,B9&lt;45),-0.00728*(B9-45)-0.06927,IF(AND(B9&gt;=45,B9&lt;85),0.00522*(B9-75)+0.08748))</f>
        <v>3.5300000000000054E-3</v>
      </c>
      <c r="BA9" s="146">
        <f>IF(AND(B9&gt;=5,B9&lt;45),0.0148*(B9-45)+0.46008,IF(AND(B9&gt;=45,B9&lt;85),-0.00924*(B9-75)+0.18293))</f>
        <v>0.31207999999999997</v>
      </c>
      <c r="BB9" s="146">
        <f>IF(AND(B9&gt;=5,B9&lt;45),0.00272*(B9-45)+0.11565,IF(AND(B9&gt;=45,B9&lt;85),0.00122*(B9-75)+0.15234))</f>
        <v>8.8450000000000001E-2</v>
      </c>
      <c r="BK9">
        <f>AN9*(AT9+AU9*X9+AV9*AO9*(I9-50)+AW9*(1-AO9)+AX9*H9)</f>
        <v>0</v>
      </c>
      <c r="BL9">
        <f>(1-AN9)*(AY9+AZ9*AO9*(I9-50)+BA9*(1-AO9)+BB9*LN(O9))</f>
        <v>0.40555984414970814</v>
      </c>
      <c r="BM9">
        <f t="shared" si="16"/>
        <v>0.40555984414970814</v>
      </c>
      <c r="BN9">
        <f>AQ9+BM9*LN(AK9/EXP(AJ9))+AR9*LN(H9)+AP9*AS9*LN(X9)</f>
        <v>8.4202144433962278</v>
      </c>
      <c r="BO9" s="142">
        <f t="shared" si="17"/>
        <v>100</v>
      </c>
      <c r="BP9" s="146">
        <f>IF(AND(B9&gt;=5,B9&lt;45),0.00302*(B9-45)+0.53947,IF(AND(B9&gt;=45,B9&lt;85),0.00428*(B9-75)+0.66796))</f>
        <v>0.50927</v>
      </c>
      <c r="BQ9">
        <v>0.3</v>
      </c>
    </row>
    <row r="10" spans="1:69" ht="15.75" x14ac:dyDescent="0.25">
      <c r="A10" s="146">
        <v>8</v>
      </c>
      <c r="B10" s="146">
        <v>35</v>
      </c>
      <c r="C10" s="146" t="str">
        <f t="shared" si="3"/>
        <v>SSTens_5to85</v>
      </c>
      <c r="D10">
        <v>1.0668</v>
      </c>
      <c r="E10">
        <f t="shared" si="0"/>
        <v>1066.8</v>
      </c>
      <c r="F10">
        <v>1.2699999999999999E-2</v>
      </c>
      <c r="G10">
        <f t="shared" si="1"/>
        <v>12.7</v>
      </c>
      <c r="H10" s="4">
        <f t="shared" si="2"/>
        <v>84</v>
      </c>
      <c r="I10" s="146">
        <v>100</v>
      </c>
      <c r="J10" s="146" t="s">
        <v>120</v>
      </c>
      <c r="K10" s="146">
        <f t="shared" si="4"/>
        <v>15</v>
      </c>
      <c r="L10" s="146">
        <f t="shared" si="5"/>
        <v>20</v>
      </c>
      <c r="M10" s="146">
        <f t="shared" si="6"/>
        <v>552000</v>
      </c>
      <c r="N10" s="146">
        <f t="shared" si="7"/>
        <v>625000</v>
      </c>
      <c r="O10" s="146">
        <f t="shared" si="8"/>
        <v>2.9888368774026359</v>
      </c>
      <c r="P10" t="s">
        <v>9</v>
      </c>
      <c r="Q10" t="s">
        <v>270</v>
      </c>
      <c r="R10">
        <f t="shared" si="9"/>
        <v>19</v>
      </c>
      <c r="S10">
        <f t="shared" si="10"/>
        <v>43</v>
      </c>
      <c r="T10">
        <f t="shared" si="11"/>
        <v>0</v>
      </c>
      <c r="U10">
        <f t="shared" si="12"/>
        <v>0</v>
      </c>
      <c r="V10">
        <v>0.9</v>
      </c>
      <c r="W10" s="146">
        <v>2</v>
      </c>
      <c r="X10">
        <f t="shared" si="13"/>
        <v>102.03070645435936</v>
      </c>
      <c r="Y10">
        <f t="shared" si="14"/>
        <v>0</v>
      </c>
      <c r="Z10">
        <f t="shared" si="15"/>
        <v>1</v>
      </c>
      <c r="AA10" s="146">
        <f>IF(AND(B10&gt;=5,B10&lt;45),-0.05402*(B10-45)-1.82829,IF(AND(B10&gt;=45,B10&lt;85),0.00735*(B10-75)-1.60779))</f>
        <v>-1.28809</v>
      </c>
      <c r="AB10" s="146">
        <f>IF(AND(B10&gt;=5,B10&lt;45),0.01347*(B10-45)+0.37664,IF(AND(B10&gt;=45,B10&lt;85),0.00484*(B10-75)+0.52187))</f>
        <v>0.24193999999999999</v>
      </c>
      <c r="AC10" s="146">
        <f>IF(AND(B10&gt;=5,B10&lt;45),-0.00301*(B10-45)-0.01591,IF(AND(B10&gt;=45,B10&lt;85),-0.02185*(B10-75)-0.67156))</f>
        <v>1.4190000000000001E-2</v>
      </c>
      <c r="AD10" s="146">
        <f>IF(AND(B10&gt;=5,B10&lt;45),0.02182*(B10-45)+0.49488,IF(AND(B10&gt;=45,B10&lt;85),0.05619*(B10-75)+2.18087))</f>
        <v>0.27667999999999998</v>
      </c>
      <c r="AE10" s="146">
        <f>IF(AND(B10&gt;=5,B10&lt;45),0.02436*(B10-45)+0.47831,IF(AND(B10&gt;=45,B10&lt;85),0.0643*(B10-75)+2.40733))</f>
        <v>0.23471000000000003</v>
      </c>
      <c r="AF10" s="146">
        <f>IF(AND(B10&gt;=5,B10&lt;45),-0.00001*(B10-45)-0.00165,IF(AND(B10&gt;=45,B10&lt;85),-0.00153))</f>
        <v>-1.5499999999999999E-3</v>
      </c>
      <c r="AG10" s="146">
        <f>IF(AND(B10&gt;=5,B10&lt;45),0.00228*(B10-45)+0.10021,IF(AND(B10&gt;=45,B10&lt;85),0.00144*(B10-75)+0.14358))</f>
        <v>7.7409999999999993E-2</v>
      </c>
      <c r="AH10">
        <f>AC10*LN(I10)+AD10*Y10+AE10*(1-Y10)+AF10*Z10*(H10-100)+AG10*(1-Z10)</f>
        <v>0.32485736493917106</v>
      </c>
      <c r="AJ10">
        <f>AA10+AH10*LN(O10)+AB10*LN(I10)</f>
        <v>0.18176610584814756</v>
      </c>
      <c r="AK10" s="146">
        <v>1.5</v>
      </c>
      <c r="AN10">
        <f>IF(AK10&lt;EXP(AJ10),1,0)</f>
        <v>0</v>
      </c>
      <c r="AO10">
        <f>IF(I10&lt;50,1,0)</f>
        <v>0</v>
      </c>
      <c r="AP10">
        <f>IF(P10="sand",1,0)</f>
        <v>1</v>
      </c>
      <c r="AQ10" s="146">
        <f>IF(AND(B10&gt;=5,B10&lt;45),-0.02174*(B10-45)+0.16235,IF(AND(B10&gt;=45,B10&lt;85),-0.02787*(B10-75)-0.67388))</f>
        <v>0.37974999999999998</v>
      </c>
      <c r="AR10" s="146">
        <f>IF(AND(B10&gt;=5,B10&lt;45),0.00203*(B10-45)+0.24407,IF(AND(B10&gt;=45,B10&lt;85),0.00361*(B10-75)+0.35249))</f>
        <v>0.22377</v>
      </c>
      <c r="AS10" s="146">
        <f>IF(AND(B10&gt;=5,B10&lt;45),-0.02801*(B10-45)+1.64437,IF(AND(B10&gt;=45,B10&lt;85),0.00794*(B10-75)+1.8827))</f>
        <v>1.9244700000000001</v>
      </c>
      <c r="AT10" s="146">
        <f>IF(AND(B10&gt;=5,B10&lt;45),-0.0001*(B10-45)-0.00387,IF(AND(B10&gt;=45,B10&lt;85),-0.00002*(B10-75)-0.00456))</f>
        <v>-2.8700000000000002E-3</v>
      </c>
      <c r="AU10" s="146">
        <f>IF(AND(B10&gt;=5,B10&lt;45),-0.00114*(B10-45)+0.00514,IF(AND(B10&gt;=45,B10&lt;85),0.00057*(B10-75)+0.02215))</f>
        <v>1.6539999999999999E-2</v>
      </c>
      <c r="AV10" s="146">
        <f>IF(AND(B10&gt;=5,B10&lt;45),0.01436*(B10-45)-0.12124,IF(AND(B10&gt;=45,B10&lt;85),-0.00844*(B10-75)-0.37439))</f>
        <v>-0.26484000000000002</v>
      </c>
      <c r="AW10" s="146">
        <f>IF(AND(B10&gt;=5,B10&lt;45),0.00002*(B10-45)+0.00092,IF(AND(B10&gt;=45,B10&lt;85),0.00002*(B10-75)+0.00156))</f>
        <v>7.2000000000000005E-4</v>
      </c>
      <c r="AX10" s="146">
        <f>IF(AND(B10&gt;=5,B10&lt;45),0.01326*(B10-45)+0.97745,IF(AND(B10&gt;=45,B10&lt;85),-0.00799*(B10-75)+0.73788))</f>
        <v>0.8448500000000001</v>
      </c>
      <c r="AY10" s="146">
        <f>IF(AND(B10&gt;=5,B10&lt;45),0.00061*(B10-45)+0.00602,IF(AND(B10&gt;=45,B10&lt;85),-0.00081*(B10-75)-0.01826))</f>
        <v>-7.9999999999999342E-5</v>
      </c>
      <c r="AZ10" s="146">
        <f>IF(AND(B10&gt;=5,B10&lt;45),-0.00728*(B10-45)-0.06927,IF(AND(B10&gt;=45,B10&lt;85),0.00522*(B10-75)+0.08748))</f>
        <v>3.5300000000000054E-3</v>
      </c>
      <c r="BA10" s="146">
        <f>IF(AND(B10&gt;=5,B10&lt;45),0.0148*(B10-45)+0.46008,IF(AND(B10&gt;=45,B10&lt;85),-0.00924*(B10-75)+0.18293))</f>
        <v>0.31207999999999997</v>
      </c>
      <c r="BB10" s="146">
        <f>IF(AND(B10&gt;=5,B10&lt;45),0.00272*(B10-45)+0.11565,IF(AND(B10&gt;=45,B10&lt;85),0.00122*(B10-75)+0.15234))</f>
        <v>8.8450000000000001E-2</v>
      </c>
      <c r="BK10">
        <f>AN10*(AT10+AU10*X10+AV10*AO10*(I10-50)+AW10*(1-AO10)+AX10*H10)</f>
        <v>0</v>
      </c>
      <c r="BL10">
        <f>(1-AN10)*(AY10+AZ10*AO10*(I10-50)+BA10*(1-AO10)+BB10*LN(O10))</f>
        <v>0.40884251699905277</v>
      </c>
      <c r="BM10">
        <f t="shared" si="16"/>
        <v>0.40884251699905277</v>
      </c>
      <c r="BN10">
        <f>AQ10+BM10*LN(AK10/EXP(AJ10))+AR10*LN(H10)+AP10*AS10*LN(X10)</f>
        <v>10.363892230517227</v>
      </c>
      <c r="BO10" s="142">
        <f t="shared" si="17"/>
        <v>100</v>
      </c>
      <c r="BP10" s="146">
        <f>IF(AND(B10&gt;=5,B10&lt;45),0.00302*(B10-45)+0.53947,IF(AND(B10&gt;=45,B10&lt;85),0.00428*(B10-75)+0.66796))</f>
        <v>0.50927</v>
      </c>
      <c r="BQ10">
        <v>0.3</v>
      </c>
    </row>
    <row r="11" spans="1:69" ht="15.75" x14ac:dyDescent="0.25">
      <c r="A11" s="146">
        <v>9</v>
      </c>
      <c r="B11" s="146">
        <v>45</v>
      </c>
      <c r="C11" s="146" t="str">
        <f t="shared" si="3"/>
        <v>SSTens_5to85</v>
      </c>
      <c r="D11">
        <v>0.60960000000000003</v>
      </c>
      <c r="E11">
        <f t="shared" si="0"/>
        <v>609.6</v>
      </c>
      <c r="F11">
        <v>1.1130000000000001E-2</v>
      </c>
      <c r="G11">
        <f t="shared" si="1"/>
        <v>11.13</v>
      </c>
      <c r="H11" s="4">
        <f t="shared" si="2"/>
        <v>54.770889487870619</v>
      </c>
      <c r="I11" s="146">
        <v>150</v>
      </c>
      <c r="J11" s="146" t="s">
        <v>187</v>
      </c>
      <c r="K11" s="146">
        <f t="shared" si="4"/>
        <v>3</v>
      </c>
      <c r="L11" s="146">
        <f t="shared" si="5"/>
        <v>9</v>
      </c>
      <c r="M11" s="146">
        <f t="shared" si="6"/>
        <v>290000</v>
      </c>
      <c r="N11" s="146">
        <f t="shared" si="7"/>
        <v>414000</v>
      </c>
      <c r="O11" s="146">
        <f t="shared" si="8"/>
        <v>1.7363704307629526</v>
      </c>
      <c r="P11" t="s">
        <v>9</v>
      </c>
      <c r="Q11" t="s">
        <v>270</v>
      </c>
      <c r="R11">
        <f t="shared" si="9"/>
        <v>19</v>
      </c>
      <c r="S11">
        <f t="shared" si="10"/>
        <v>43</v>
      </c>
      <c r="T11">
        <f t="shared" si="11"/>
        <v>0</v>
      </c>
      <c r="U11">
        <f t="shared" si="12"/>
        <v>0</v>
      </c>
      <c r="V11">
        <v>0.9</v>
      </c>
      <c r="W11" s="146">
        <v>1</v>
      </c>
      <c r="X11">
        <f t="shared" si="13"/>
        <v>29.151630415531248</v>
      </c>
      <c r="Y11">
        <f t="shared" si="14"/>
        <v>1</v>
      </c>
      <c r="Z11">
        <f t="shared" si="15"/>
        <v>1</v>
      </c>
      <c r="AA11" s="146">
        <f>IF(AND(B11&gt;=5,B11&lt;45),-0.05402*(B11-45)-1.82829,IF(AND(B11&gt;=45,B11&lt;85),0.00735*(B11-75)-1.60779))</f>
        <v>-1.82829</v>
      </c>
      <c r="AB11" s="146">
        <f>IF(AND(B11&gt;=5,B11&lt;45),0.01347*(B11-45)+0.37664,IF(AND(B11&gt;=45,B11&lt;85),0.00484*(B11-75)+0.52187))</f>
        <v>0.37666999999999995</v>
      </c>
      <c r="AC11" s="146">
        <f>IF(AND(B11&gt;=5,B11&lt;45),-0.00301*(B11-45)-0.01591,IF(AND(B11&gt;=45,B11&lt;85),-0.02185*(B11-75)-0.67156))</f>
        <v>-1.6059999999999963E-2</v>
      </c>
      <c r="AD11" s="146">
        <f>IF(AND(B11&gt;=5,B11&lt;45),0.02182*(B11-45)+0.49488,IF(AND(B11&gt;=45,B11&lt;85),0.05619*(B11-75)+2.18087))</f>
        <v>0.49517000000000011</v>
      </c>
      <c r="AE11" s="146">
        <f>IF(AND(B11&gt;=5,B11&lt;45),0.02436*(B11-45)+0.47831,IF(AND(B11&gt;=45,B11&lt;85),0.0643*(B11-75)+2.40733))</f>
        <v>0.47833000000000014</v>
      </c>
      <c r="AF11" s="146">
        <f>IF(AND(B11&gt;=5,B11&lt;45),-0.00001*(B11-45)-0.00165,IF(AND(B11&gt;=45,B11&lt;85),-0.00153))</f>
        <v>-1.5299999999999999E-3</v>
      </c>
      <c r="AG11" s="146">
        <f>IF(AND(B11&gt;=5,B11&lt;45),0.00228*(B11-45)+0.10021,IF(AND(B11&gt;=45,B11&lt;85),0.00144*(B11-75)+0.14358))</f>
        <v>0.10038000000000001</v>
      </c>
      <c r="AH11">
        <f>AC11*LN(I11)+AD11*Y11+AE11*(1-Y11)+AF11*Z11*(H11-100)+AG11*(1-Z11)</f>
        <v>0.48389973626037236</v>
      </c>
      <c r="AJ11">
        <f>AA11+AH11*LN(O11)+AB11*LN(I11)</f>
        <v>0.32608040702065999</v>
      </c>
      <c r="AK11" s="146">
        <v>1.5</v>
      </c>
      <c r="AN11">
        <f>IF(AK11&lt;EXP(AJ11),1,0)</f>
        <v>0</v>
      </c>
      <c r="AO11">
        <f>IF(I11&lt;50,1,0)</f>
        <v>0</v>
      </c>
      <c r="AP11">
        <f>IF(P11="sand",1,0)</f>
        <v>1</v>
      </c>
      <c r="AQ11" s="146">
        <f>IF(AND(B11&gt;=5,B11&lt;45),-0.02174*(B11-45)+0.16235,IF(AND(B11&gt;=45,B11&lt;85),-0.02787*(B11-75)-0.67388))</f>
        <v>0.16221999999999992</v>
      </c>
      <c r="AR11" s="146">
        <f>IF(AND(B11&gt;=5,B11&lt;45),0.00203*(B11-45)+0.24407,IF(AND(B11&gt;=45,B11&lt;85),0.00361*(B11-75)+0.35249))</f>
        <v>0.24419000000000002</v>
      </c>
      <c r="AS11" s="146">
        <f>IF(AND(B11&gt;=5,B11&lt;45),-0.02801*(B11-45)+1.64437,IF(AND(B11&gt;=45,B11&lt;85),0.00794*(B11-75)+1.8827))</f>
        <v>1.6445000000000001</v>
      </c>
      <c r="AT11" s="146">
        <f>IF(AND(B11&gt;=5,B11&lt;45),-0.0001*(B11-45)-0.00387,IF(AND(B11&gt;=45,B11&lt;85),-0.00002*(B11-75)-0.00456))</f>
        <v>-3.96E-3</v>
      </c>
      <c r="AU11" s="146">
        <f>IF(AND(B11&gt;=5,B11&lt;45),-0.00114*(B11-45)+0.00514,IF(AND(B11&gt;=45,B11&lt;85),0.00057*(B11-75)+0.02215))</f>
        <v>5.0499999999999989E-3</v>
      </c>
      <c r="AV11" s="146">
        <f>IF(AND(B11&gt;=5,B11&lt;45),0.01436*(B11-45)-0.12124,IF(AND(B11&gt;=45,B11&lt;85),-0.00844*(B11-75)-0.37439))</f>
        <v>-0.12119000000000002</v>
      </c>
      <c r="AW11" s="146">
        <f>IF(AND(B11&gt;=5,B11&lt;45),0.00002*(B11-45)+0.00092,IF(AND(B11&gt;=45,B11&lt;85),0.00002*(B11-75)+0.00156))</f>
        <v>9.5999999999999992E-4</v>
      </c>
      <c r="AX11" s="146">
        <f>IF(AND(B11&gt;=5,B11&lt;45),0.01326*(B11-45)+0.97745,IF(AND(B11&gt;=45,B11&lt;85),-0.00799*(B11-75)+0.73788))</f>
        <v>0.97758</v>
      </c>
      <c r="AY11" s="146">
        <f>IF(AND(B11&gt;=5,B11&lt;45),0.00061*(B11-45)+0.00602,IF(AND(B11&gt;=45,B11&lt;85),-0.00081*(B11-75)-0.01826))</f>
        <v>6.0400000000000002E-3</v>
      </c>
      <c r="AZ11" s="146">
        <f>IF(AND(B11&gt;=5,B11&lt;45),-0.00728*(B11-45)-0.06927,IF(AND(B11&gt;=45,B11&lt;85),0.00522*(B11-75)+0.08748))</f>
        <v>-6.9119999999999987E-2</v>
      </c>
      <c r="BA11" s="146">
        <f>IF(AND(B11&gt;=5,B11&lt;45),0.0148*(B11-45)+0.46008,IF(AND(B11&gt;=45,B11&lt;85),-0.00924*(B11-75)+0.18293))</f>
        <v>0.46013000000000004</v>
      </c>
      <c r="BB11" s="146">
        <f>IF(AND(B11&gt;=5,B11&lt;45),0.00272*(B11-45)+0.11565,IF(AND(B11&gt;=45,B11&lt;85),0.00122*(B11-75)+0.15234))</f>
        <v>0.11574000000000001</v>
      </c>
      <c r="BK11">
        <f>AN11*(AT11+AU11*X11+AV11*AO11*(I11-50)+AW11*(1-AO11)+AX11*H11)</f>
        <v>0</v>
      </c>
      <c r="BL11">
        <f>(1-AN11)*(AY11+AZ11*AO11*(I11-50)+BA11*(1-AO11)+BB11*LN(O11))</f>
        <v>0.53003498191559706</v>
      </c>
      <c r="BM11">
        <f t="shared" si="16"/>
        <v>0.53003498191559706</v>
      </c>
      <c r="BN11">
        <f>AQ11+BM11*LN(AK11/EXP(AJ11))+AR11*LN(H11)+AP11*AS11*LN(X11)</f>
        <v>6.7279221070890927</v>
      </c>
      <c r="BO11" s="142">
        <f t="shared" si="17"/>
        <v>100</v>
      </c>
      <c r="BP11" s="146">
        <f>IF(AND(B11&gt;=5,B11&lt;45),0.00302*(B11-45)+0.53947,IF(AND(B11&gt;=45,B11&lt;85),0.00428*(B11-75)+0.66796))</f>
        <v>0.53956000000000004</v>
      </c>
      <c r="BQ11">
        <v>0.3</v>
      </c>
    </row>
    <row r="12" spans="1:69" ht="15.75" x14ac:dyDescent="0.25">
      <c r="A12" s="146">
        <v>10</v>
      </c>
      <c r="B12" s="146">
        <v>45</v>
      </c>
      <c r="C12" s="146" t="str">
        <f t="shared" si="3"/>
        <v>SSTens_5to85</v>
      </c>
      <c r="D12">
        <v>0.60960000000000003</v>
      </c>
      <c r="E12">
        <f t="shared" si="0"/>
        <v>609.6</v>
      </c>
      <c r="F12">
        <v>1.1130000000000001E-2</v>
      </c>
      <c r="G12">
        <f t="shared" si="1"/>
        <v>11.13</v>
      </c>
      <c r="H12" s="4">
        <f t="shared" si="2"/>
        <v>54.770889487870619</v>
      </c>
      <c r="I12" s="146">
        <v>200</v>
      </c>
      <c r="J12" s="146" t="s">
        <v>186</v>
      </c>
      <c r="K12" s="146">
        <f t="shared" si="4"/>
        <v>3</v>
      </c>
      <c r="L12" s="146">
        <f t="shared" si="5"/>
        <v>8</v>
      </c>
      <c r="M12" s="146">
        <f t="shared" si="6"/>
        <v>241000</v>
      </c>
      <c r="N12" s="146">
        <f t="shared" si="7"/>
        <v>344000</v>
      </c>
      <c r="O12" s="146">
        <f t="shared" si="8"/>
        <v>1.1599577949833839</v>
      </c>
      <c r="P12" t="s">
        <v>9</v>
      </c>
      <c r="Q12" t="s">
        <v>270</v>
      </c>
      <c r="R12">
        <f t="shared" si="9"/>
        <v>19</v>
      </c>
      <c r="S12">
        <f t="shared" si="10"/>
        <v>43</v>
      </c>
      <c r="T12">
        <f t="shared" si="11"/>
        <v>0</v>
      </c>
      <c r="U12">
        <f t="shared" si="12"/>
        <v>0</v>
      </c>
      <c r="V12">
        <v>0.9</v>
      </c>
      <c r="W12" s="146">
        <v>2</v>
      </c>
      <c r="X12">
        <f t="shared" si="13"/>
        <v>58.303260831062495</v>
      </c>
      <c r="Y12">
        <f t="shared" si="14"/>
        <v>1</v>
      </c>
      <c r="Z12">
        <f t="shared" si="15"/>
        <v>1</v>
      </c>
      <c r="AA12" s="146">
        <f>IF(AND(B12&gt;=5,B12&lt;45),-0.05402*(B12-45)-1.82829,IF(AND(B12&gt;=45,B12&lt;85),0.00735*(B12-75)-1.60779))</f>
        <v>-1.82829</v>
      </c>
      <c r="AB12" s="146">
        <f>IF(AND(B12&gt;=5,B12&lt;45),0.01347*(B12-45)+0.37664,IF(AND(B12&gt;=45,B12&lt;85),0.00484*(B12-75)+0.52187))</f>
        <v>0.37666999999999995</v>
      </c>
      <c r="AC12" s="146">
        <f>IF(AND(B12&gt;=5,B12&lt;45),-0.00301*(B12-45)-0.01591,IF(AND(B12&gt;=45,B12&lt;85),-0.02185*(B12-75)-0.67156))</f>
        <v>-1.6059999999999963E-2</v>
      </c>
      <c r="AD12" s="146">
        <f>IF(AND(B12&gt;=5,B12&lt;45),0.02182*(B12-45)+0.49488,IF(AND(B12&gt;=45,B12&lt;85),0.05619*(B12-75)+2.18087))</f>
        <v>0.49517000000000011</v>
      </c>
      <c r="AE12" s="146">
        <f>IF(AND(B12&gt;=5,B12&lt;45),0.02436*(B12-45)+0.47831,IF(AND(B12&gt;=45,B12&lt;85),0.0643*(B12-75)+2.40733))</f>
        <v>0.47833000000000014</v>
      </c>
      <c r="AF12" s="146">
        <f>IF(AND(B12&gt;=5,B12&lt;45),-0.00001*(B12-45)-0.00165,IF(AND(B12&gt;=45,B12&lt;85),-0.00153))</f>
        <v>-1.5299999999999999E-3</v>
      </c>
      <c r="AG12" s="146">
        <f>IF(AND(B12&gt;=5,B12&lt;45),0.00228*(B12-45)+0.10021,IF(AND(B12&gt;=45,B12&lt;85),0.00144*(B12-75)+0.14358))</f>
        <v>0.10038000000000001</v>
      </c>
      <c r="AH12">
        <f>AC12*LN(I12)+AD12*Y12+AE12*(1-Y12)+AF12*Z12*(H12-100)+AG12*(1-Z12)</f>
        <v>0.47927956217679679</v>
      </c>
      <c r="AJ12">
        <f>AA12+AH12*LN(O12)+AB12*LN(I12)</f>
        <v>0.23854443927911739</v>
      </c>
      <c r="AK12" s="146">
        <v>2.75</v>
      </c>
      <c r="AN12">
        <f>IF(AK12&lt;EXP(AJ12),1,0)</f>
        <v>0</v>
      </c>
      <c r="AO12">
        <f>IF(I12&lt;50,1,0)</f>
        <v>0</v>
      </c>
      <c r="AP12">
        <f>IF(P12="sand",1,0)</f>
        <v>1</v>
      </c>
      <c r="AQ12" s="146">
        <f>IF(AND(B12&gt;=5,B12&lt;45),-0.02174*(B12-45)+0.16235,IF(AND(B12&gt;=45,B12&lt;85),-0.02787*(B12-75)-0.67388))</f>
        <v>0.16221999999999992</v>
      </c>
      <c r="AR12" s="146">
        <f>IF(AND(B12&gt;=5,B12&lt;45),0.00203*(B12-45)+0.24407,IF(AND(B12&gt;=45,B12&lt;85),0.00361*(B12-75)+0.35249))</f>
        <v>0.24419000000000002</v>
      </c>
      <c r="AS12" s="146">
        <f>IF(AND(B12&gt;=5,B12&lt;45),-0.02801*(B12-45)+1.64437,IF(AND(B12&gt;=45,B12&lt;85),0.00794*(B12-75)+1.8827))</f>
        <v>1.6445000000000001</v>
      </c>
      <c r="AT12" s="146">
        <f>IF(AND(B12&gt;=5,B12&lt;45),-0.0001*(B12-45)-0.00387,IF(AND(B12&gt;=45,B12&lt;85),-0.00002*(B12-75)-0.00456))</f>
        <v>-3.96E-3</v>
      </c>
      <c r="AU12" s="146">
        <f>IF(AND(B12&gt;=5,B12&lt;45),-0.00114*(B12-45)+0.00514,IF(AND(B12&gt;=45,B12&lt;85),0.00057*(B12-75)+0.02215))</f>
        <v>5.0499999999999989E-3</v>
      </c>
      <c r="AV12" s="146">
        <f>IF(AND(B12&gt;=5,B12&lt;45),0.01436*(B12-45)-0.12124,IF(AND(B12&gt;=45,B12&lt;85),-0.00844*(B12-75)-0.37439))</f>
        <v>-0.12119000000000002</v>
      </c>
      <c r="AW12" s="146">
        <f>IF(AND(B12&gt;=5,B12&lt;45),0.00002*(B12-45)+0.00092,IF(AND(B12&gt;=45,B12&lt;85),0.00002*(B12-75)+0.00156))</f>
        <v>9.5999999999999992E-4</v>
      </c>
      <c r="AX12" s="146">
        <f>IF(AND(B12&gt;=5,B12&lt;45),0.01326*(B12-45)+0.97745,IF(AND(B12&gt;=45,B12&lt;85),-0.00799*(B12-75)+0.73788))</f>
        <v>0.97758</v>
      </c>
      <c r="AY12" s="146">
        <f>IF(AND(B12&gt;=5,B12&lt;45),0.00061*(B12-45)+0.00602,IF(AND(B12&gt;=45,B12&lt;85),-0.00081*(B12-75)-0.01826))</f>
        <v>6.0400000000000002E-3</v>
      </c>
      <c r="AZ12" s="146">
        <f>IF(AND(B12&gt;=5,B12&lt;45),-0.00728*(B12-45)-0.06927,IF(AND(B12&gt;=45,B12&lt;85),0.00522*(B12-75)+0.08748))</f>
        <v>-6.9119999999999987E-2</v>
      </c>
      <c r="BA12" s="146">
        <f>IF(AND(B12&gt;=5,B12&lt;45),0.0148*(B12-45)+0.46008,IF(AND(B12&gt;=45,B12&lt;85),-0.00924*(B12-75)+0.18293))</f>
        <v>0.46013000000000004</v>
      </c>
      <c r="BB12" s="146">
        <f>IF(AND(B12&gt;=5,B12&lt;45),0.00272*(B12-45)+0.11565,IF(AND(B12&gt;=45,B12&lt;85),0.00122*(B12-75)+0.15234))</f>
        <v>0.11574000000000001</v>
      </c>
      <c r="BK12">
        <f>AN12*(AT12+AU12*X12+AV12*AO12*(I12-50)+AW12*(1-AO12)+AX12*H12)</f>
        <v>0</v>
      </c>
      <c r="BL12">
        <f>(1-AN12)*(AY12+AZ12*AO12*(I12-50)+BA12*(1-AO12)+BB12*LN(O12))</f>
        <v>0.48334392027386414</v>
      </c>
      <c r="BM12">
        <f t="shared" si="16"/>
        <v>0.48334392027386414</v>
      </c>
      <c r="BN12">
        <f>AQ12+BM12*LN(AK12/EXP(AJ12))+AR12*LN(H12)+AP12*AS12*LN(X12)</f>
        <v>8.1993781228772242</v>
      </c>
      <c r="BO12" s="142">
        <f t="shared" si="17"/>
        <v>100</v>
      </c>
      <c r="BP12" s="146">
        <f>IF(AND(B12&gt;=5,B12&lt;45),0.00302*(B12-45)+0.53947,IF(AND(B12&gt;=45,B12&lt;85),0.00428*(B12-75)+0.66796))</f>
        <v>0.53956000000000004</v>
      </c>
      <c r="BQ12">
        <v>0.3</v>
      </c>
    </row>
    <row r="13" spans="1:69" ht="15.75" x14ac:dyDescent="0.25">
      <c r="A13" s="146">
        <v>11</v>
      </c>
      <c r="B13" s="146">
        <v>55</v>
      </c>
      <c r="C13" s="146" t="str">
        <f t="shared" si="3"/>
        <v>SSTens_5to85</v>
      </c>
      <c r="D13">
        <v>0.20319999999999999</v>
      </c>
      <c r="E13">
        <f t="shared" si="0"/>
        <v>203.2</v>
      </c>
      <c r="F13">
        <v>5.5599999999999998E-3</v>
      </c>
      <c r="G13">
        <f t="shared" si="1"/>
        <v>5.56</v>
      </c>
      <c r="H13" s="4">
        <f t="shared" si="2"/>
        <v>36.546762589928058</v>
      </c>
      <c r="I13" s="146">
        <v>15</v>
      </c>
      <c r="J13" s="146" t="s">
        <v>117</v>
      </c>
      <c r="K13" s="146">
        <f t="shared" si="4"/>
        <v>8</v>
      </c>
      <c r="L13" s="146">
        <f t="shared" si="5"/>
        <v>10</v>
      </c>
      <c r="M13" s="146">
        <f t="shared" si="6"/>
        <v>359000</v>
      </c>
      <c r="N13" s="146">
        <f t="shared" si="7"/>
        <v>455000</v>
      </c>
      <c r="O13" s="146">
        <f t="shared" si="8"/>
        <v>1.9969902892117808</v>
      </c>
      <c r="P13" t="s">
        <v>10</v>
      </c>
      <c r="Q13" t="s">
        <v>265</v>
      </c>
      <c r="R13">
        <f t="shared" si="9"/>
        <v>17.5</v>
      </c>
      <c r="S13">
        <f t="shared" si="10"/>
        <v>0</v>
      </c>
      <c r="T13">
        <f t="shared" si="11"/>
        <v>37.5</v>
      </c>
      <c r="U13">
        <f t="shared" si="12"/>
        <v>1.1000000000000001</v>
      </c>
      <c r="V13">
        <v>0.9</v>
      </c>
      <c r="W13" s="146">
        <v>0</v>
      </c>
      <c r="X13">
        <f t="shared" si="13"/>
        <v>26.332829622389642</v>
      </c>
      <c r="Y13">
        <f t="shared" si="14"/>
        <v>1</v>
      </c>
      <c r="Z13">
        <f t="shared" si="15"/>
        <v>1</v>
      </c>
      <c r="AA13" s="146">
        <f>IF(AND(B13&gt;=5,B13&lt;45),-0.05402*(B13-45)-1.82829,IF(AND(B13&gt;=45,B13&lt;85),0.00735*(B13-75)-1.60779))</f>
        <v>-1.7547900000000001</v>
      </c>
      <c r="AB13" s="146">
        <f>IF(AND(B13&gt;=5,B13&lt;45),0.01347*(B13-45)+0.37664,IF(AND(B13&gt;=45,B13&lt;85),0.00484*(B13-75)+0.52187))</f>
        <v>0.42506999999999995</v>
      </c>
      <c r="AC13" s="146">
        <f>IF(AND(B13&gt;=5,B13&lt;45),-0.00301*(B13-45)-0.01591,IF(AND(B13&gt;=45,B13&lt;85),-0.02185*(B13-75)-0.67156))</f>
        <v>-0.23455999999999999</v>
      </c>
      <c r="AD13" s="146">
        <f>IF(AND(B13&gt;=5,B13&lt;45),0.02182*(B13-45)+0.49488,IF(AND(B13&gt;=45,B13&lt;85),0.05619*(B13-75)+2.18087))</f>
        <v>1.0570700000000002</v>
      </c>
      <c r="AE13" s="146">
        <f>IF(AND(B13&gt;=5,B13&lt;45),0.02436*(B13-45)+0.47831,IF(AND(B13&gt;=45,B13&lt;85),0.0643*(B13-75)+2.40733))</f>
        <v>1.1213299999999999</v>
      </c>
      <c r="AF13" s="146">
        <f>IF(AND(B13&gt;=5,B13&lt;45),-0.00001*(B13-45)-0.00165,IF(AND(B13&gt;=45,B13&lt;85),-0.00153))</f>
        <v>-1.5299999999999999E-3</v>
      </c>
      <c r="AG13" s="146">
        <f>IF(AND(B13&gt;=5,B13&lt;45),0.00228*(B13-45)+0.10021,IF(AND(B13&gt;=45,B13&lt;85),0.00144*(B13-75)+0.14358))</f>
        <v>0.11478000000000001</v>
      </c>
      <c r="AH13">
        <f>AC13*LN(I13)+AD13*Y13+AE13*(1-Y13)+AF13*Z13*(H13-100)+AG13*(1-Z13)</f>
        <v>0.5189531980668759</v>
      </c>
      <c r="AJ13">
        <f>AA13+AH13*LN(O13)+AB13*LN(I13)</f>
        <v>-0.24474969265248792</v>
      </c>
      <c r="AK13" s="146">
        <v>0.75</v>
      </c>
      <c r="AN13">
        <f>IF(AK13&lt;EXP(AJ13),1,0)</f>
        <v>1</v>
      </c>
      <c r="AO13">
        <f>IF(I13&lt;50,1,0)</f>
        <v>1</v>
      </c>
      <c r="AP13">
        <f>IF(P13="sand",1,0)</f>
        <v>0</v>
      </c>
      <c r="AQ13" s="146">
        <f>IF(AND(B13&gt;=5,B13&lt;45),-0.02174*(B13-45)+0.16235,IF(AND(B13&gt;=45,B13&lt;85),-0.02787*(B13-75)-0.67388))</f>
        <v>-0.11648000000000003</v>
      </c>
      <c r="AR13" s="146">
        <f>IF(AND(B13&gt;=5,B13&lt;45),0.00203*(B13-45)+0.24407,IF(AND(B13&gt;=45,B13&lt;85),0.00361*(B13-75)+0.35249))</f>
        <v>0.28029000000000004</v>
      </c>
      <c r="AS13" s="146">
        <f>IF(AND(B13&gt;=5,B13&lt;45),-0.02801*(B13-45)+1.64437,IF(AND(B13&gt;=45,B13&lt;85),0.00794*(B13-75)+1.8827))</f>
        <v>1.7239</v>
      </c>
      <c r="AT13" s="146">
        <f>IF(AND(B13&gt;=5,B13&lt;45),-0.0001*(B13-45)-0.00387,IF(AND(B13&gt;=45,B13&lt;85),-0.00002*(B13-75)-0.00456))</f>
        <v>-4.1599999999999996E-3</v>
      </c>
      <c r="AU13" s="146">
        <f>IF(AND(B13&gt;=5,B13&lt;45),-0.00114*(B13-45)+0.00514,IF(AND(B13&gt;=45,B13&lt;85),0.00057*(B13-75)+0.02215))</f>
        <v>1.0749999999999999E-2</v>
      </c>
      <c r="AV13" s="146">
        <f>IF(AND(B13&gt;=5,B13&lt;45),0.01436*(B13-45)-0.12124,IF(AND(B13&gt;=45,B13&lt;85),-0.00844*(B13-75)-0.37439))</f>
        <v>-0.20558999999999999</v>
      </c>
      <c r="AW13" s="146">
        <f>IF(AND(B13&gt;=5,B13&lt;45),0.00002*(B13-45)+0.00092,IF(AND(B13&gt;=45,B13&lt;85),0.00002*(B13-75)+0.00156))</f>
        <v>1.16E-3</v>
      </c>
      <c r="AX13" s="146">
        <f>IF(AND(B13&gt;=5,B13&lt;45),0.01326*(B13-45)+0.97745,IF(AND(B13&gt;=45,B13&lt;85),-0.00799*(B13-75)+0.73788))</f>
        <v>0.89768000000000003</v>
      </c>
      <c r="AY13" s="146">
        <f>IF(AND(B13&gt;=5,B13&lt;45),0.00061*(B13-45)+0.00602,IF(AND(B13&gt;=45,B13&lt;85),-0.00081*(B13-75)-0.01826))</f>
        <v>-2.0599999999999993E-3</v>
      </c>
      <c r="AZ13" s="146">
        <f>IF(AND(B13&gt;=5,B13&lt;45),-0.00728*(B13-45)-0.06927,IF(AND(B13&gt;=45,B13&lt;85),0.00522*(B13-75)+0.08748))</f>
        <v>-1.6919999999999991E-2</v>
      </c>
      <c r="BA13" s="146">
        <f>IF(AND(B13&gt;=5,B13&lt;45),0.0148*(B13-45)+0.46008,IF(AND(B13&gt;=45,B13&lt;85),-0.00924*(B13-75)+0.18293))</f>
        <v>0.36773</v>
      </c>
      <c r="BB13" s="146">
        <f>IF(AND(B13&gt;=5,B13&lt;45),0.00272*(B13-45)+0.11565,IF(AND(B13&gt;=45,B13&lt;85),0.00122*(B13-75)+0.15234))</f>
        <v>0.12794</v>
      </c>
      <c r="BK13">
        <f>AN13*(AT13+AU13*X13+AV13*AO13*(I13-50)+AW13*(1-AO13)+AX13*H13)</f>
        <v>40.281865760167314</v>
      </c>
      <c r="BL13">
        <f>(1-AN13)*(AY13+AZ13*AO13*(I13-50)+BA13*(1-AO13)+BB13*LN(O13))</f>
        <v>0</v>
      </c>
      <c r="BM13">
        <f t="shared" si="16"/>
        <v>40.281865760167314</v>
      </c>
      <c r="BN13">
        <f>AQ13+BM13*LN(AK13/EXP(AJ13))+AR13*LN(H13)+AP13*AS13*LN(X13)</f>
        <v>-0.8372268378997707</v>
      </c>
      <c r="BO13" s="142">
        <f t="shared" si="17"/>
        <v>0.43290938824584474</v>
      </c>
      <c r="BP13" s="146">
        <f>IF(AND(B13&gt;=5,B13&lt;45),0.00302*(B13-45)+0.53947,IF(AND(B13&gt;=45,B13&lt;85),0.00428*(B13-75)+0.66796))</f>
        <v>0.58235999999999999</v>
      </c>
      <c r="BQ13">
        <v>0.3</v>
      </c>
    </row>
    <row r="14" spans="1:69" ht="15.75" x14ac:dyDescent="0.25">
      <c r="A14" s="146">
        <v>12</v>
      </c>
      <c r="B14" s="146">
        <v>55</v>
      </c>
      <c r="C14" s="146" t="str">
        <f t="shared" si="3"/>
        <v>SSTens_5to85</v>
      </c>
      <c r="D14">
        <v>0.30480000000000002</v>
      </c>
      <c r="E14">
        <f t="shared" si="0"/>
        <v>304.8</v>
      </c>
      <c r="F14">
        <v>7.1399999999999996E-3</v>
      </c>
      <c r="G14">
        <f t="shared" si="1"/>
        <v>7.14</v>
      </c>
      <c r="H14" s="4">
        <f t="shared" si="2"/>
        <v>42.689075630252105</v>
      </c>
      <c r="I14" s="146">
        <v>30</v>
      </c>
      <c r="J14" s="146" t="s">
        <v>118</v>
      </c>
      <c r="K14" s="146">
        <f t="shared" si="4"/>
        <v>8</v>
      </c>
      <c r="L14" s="146">
        <f t="shared" si="5"/>
        <v>12</v>
      </c>
      <c r="M14" s="146">
        <f t="shared" si="6"/>
        <v>414000</v>
      </c>
      <c r="N14" s="146">
        <f t="shared" si="7"/>
        <v>517000</v>
      </c>
      <c r="O14" s="146">
        <f t="shared" si="8"/>
        <v>2.5466769467238102</v>
      </c>
      <c r="P14" t="s">
        <v>10</v>
      </c>
      <c r="Q14" t="s">
        <v>265</v>
      </c>
      <c r="R14">
        <f t="shared" si="9"/>
        <v>17.5</v>
      </c>
      <c r="S14">
        <f t="shared" si="10"/>
        <v>0</v>
      </c>
      <c r="T14">
        <f t="shared" si="11"/>
        <v>37.5</v>
      </c>
      <c r="U14">
        <f t="shared" si="12"/>
        <v>1.1000000000000001</v>
      </c>
      <c r="V14">
        <v>0.9</v>
      </c>
      <c r="W14" s="146">
        <v>0</v>
      </c>
      <c r="X14">
        <f t="shared" si="13"/>
        <v>39.499244433584465</v>
      </c>
      <c r="Y14">
        <f t="shared" si="14"/>
        <v>1</v>
      </c>
      <c r="Z14">
        <f t="shared" si="15"/>
        <v>1</v>
      </c>
      <c r="AA14" s="146">
        <f>IF(AND(B14&gt;=5,B14&lt;45),-0.05402*(B14-45)-1.82829,IF(AND(B14&gt;=45,B14&lt;85),0.00735*(B14-75)-1.60779))</f>
        <v>-1.7547900000000001</v>
      </c>
      <c r="AB14" s="146">
        <f>IF(AND(B14&gt;=5,B14&lt;45),0.01347*(B14-45)+0.37664,IF(AND(B14&gt;=45,B14&lt;85),0.00484*(B14-75)+0.52187))</f>
        <v>0.42506999999999995</v>
      </c>
      <c r="AC14" s="146">
        <f>IF(AND(B14&gt;=5,B14&lt;45),-0.00301*(B14-45)-0.01591,IF(AND(B14&gt;=45,B14&lt;85),-0.02185*(B14-75)-0.67156))</f>
        <v>-0.23455999999999999</v>
      </c>
      <c r="AD14" s="146">
        <f>IF(AND(B14&gt;=5,B14&lt;45),0.02182*(B14-45)+0.49488,IF(AND(B14&gt;=45,B14&lt;85),0.05619*(B14-75)+2.18087))</f>
        <v>1.0570700000000002</v>
      </c>
      <c r="AE14" s="146">
        <f>IF(AND(B14&gt;=5,B14&lt;45),0.02436*(B14-45)+0.47831,IF(AND(B14&gt;=45,B14&lt;85),0.0643*(B14-75)+2.40733))</f>
        <v>1.1213299999999999</v>
      </c>
      <c r="AF14" s="146">
        <f>IF(AND(B14&gt;=5,B14&lt;45),-0.00001*(B14-45)-0.00165,IF(AND(B14&gt;=45,B14&lt;85),-0.00153))</f>
        <v>-1.5299999999999999E-3</v>
      </c>
      <c r="AG14" s="146">
        <f>IF(AND(B14&gt;=5,B14&lt;45),0.00228*(B14-45)+0.10021,IF(AND(B14&gt;=45,B14&lt;85),0.00144*(B14-75)+0.14358))</f>
        <v>0.11478000000000001</v>
      </c>
      <c r="AH14">
        <f>AC14*LN(I14)+AD14*Y14+AE14*(1-Y14)+AF14*Z14*(H14-100)+AG14*(1-Z14)</f>
        <v>0.34697085644303927</v>
      </c>
      <c r="AJ14">
        <f>AA14+AH14*LN(O14)+AB14*LN(I14)</f>
        <v>1.5301632793747411E-2</v>
      </c>
      <c r="AK14" s="146">
        <v>0.75</v>
      </c>
      <c r="AN14">
        <f>IF(AK14&lt;EXP(AJ14),1,0)</f>
        <v>1</v>
      </c>
      <c r="AO14">
        <f>IF(I14&lt;50,1,0)</f>
        <v>1</v>
      </c>
      <c r="AP14">
        <f>IF(P14="sand",1,0)</f>
        <v>0</v>
      </c>
      <c r="AQ14" s="146">
        <f>IF(AND(B14&gt;=5,B14&lt;45),-0.02174*(B14-45)+0.16235,IF(AND(B14&gt;=45,B14&lt;85),-0.02787*(B14-75)-0.67388))</f>
        <v>-0.11648000000000003</v>
      </c>
      <c r="AR14" s="146">
        <f>IF(AND(B14&gt;=5,B14&lt;45),0.00203*(B14-45)+0.24407,IF(AND(B14&gt;=45,B14&lt;85),0.00361*(B14-75)+0.35249))</f>
        <v>0.28029000000000004</v>
      </c>
      <c r="AS14" s="146">
        <f>IF(AND(B14&gt;=5,B14&lt;45),-0.02801*(B14-45)+1.64437,IF(AND(B14&gt;=45,B14&lt;85),0.00794*(B14-75)+1.8827))</f>
        <v>1.7239</v>
      </c>
      <c r="AT14" s="146">
        <f>IF(AND(B14&gt;=5,B14&lt;45),-0.0001*(B14-45)-0.00387,IF(AND(B14&gt;=45,B14&lt;85),-0.00002*(B14-75)-0.00456))</f>
        <v>-4.1599999999999996E-3</v>
      </c>
      <c r="AU14" s="146">
        <f>IF(AND(B14&gt;=5,B14&lt;45),-0.00114*(B14-45)+0.00514,IF(AND(B14&gt;=45,B14&lt;85),0.00057*(B14-75)+0.02215))</f>
        <v>1.0749999999999999E-2</v>
      </c>
      <c r="AV14" s="146">
        <f>IF(AND(B14&gt;=5,B14&lt;45),0.01436*(B14-45)-0.12124,IF(AND(B14&gt;=45,B14&lt;85),-0.00844*(B14-75)-0.37439))</f>
        <v>-0.20558999999999999</v>
      </c>
      <c r="AW14" s="146">
        <f>IF(AND(B14&gt;=5,B14&lt;45),0.00002*(B14-45)+0.00092,IF(AND(B14&gt;=45,B14&lt;85),0.00002*(B14-75)+0.00156))</f>
        <v>1.16E-3</v>
      </c>
      <c r="AX14" s="146">
        <f>IF(AND(B14&gt;=5,B14&lt;45),0.01326*(B14-45)+0.97745,IF(AND(B14&gt;=45,B14&lt;85),-0.00799*(B14-75)+0.73788))</f>
        <v>0.89768000000000003</v>
      </c>
      <c r="AY14" s="146">
        <f>IF(AND(B14&gt;=5,B14&lt;45),0.00061*(B14-45)+0.00602,IF(AND(B14&gt;=45,B14&lt;85),-0.00081*(B14-75)-0.01826))</f>
        <v>-2.0599999999999993E-3</v>
      </c>
      <c r="AZ14" s="146">
        <f>IF(AND(B14&gt;=5,B14&lt;45),-0.00728*(B14-45)-0.06927,IF(AND(B14&gt;=45,B14&lt;85),0.00522*(B14-75)+0.08748))</f>
        <v>-1.6919999999999991E-2</v>
      </c>
      <c r="BA14" s="146">
        <f>IF(AND(B14&gt;=5,B14&lt;45),0.0148*(B14-45)+0.46008,IF(AND(B14&gt;=45,B14&lt;85),-0.00924*(B14-75)+0.18293))</f>
        <v>0.36773</v>
      </c>
      <c r="BB14" s="146">
        <f>IF(AND(B14&gt;=5,B14&lt;45),0.00272*(B14-45)+0.11565,IF(AND(B14&gt;=45,B14&lt;85),0.00122*(B14-75)+0.15234))</f>
        <v>0.12794</v>
      </c>
      <c r="BK14">
        <f>AN14*(AT14+AU14*X14+AV14*AO14*(I14-50)+AW14*(1-AO14)+AX14*H14)</f>
        <v>42.853386289425742</v>
      </c>
      <c r="BL14">
        <f>(1-AN14)*(AY14+AZ14*AO14*(I14-50)+BA14*(1-AO14)+BB14*LN(O14))</f>
        <v>0</v>
      </c>
      <c r="BM14">
        <f t="shared" si="16"/>
        <v>42.853386289425742</v>
      </c>
      <c r="BN14">
        <f>AQ14+BM14*LN(AK14/EXP(AJ14))+AR14*LN(H14)+AP14*AS14*LN(X14)</f>
        <v>-12.048165063515285</v>
      </c>
      <c r="BO14" s="142">
        <f t="shared" si="17"/>
        <v>5.8552898144454252E-6</v>
      </c>
      <c r="BP14" s="146">
        <f>IF(AND(B14&gt;=5,B14&lt;45),0.00302*(B14-45)+0.53947,IF(AND(B14&gt;=45,B14&lt;85),0.00428*(B14-75)+0.66796))</f>
        <v>0.58235999999999999</v>
      </c>
      <c r="BQ14">
        <v>0.3</v>
      </c>
    </row>
    <row r="15" spans="1:69" ht="15.75" x14ac:dyDescent="0.25">
      <c r="A15" s="146">
        <v>13</v>
      </c>
      <c r="B15" s="146">
        <v>65</v>
      </c>
      <c r="C15" s="146" t="str">
        <f t="shared" si="3"/>
        <v>SSTens_5to85</v>
      </c>
      <c r="D15">
        <v>0.40639999999999998</v>
      </c>
      <c r="E15">
        <f t="shared" si="0"/>
        <v>406.4</v>
      </c>
      <c r="F15">
        <v>9.5299999999999985E-3</v>
      </c>
      <c r="G15">
        <f t="shared" si="1"/>
        <v>9.5299999999999994</v>
      </c>
      <c r="H15" s="4">
        <f t="shared" si="2"/>
        <v>42.644281217208821</v>
      </c>
      <c r="I15" s="146">
        <v>50</v>
      </c>
      <c r="J15" s="146" t="s">
        <v>119</v>
      </c>
      <c r="K15" s="146">
        <f t="shared" si="4"/>
        <v>14</v>
      </c>
      <c r="L15" s="146">
        <f t="shared" si="5"/>
        <v>15</v>
      </c>
      <c r="M15" s="146">
        <f t="shared" si="6"/>
        <v>483000</v>
      </c>
      <c r="N15" s="146">
        <f t="shared" si="7"/>
        <v>565000</v>
      </c>
      <c r="O15" s="146">
        <f t="shared" si="8"/>
        <v>2.8799444073326219</v>
      </c>
      <c r="P15" t="s">
        <v>10</v>
      </c>
      <c r="Q15" t="s">
        <v>265</v>
      </c>
      <c r="R15">
        <f t="shared" si="9"/>
        <v>17.5</v>
      </c>
      <c r="S15">
        <f t="shared" si="10"/>
        <v>0</v>
      </c>
      <c r="T15">
        <f t="shared" si="11"/>
        <v>37.5</v>
      </c>
      <c r="U15">
        <f t="shared" si="12"/>
        <v>1.1000000000000001</v>
      </c>
      <c r="V15">
        <v>0.9</v>
      </c>
      <c r="W15" s="146">
        <v>0</v>
      </c>
      <c r="X15">
        <f t="shared" si="13"/>
        <v>52.665659244779285</v>
      </c>
      <c r="Y15">
        <f t="shared" si="14"/>
        <v>1</v>
      </c>
      <c r="Z15">
        <f t="shared" si="15"/>
        <v>1</v>
      </c>
      <c r="AA15" s="146">
        <f>IF(AND(B15&gt;=5,B15&lt;45),-0.05402*(B15-45)-1.82829,IF(AND(B15&gt;=45,B15&lt;85),0.00735*(B15-75)-1.60779))</f>
        <v>-1.68129</v>
      </c>
      <c r="AB15" s="146">
        <f>IF(AND(B15&gt;=5,B15&lt;45),0.01347*(B15-45)+0.37664,IF(AND(B15&gt;=45,B15&lt;85),0.00484*(B15-75)+0.52187))</f>
        <v>0.47346999999999995</v>
      </c>
      <c r="AC15" s="146">
        <f>IF(AND(B15&gt;=5,B15&lt;45),-0.00301*(B15-45)-0.01591,IF(AND(B15&gt;=45,B15&lt;85),-0.02185*(B15-75)-0.67156))</f>
        <v>-0.45306000000000002</v>
      </c>
      <c r="AD15" s="146">
        <f>IF(AND(B15&gt;=5,B15&lt;45),0.02182*(B15-45)+0.49488,IF(AND(B15&gt;=45,B15&lt;85),0.05619*(B15-75)+2.18087))</f>
        <v>1.61897</v>
      </c>
      <c r="AE15" s="146">
        <f>IF(AND(B15&gt;=5,B15&lt;45),0.02436*(B15-45)+0.47831,IF(AND(B15&gt;=45,B15&lt;85),0.0643*(B15-75)+2.40733))</f>
        <v>1.76433</v>
      </c>
      <c r="AF15" s="146">
        <f>IF(AND(B15&gt;=5,B15&lt;45),-0.00001*(B15-45)-0.00165,IF(AND(B15&gt;=45,B15&lt;85),-0.00153))</f>
        <v>-1.5299999999999999E-3</v>
      </c>
      <c r="AG15" s="146">
        <f>IF(AND(B15&gt;=5,B15&lt;45),0.00228*(B15-45)+0.10021,IF(AND(B15&gt;=45,B15&lt;85),0.00144*(B15-75)+0.14358))</f>
        <v>0.12918000000000002</v>
      </c>
      <c r="AH15">
        <f>AC15*LN(I15)+AD15*Y15+AE15*(1-Y15)+AF15*Z15*(H15-100)+AG15*(1-Z15)</f>
        <v>-6.5656893101605426E-2</v>
      </c>
      <c r="AJ15">
        <f>AA15+AH15*LN(O15)+AB15*LN(I15)</f>
        <v>0.10148557550114656</v>
      </c>
      <c r="AK15" s="146">
        <v>0.75</v>
      </c>
      <c r="AN15">
        <f>IF(AK15&lt;EXP(AJ15),1,0)</f>
        <v>1</v>
      </c>
      <c r="AO15">
        <f>IF(I15&lt;50,1,0)</f>
        <v>0</v>
      </c>
      <c r="AP15">
        <f>IF(P15="sand",1,0)</f>
        <v>0</v>
      </c>
      <c r="AQ15" s="146">
        <f>IF(AND(B15&gt;=5,B15&lt;45),-0.02174*(B15-45)+0.16235,IF(AND(B15&gt;=45,B15&lt;85),-0.02787*(B15-75)-0.67388))</f>
        <v>-0.39518000000000003</v>
      </c>
      <c r="AR15" s="146">
        <f>IF(AND(B15&gt;=5,B15&lt;45),0.00203*(B15-45)+0.24407,IF(AND(B15&gt;=45,B15&lt;85),0.00361*(B15-75)+0.35249))</f>
        <v>0.31639</v>
      </c>
      <c r="AS15" s="146">
        <f>IF(AND(B15&gt;=5,B15&lt;45),-0.02801*(B15-45)+1.64437,IF(AND(B15&gt;=45,B15&lt;85),0.00794*(B15-75)+1.8827))</f>
        <v>1.8033000000000001</v>
      </c>
      <c r="AT15" s="146">
        <f>IF(AND(B15&gt;=5,B15&lt;45),-0.0001*(B15-45)-0.00387,IF(AND(B15&gt;=45,B15&lt;85),-0.00002*(B15-75)-0.00456))</f>
        <v>-4.3600000000000002E-3</v>
      </c>
      <c r="AU15" s="146">
        <f>IF(AND(B15&gt;=5,B15&lt;45),-0.00114*(B15-45)+0.00514,IF(AND(B15&gt;=45,B15&lt;85),0.00057*(B15-75)+0.02215))</f>
        <v>1.6449999999999999E-2</v>
      </c>
      <c r="AV15" s="146">
        <f>IF(AND(B15&gt;=5,B15&lt;45),0.01436*(B15-45)-0.12124,IF(AND(B15&gt;=45,B15&lt;85),-0.00844*(B15-75)-0.37439))</f>
        <v>-0.28998999999999997</v>
      </c>
      <c r="AW15" s="146">
        <f>IF(AND(B15&gt;=5,B15&lt;45),0.00002*(B15-45)+0.00092,IF(AND(B15&gt;=45,B15&lt;85),0.00002*(B15-75)+0.00156))</f>
        <v>1.3599999999999999E-3</v>
      </c>
      <c r="AX15" s="146">
        <f>IF(AND(B15&gt;=5,B15&lt;45),0.01326*(B15-45)+0.97745,IF(AND(B15&gt;=45,B15&lt;85),-0.00799*(B15-75)+0.73788))</f>
        <v>0.81777999999999995</v>
      </c>
      <c r="AY15" s="146">
        <f>IF(AND(B15&gt;=5,B15&lt;45),0.00061*(B15-45)+0.00602,IF(AND(B15&gt;=45,B15&lt;85),-0.00081*(B15-75)-0.01826))</f>
        <v>-1.0159999999999999E-2</v>
      </c>
      <c r="AZ15" s="146">
        <f>IF(AND(B15&gt;=5,B15&lt;45),-0.00728*(B15-45)-0.06927,IF(AND(B15&gt;=45,B15&lt;85),0.00522*(B15-75)+0.08748))</f>
        <v>3.5280000000000006E-2</v>
      </c>
      <c r="BA15" s="146">
        <f>IF(AND(B15&gt;=5,B15&lt;45),0.0148*(B15-45)+0.46008,IF(AND(B15&gt;=45,B15&lt;85),-0.00924*(B15-75)+0.18293))</f>
        <v>0.27533000000000002</v>
      </c>
      <c r="BB15" s="146">
        <f>IF(AND(B15&gt;=5,B15&lt;45),0.00272*(B15-45)+0.11565,IF(AND(B15&gt;=45,B15&lt;85),0.00122*(B15-75)+0.15234))</f>
        <v>0.14014000000000001</v>
      </c>
      <c r="BK15">
        <f>AN15*(AT15+AU15*X15+AV15*AO15*(I15-50)+AW15*(1-AO15)+AX15*H15)</f>
        <v>35.736990388385642</v>
      </c>
      <c r="BL15">
        <f>(1-AN15)*(AY15+AZ15*AO15*(I15-50)+BA15*(1-AO15)+BB15*LN(O15))</f>
        <v>0</v>
      </c>
      <c r="BM15">
        <f t="shared" si="16"/>
        <v>35.736990388385642</v>
      </c>
      <c r="BN15">
        <f>AQ15+BM15*LN(AK15/EXP(AJ15))+AR15*LN(H15)+AP15*AS15*LN(X15)</f>
        <v>-13.11548262158774</v>
      </c>
      <c r="BO15" s="142">
        <f t="shared" si="17"/>
        <v>2.013808965210175E-6</v>
      </c>
      <c r="BP15" s="146">
        <f>IF(AND(B15&gt;=5,B15&lt;45),0.00302*(B15-45)+0.53947,IF(AND(B15&gt;=45,B15&lt;85),0.00428*(B15-75)+0.66796))</f>
        <v>0.62516000000000005</v>
      </c>
      <c r="BQ15">
        <v>0.3</v>
      </c>
    </row>
    <row r="16" spans="1:69" ht="15.75" x14ac:dyDescent="0.25">
      <c r="A16" s="146">
        <v>14</v>
      </c>
      <c r="B16" s="146">
        <v>65</v>
      </c>
      <c r="C16" s="146" t="str">
        <f t="shared" si="3"/>
        <v>SSTens_5to85</v>
      </c>
      <c r="D16">
        <v>0.50800000000000001</v>
      </c>
      <c r="E16">
        <f t="shared" si="0"/>
        <v>508</v>
      </c>
      <c r="F16">
        <v>1.1130000000000001E-2</v>
      </c>
      <c r="G16">
        <f t="shared" si="1"/>
        <v>11.13</v>
      </c>
      <c r="H16" s="4">
        <f t="shared" si="2"/>
        <v>45.642407906558844</v>
      </c>
      <c r="I16" s="146">
        <v>100</v>
      </c>
      <c r="J16" s="146" t="s">
        <v>120</v>
      </c>
      <c r="K16" s="146">
        <f t="shared" si="4"/>
        <v>15</v>
      </c>
      <c r="L16" s="146">
        <f t="shared" si="5"/>
        <v>20</v>
      </c>
      <c r="M16" s="146">
        <f t="shared" si="6"/>
        <v>552000</v>
      </c>
      <c r="N16" s="146">
        <f t="shared" si="7"/>
        <v>625000</v>
      </c>
      <c r="O16" s="146">
        <f t="shared" si="8"/>
        <v>2.9888368774026359</v>
      </c>
      <c r="P16" t="s">
        <v>10</v>
      </c>
      <c r="Q16" t="s">
        <v>265</v>
      </c>
      <c r="R16">
        <f t="shared" si="9"/>
        <v>17.5</v>
      </c>
      <c r="S16">
        <f t="shared" si="10"/>
        <v>0</v>
      </c>
      <c r="T16">
        <f t="shared" si="11"/>
        <v>37.5</v>
      </c>
      <c r="U16">
        <f t="shared" si="12"/>
        <v>1.1000000000000001</v>
      </c>
      <c r="V16">
        <v>0.9</v>
      </c>
      <c r="W16" s="146">
        <v>0</v>
      </c>
      <c r="X16">
        <f t="shared" si="13"/>
        <v>65.832074055974104</v>
      </c>
      <c r="Y16">
        <f t="shared" si="14"/>
        <v>1</v>
      </c>
      <c r="Z16">
        <f t="shared" si="15"/>
        <v>1</v>
      </c>
      <c r="AA16" s="146">
        <f>IF(AND(B16&gt;=5,B16&lt;45),-0.05402*(B16-45)-1.82829,IF(AND(B16&gt;=45,B16&lt;85),0.00735*(B16-75)-1.60779))</f>
        <v>-1.68129</v>
      </c>
      <c r="AB16" s="146">
        <f>IF(AND(B16&gt;=5,B16&lt;45),0.01347*(B16-45)+0.37664,IF(AND(B16&gt;=45,B16&lt;85),0.00484*(B16-75)+0.52187))</f>
        <v>0.47346999999999995</v>
      </c>
      <c r="AC16" s="146">
        <f>IF(AND(B16&gt;=5,B16&lt;45),-0.00301*(B16-45)-0.01591,IF(AND(B16&gt;=45,B16&lt;85),-0.02185*(B16-75)-0.67156))</f>
        <v>-0.45306000000000002</v>
      </c>
      <c r="AD16" s="146">
        <f>IF(AND(B16&gt;=5,B16&lt;45),0.02182*(B16-45)+0.49488,IF(AND(B16&gt;=45,B16&lt;85),0.05619*(B16-75)+2.18087))</f>
        <v>1.61897</v>
      </c>
      <c r="AE16" s="146">
        <f>IF(AND(B16&gt;=5,B16&lt;45),0.02436*(B16-45)+0.47831,IF(AND(B16&gt;=45,B16&lt;85),0.0643*(B16-75)+2.40733))</f>
        <v>1.76433</v>
      </c>
      <c r="AF16" s="146">
        <f>IF(AND(B16&gt;=5,B16&lt;45),-0.00001*(B16-45)-0.00165,IF(AND(B16&gt;=45,B16&lt;85),-0.00153))</f>
        <v>-1.5299999999999999E-3</v>
      </c>
      <c r="AG16" s="146">
        <f>IF(AND(B16&gt;=5,B16&lt;45),0.00228*(B16-45)+0.10021,IF(AND(B16&gt;=45,B16&lt;85),0.00144*(B16-75)+0.14358))</f>
        <v>0.12918000000000002</v>
      </c>
      <c r="AH16">
        <f>AC16*LN(I16)+AD16*Y16+AE16*(1-Y16)+AF16*Z16*(H16-100)+AG16*(1-Z16)</f>
        <v>-0.38428128856079979</v>
      </c>
      <c r="AJ16">
        <f>AA16+AH16*LN(O16)+AB16*LN(I16)</f>
        <v>7.8376375445737612E-2</v>
      </c>
      <c r="AK16" s="146">
        <v>0.75</v>
      </c>
      <c r="AN16">
        <f>IF(AK16&lt;EXP(AJ16),1,0)</f>
        <v>1</v>
      </c>
      <c r="AO16">
        <f>IF(I16&lt;50,1,0)</f>
        <v>0</v>
      </c>
      <c r="AP16">
        <f>IF(P16="sand",1,0)</f>
        <v>0</v>
      </c>
      <c r="AQ16" s="146">
        <f>IF(AND(B16&gt;=5,B16&lt;45),-0.02174*(B16-45)+0.16235,IF(AND(B16&gt;=45,B16&lt;85),-0.02787*(B16-75)-0.67388))</f>
        <v>-0.39518000000000003</v>
      </c>
      <c r="AR16" s="146">
        <f>IF(AND(B16&gt;=5,B16&lt;45),0.00203*(B16-45)+0.24407,IF(AND(B16&gt;=45,B16&lt;85),0.00361*(B16-75)+0.35249))</f>
        <v>0.31639</v>
      </c>
      <c r="AS16" s="146">
        <f>IF(AND(B16&gt;=5,B16&lt;45),-0.02801*(B16-45)+1.64437,IF(AND(B16&gt;=45,B16&lt;85),0.00794*(B16-75)+1.8827))</f>
        <v>1.8033000000000001</v>
      </c>
      <c r="AT16" s="146">
        <f>IF(AND(B16&gt;=5,B16&lt;45),-0.0001*(B16-45)-0.00387,IF(AND(B16&gt;=45,B16&lt;85),-0.00002*(B16-75)-0.00456))</f>
        <v>-4.3600000000000002E-3</v>
      </c>
      <c r="AU16" s="146">
        <f>IF(AND(B16&gt;=5,B16&lt;45),-0.00114*(B16-45)+0.00514,IF(AND(B16&gt;=45,B16&lt;85),0.00057*(B16-75)+0.02215))</f>
        <v>1.6449999999999999E-2</v>
      </c>
      <c r="AV16" s="146">
        <f>IF(AND(B16&gt;=5,B16&lt;45),0.01436*(B16-45)-0.12124,IF(AND(B16&gt;=45,B16&lt;85),-0.00844*(B16-75)-0.37439))</f>
        <v>-0.28998999999999997</v>
      </c>
      <c r="AW16" s="146">
        <f>IF(AND(B16&gt;=5,B16&lt;45),0.00002*(B16-45)+0.00092,IF(AND(B16&gt;=45,B16&lt;85),0.00002*(B16-75)+0.00156))</f>
        <v>1.3599999999999999E-3</v>
      </c>
      <c r="AX16" s="146">
        <f>IF(AND(B16&gt;=5,B16&lt;45),0.01326*(B16-45)+0.97745,IF(AND(B16&gt;=45,B16&lt;85),-0.00799*(B16-75)+0.73788))</f>
        <v>0.81777999999999995</v>
      </c>
      <c r="AY16" s="146">
        <f>IF(AND(B16&gt;=5,B16&lt;45),0.00061*(B16-45)+0.00602,IF(AND(B16&gt;=45,B16&lt;85),-0.00081*(B16-75)-0.01826))</f>
        <v>-1.0159999999999999E-2</v>
      </c>
      <c r="AZ16" s="146">
        <f>IF(AND(B16&gt;=5,B16&lt;45),-0.00728*(B16-45)-0.06927,IF(AND(B16&gt;=45,B16&lt;85),0.00522*(B16-75)+0.08748))</f>
        <v>3.5280000000000006E-2</v>
      </c>
      <c r="BA16" s="146">
        <f>IF(AND(B16&gt;=5,B16&lt;45),0.0148*(B16-45)+0.46008,IF(AND(B16&gt;=45,B16&lt;85),-0.00924*(B16-75)+0.18293))</f>
        <v>0.27533000000000002</v>
      </c>
      <c r="BB16" s="146">
        <f>IF(AND(B16&gt;=5,B16&lt;45),0.00272*(B16-45)+0.11565,IF(AND(B16&gt;=45,B16&lt;85),0.00122*(B16-75)+0.15234))</f>
        <v>0.14014000000000001</v>
      </c>
      <c r="BK16">
        <f>AN16*(AT16+AU16*X16+AV16*AO16*(I16-50)+AW16*(1-AO16)+AX16*H16)</f>
        <v>38.405385956046466</v>
      </c>
      <c r="BL16">
        <f>(1-AN16)*(AY16+AZ16*AO16*(I16-50)+BA16*(1-AO16)+BB16*LN(O16))</f>
        <v>0</v>
      </c>
      <c r="BM16">
        <f t="shared" si="16"/>
        <v>38.405385956046466</v>
      </c>
      <c r="BN16">
        <f>AQ16+BM16*LN(AK16/EXP(AJ16))+AR16*LN(H16)+AP16*AS16*LN(X16)</f>
        <v>-13.244921266231465</v>
      </c>
      <c r="BO16" s="142">
        <f t="shared" si="17"/>
        <v>1.769309383677267E-6</v>
      </c>
      <c r="BP16" s="146">
        <f>IF(AND(B16&gt;=5,B16&lt;45),0.00302*(B16-45)+0.53947,IF(AND(B16&gt;=45,B16&lt;85),0.00428*(B16-75)+0.66796))</f>
        <v>0.62516000000000005</v>
      </c>
      <c r="BQ16">
        <v>0.3</v>
      </c>
    </row>
    <row r="17" spans="1:69" ht="15.75" x14ac:dyDescent="0.25">
      <c r="A17" s="146">
        <v>15</v>
      </c>
      <c r="B17" s="146">
        <v>75</v>
      </c>
      <c r="C17" s="146" t="str">
        <f t="shared" si="3"/>
        <v>SSTens_5to85</v>
      </c>
      <c r="D17">
        <v>0.60960000000000003</v>
      </c>
      <c r="E17">
        <f t="shared" si="0"/>
        <v>609.6</v>
      </c>
      <c r="F17">
        <v>9.5299999999999985E-3</v>
      </c>
      <c r="G17">
        <f t="shared" si="1"/>
        <v>9.5299999999999994</v>
      </c>
      <c r="H17" s="4">
        <f t="shared" si="2"/>
        <v>63.966421825813235</v>
      </c>
      <c r="I17" s="146">
        <v>15</v>
      </c>
      <c r="J17" s="146" t="s">
        <v>117</v>
      </c>
      <c r="K17" s="146">
        <f t="shared" si="4"/>
        <v>8</v>
      </c>
      <c r="L17" s="146">
        <f t="shared" si="5"/>
        <v>10</v>
      </c>
      <c r="M17" s="146">
        <f t="shared" si="6"/>
        <v>359000</v>
      </c>
      <c r="N17" s="146">
        <f t="shared" si="7"/>
        <v>455000</v>
      </c>
      <c r="O17" s="146">
        <f t="shared" si="8"/>
        <v>1.9969902892117808</v>
      </c>
      <c r="P17" t="s">
        <v>10</v>
      </c>
      <c r="Q17" t="s">
        <v>269</v>
      </c>
      <c r="R17">
        <f t="shared" si="9"/>
        <v>18</v>
      </c>
      <c r="S17">
        <f t="shared" si="10"/>
        <v>0</v>
      </c>
      <c r="T17">
        <f t="shared" si="11"/>
        <v>75</v>
      </c>
      <c r="U17">
        <f t="shared" si="12"/>
        <v>0.72</v>
      </c>
      <c r="V17">
        <v>0.9</v>
      </c>
      <c r="W17" s="146">
        <v>0</v>
      </c>
      <c r="X17">
        <f t="shared" si="13"/>
        <v>103.41620360793024</v>
      </c>
      <c r="Y17">
        <f t="shared" si="14"/>
        <v>0</v>
      </c>
      <c r="Z17">
        <f t="shared" si="15"/>
        <v>1</v>
      </c>
      <c r="AA17" s="146">
        <f>IF(AND(B17&gt;=5,B17&lt;45),-0.05402*(B17-45)-1.82829,IF(AND(B17&gt;=45,B17&lt;85),0.00735*(B17-75)-1.60779))</f>
        <v>-1.6077900000000001</v>
      </c>
      <c r="AB17" s="146">
        <f>IF(AND(B17&gt;=5,B17&lt;45),0.01347*(B17-45)+0.37664,IF(AND(B17&gt;=45,B17&lt;85),0.00484*(B17-75)+0.52187))</f>
        <v>0.52186999999999995</v>
      </c>
      <c r="AC17" s="146">
        <f>IF(AND(B17&gt;=5,B17&lt;45),-0.00301*(B17-45)-0.01591,IF(AND(B17&gt;=45,B17&lt;85),-0.02185*(B17-75)-0.67156))</f>
        <v>-0.67156000000000005</v>
      </c>
      <c r="AD17" s="146">
        <f>IF(AND(B17&gt;=5,B17&lt;45),0.02182*(B17-45)+0.49488,IF(AND(B17&gt;=45,B17&lt;85),0.05619*(B17-75)+2.18087))</f>
        <v>2.1808700000000001</v>
      </c>
      <c r="AE17" s="146">
        <f>IF(AND(B17&gt;=5,B17&lt;45),0.02436*(B17-45)+0.47831,IF(AND(B17&gt;=45,B17&lt;85),0.0643*(B17-75)+2.40733))</f>
        <v>2.40733</v>
      </c>
      <c r="AF17" s="146">
        <f>IF(AND(B17&gt;=5,B17&lt;45),-0.00001*(B17-45)-0.00165,IF(AND(B17&gt;=45,B17&lt;85),-0.00153))</f>
        <v>-1.5299999999999999E-3</v>
      </c>
      <c r="AG17" s="146">
        <f>IF(AND(B17&gt;=5,B17&lt;45),0.00228*(B17-45)+0.10021,IF(AND(B17&gt;=45,B17&lt;85),0.00144*(B17-75)+0.14358))</f>
        <v>0.14358000000000001</v>
      </c>
      <c r="AH17">
        <f>AC17*LN(I17)+AD17*Y17+AE17*(1-Y17)+AF17*Z17*(H17-100)+AG17*(1-Z17)</f>
        <v>0.64384318155430542</v>
      </c>
      <c r="AJ17">
        <f>AA17+AH17*LN(O17)+AB17*LN(I17)</f>
        <v>0.25076862382905563</v>
      </c>
      <c r="AK17" s="146">
        <v>0.75</v>
      </c>
      <c r="AN17">
        <f>IF(AK17&lt;EXP(AJ17),1,0)</f>
        <v>1</v>
      </c>
      <c r="AO17">
        <f>IF(I17&lt;50,1,0)</f>
        <v>1</v>
      </c>
      <c r="AP17">
        <f>IF(P17="sand",1,0)</f>
        <v>0</v>
      </c>
      <c r="AQ17" s="146">
        <f>IF(AND(B17&gt;=5,B17&lt;45),-0.02174*(B17-45)+0.16235,IF(AND(B17&gt;=45,B17&lt;85),-0.02787*(B17-75)-0.67388))</f>
        <v>-0.67388000000000003</v>
      </c>
      <c r="AR17" s="146">
        <f>IF(AND(B17&gt;=5,B17&lt;45),0.00203*(B17-45)+0.24407,IF(AND(B17&gt;=45,B17&lt;85),0.00361*(B17-75)+0.35249))</f>
        <v>0.35249000000000003</v>
      </c>
      <c r="AS17" s="146">
        <f>IF(AND(B17&gt;=5,B17&lt;45),-0.02801*(B17-45)+1.64437,IF(AND(B17&gt;=45,B17&lt;85),0.00794*(B17-75)+1.8827))</f>
        <v>1.8827</v>
      </c>
      <c r="AT17" s="146">
        <f>IF(AND(B17&gt;=5,B17&lt;45),-0.0001*(B17-45)-0.00387,IF(AND(B17&gt;=45,B17&lt;85),-0.00002*(B17-75)-0.00456))</f>
        <v>-4.5599999999999998E-3</v>
      </c>
      <c r="AU17" s="146">
        <f>IF(AND(B17&gt;=5,B17&lt;45),-0.00114*(B17-45)+0.00514,IF(AND(B17&gt;=45,B17&lt;85),0.00057*(B17-75)+0.02215))</f>
        <v>2.215E-2</v>
      </c>
      <c r="AV17" s="146">
        <f>IF(AND(B17&gt;=5,B17&lt;45),0.01436*(B17-45)-0.12124,IF(AND(B17&gt;=45,B17&lt;85),-0.00844*(B17-75)-0.37439))</f>
        <v>-0.37439</v>
      </c>
      <c r="AW17" s="146">
        <f>IF(AND(B17&gt;=5,B17&lt;45),0.00002*(B17-45)+0.00092,IF(AND(B17&gt;=45,B17&lt;85),0.00002*(B17-75)+0.00156))</f>
        <v>1.56E-3</v>
      </c>
      <c r="AX17" s="146">
        <f>IF(AND(B17&gt;=5,B17&lt;45),0.01326*(B17-45)+0.97745,IF(AND(B17&gt;=45,B17&lt;85),-0.00799*(B17-75)+0.73788))</f>
        <v>0.73787999999999998</v>
      </c>
      <c r="AY17" s="146">
        <f>IF(AND(B17&gt;=5,B17&lt;45),0.00061*(B17-45)+0.00602,IF(AND(B17&gt;=45,B17&lt;85),-0.00081*(B17-75)-0.01826))</f>
        <v>-1.8259999999999998E-2</v>
      </c>
      <c r="AZ17" s="146">
        <f>IF(AND(B17&gt;=5,B17&lt;45),-0.00728*(B17-45)-0.06927,IF(AND(B17&gt;=45,B17&lt;85),0.00522*(B17-75)+0.08748))</f>
        <v>8.7480000000000002E-2</v>
      </c>
      <c r="BA17" s="146">
        <f>IF(AND(B17&gt;=5,B17&lt;45),0.0148*(B17-45)+0.46008,IF(AND(B17&gt;=45,B17&lt;85),-0.00924*(B17-75)+0.18293))</f>
        <v>0.18293000000000001</v>
      </c>
      <c r="BB17" s="146">
        <f>IF(AND(B17&gt;=5,B17&lt;45),0.00272*(B17-45)+0.11565,IF(AND(B17&gt;=45,B17&lt;85),0.00122*(B17-75)+0.15234))</f>
        <v>0.15234</v>
      </c>
      <c r="BK17">
        <f>AN17*(AT17+AU17*X17+AV17*AO17*(I17-50)+AW17*(1-AO17)+AX17*H17)</f>
        <v>62.589302246746726</v>
      </c>
      <c r="BL17">
        <f>(1-AN17)*(AY17+AZ17*AO17*(I17-50)+BA17*(1-AO17)+BB17*LN(O17))</f>
        <v>0</v>
      </c>
      <c r="BM17">
        <f t="shared" si="16"/>
        <v>62.589302246746726</v>
      </c>
      <c r="BN17">
        <f>AQ17+BM17*LN(AK17/EXP(AJ17))+AR17*LN(H17)+AP17*AS17*LN(X17)</f>
        <v>-32.909353662011384</v>
      </c>
      <c r="BO17" s="142">
        <f t="shared" si="17"/>
        <v>5.1009292698127449E-15</v>
      </c>
      <c r="BP17" s="146">
        <f>IF(AND(B17&gt;=5,B17&lt;45),0.00302*(B17-45)+0.53947,IF(AND(B17&gt;=45,B17&lt;85),0.00428*(B17-75)+0.66796))</f>
        <v>0.66796</v>
      </c>
      <c r="BQ17">
        <v>0.3</v>
      </c>
    </row>
    <row r="18" spans="1:69" ht="15.75" x14ac:dyDescent="0.25">
      <c r="A18" s="146">
        <v>16</v>
      </c>
      <c r="B18" s="146">
        <v>75</v>
      </c>
      <c r="C18" s="146" t="str">
        <f t="shared" si="3"/>
        <v>SSTens_5to85</v>
      </c>
      <c r="D18">
        <v>0.76200000000000001</v>
      </c>
      <c r="E18">
        <f t="shared" si="0"/>
        <v>762</v>
      </c>
      <c r="F18">
        <v>1.2699999999999999E-2</v>
      </c>
      <c r="G18">
        <f t="shared" si="1"/>
        <v>12.7</v>
      </c>
      <c r="H18" s="4">
        <f t="shared" si="2"/>
        <v>60</v>
      </c>
      <c r="I18" s="146">
        <v>30</v>
      </c>
      <c r="J18" s="146" t="s">
        <v>118</v>
      </c>
      <c r="K18" s="146">
        <f t="shared" si="4"/>
        <v>8</v>
      </c>
      <c r="L18" s="146">
        <f t="shared" si="5"/>
        <v>12</v>
      </c>
      <c r="M18" s="146">
        <f t="shared" si="6"/>
        <v>414000</v>
      </c>
      <c r="N18" s="146">
        <f t="shared" si="7"/>
        <v>517000</v>
      </c>
      <c r="O18" s="146">
        <f t="shared" si="8"/>
        <v>2.5466769467238102</v>
      </c>
      <c r="P18" t="s">
        <v>10</v>
      </c>
      <c r="Q18" t="s">
        <v>269</v>
      </c>
      <c r="R18">
        <f t="shared" si="9"/>
        <v>18</v>
      </c>
      <c r="S18">
        <f t="shared" si="10"/>
        <v>0</v>
      </c>
      <c r="T18">
        <f t="shared" si="11"/>
        <v>75</v>
      </c>
      <c r="U18">
        <f t="shared" si="12"/>
        <v>0.72</v>
      </c>
      <c r="V18">
        <v>0.9</v>
      </c>
      <c r="W18" s="146">
        <v>0</v>
      </c>
      <c r="X18">
        <f t="shared" si="13"/>
        <v>129.2702545099128</v>
      </c>
      <c r="Y18">
        <f t="shared" si="14"/>
        <v>0</v>
      </c>
      <c r="Z18">
        <f t="shared" si="15"/>
        <v>1</v>
      </c>
      <c r="AA18" s="146">
        <f>IF(AND(B18&gt;=5,B18&lt;45),-0.05402*(B18-45)-1.82829,IF(AND(B18&gt;=45,B18&lt;85),0.00735*(B18-75)-1.60779))</f>
        <v>-1.6077900000000001</v>
      </c>
      <c r="AB18" s="146">
        <f>IF(AND(B18&gt;=5,B18&lt;45),0.01347*(B18-45)+0.37664,IF(AND(B18&gt;=45,B18&lt;85),0.00484*(B18-75)+0.52187))</f>
        <v>0.52186999999999995</v>
      </c>
      <c r="AC18" s="146">
        <f>IF(AND(B18&gt;=5,B18&lt;45),-0.00301*(B18-45)-0.01591,IF(AND(B18&gt;=45,B18&lt;85),-0.02185*(B18-75)-0.67156))</f>
        <v>-0.67156000000000005</v>
      </c>
      <c r="AD18" s="146">
        <f>IF(AND(B18&gt;=5,B18&lt;45),0.02182*(B18-45)+0.49488,IF(AND(B18&gt;=45,B18&lt;85),0.05619*(B18-75)+2.18087))</f>
        <v>2.1808700000000001</v>
      </c>
      <c r="AE18" s="146">
        <f>IF(AND(B18&gt;=5,B18&lt;45),0.02436*(B18-45)+0.47831,IF(AND(B18&gt;=45,B18&lt;85),0.0643*(B18-75)+2.40733))</f>
        <v>2.40733</v>
      </c>
      <c r="AF18" s="146">
        <f>IF(AND(B18&gt;=5,B18&lt;45),-0.00001*(B18-45)-0.00165,IF(AND(B18&gt;=45,B18&lt;85),-0.00153))</f>
        <v>-1.5299999999999999E-3</v>
      </c>
      <c r="AG18" s="146">
        <f>IF(AND(B18&gt;=5,B18&lt;45),0.00228*(B18-45)+0.10021,IF(AND(B18&gt;=45,B18&lt;85),0.00144*(B18-75)+0.14358))</f>
        <v>0.14358000000000001</v>
      </c>
      <c r="AH18">
        <f>AC18*LN(I18)+AD18*Y18+AE18*(1-Y18)+AF18*Z18*(H18-100)+AG18*(1-Z18)</f>
        <v>0.18442188637096288</v>
      </c>
      <c r="AJ18">
        <f>AA18+AH18*LN(O18)+AB18*LN(I18)</f>
        <v>0.33958849307099426</v>
      </c>
      <c r="AK18" s="146">
        <v>1.5</v>
      </c>
      <c r="AN18">
        <f>IF(AK18&lt;EXP(AJ18),1,0)</f>
        <v>0</v>
      </c>
      <c r="AO18">
        <f>IF(I18&lt;50,1,0)</f>
        <v>1</v>
      </c>
      <c r="AP18">
        <f>IF(P18="sand",1,0)</f>
        <v>0</v>
      </c>
      <c r="AQ18" s="146">
        <f>IF(AND(B18&gt;=5,B18&lt;45),-0.02174*(B18-45)+0.16235,IF(AND(B18&gt;=45,B18&lt;85),-0.02787*(B18-75)-0.67388))</f>
        <v>-0.67388000000000003</v>
      </c>
      <c r="AR18" s="146">
        <f>IF(AND(B18&gt;=5,B18&lt;45),0.00203*(B18-45)+0.24407,IF(AND(B18&gt;=45,B18&lt;85),0.00361*(B18-75)+0.35249))</f>
        <v>0.35249000000000003</v>
      </c>
      <c r="AS18" s="146">
        <f>IF(AND(B18&gt;=5,B18&lt;45),-0.02801*(B18-45)+1.64437,IF(AND(B18&gt;=45,B18&lt;85),0.00794*(B18-75)+1.8827))</f>
        <v>1.8827</v>
      </c>
      <c r="AT18" s="146">
        <f>IF(AND(B18&gt;=5,B18&lt;45),-0.0001*(B18-45)-0.00387,IF(AND(B18&gt;=45,B18&lt;85),-0.00002*(B18-75)-0.00456))</f>
        <v>-4.5599999999999998E-3</v>
      </c>
      <c r="AU18" s="146">
        <f>IF(AND(B18&gt;=5,B18&lt;45),-0.00114*(B18-45)+0.00514,IF(AND(B18&gt;=45,B18&lt;85),0.00057*(B18-75)+0.02215))</f>
        <v>2.215E-2</v>
      </c>
      <c r="AV18" s="146">
        <f>IF(AND(B18&gt;=5,B18&lt;45),0.01436*(B18-45)-0.12124,IF(AND(B18&gt;=45,B18&lt;85),-0.00844*(B18-75)-0.37439))</f>
        <v>-0.37439</v>
      </c>
      <c r="AW18" s="146">
        <f>IF(AND(B18&gt;=5,B18&lt;45),0.00002*(B18-45)+0.00092,IF(AND(B18&gt;=45,B18&lt;85),0.00002*(B18-75)+0.00156))</f>
        <v>1.56E-3</v>
      </c>
      <c r="AX18" s="146">
        <f>IF(AND(B18&gt;=5,B18&lt;45),0.01326*(B18-45)+0.97745,IF(AND(B18&gt;=45,B18&lt;85),-0.00799*(B18-75)+0.73788))</f>
        <v>0.73787999999999998</v>
      </c>
      <c r="AY18" s="146">
        <f>IF(AND(B18&gt;=5,B18&lt;45),0.00061*(B18-45)+0.00602,IF(AND(B18&gt;=45,B18&lt;85),-0.00081*(B18-75)-0.01826))</f>
        <v>-1.8259999999999998E-2</v>
      </c>
      <c r="AZ18" s="146">
        <f>IF(AND(B18&gt;=5,B18&lt;45),-0.00728*(B18-45)-0.06927,IF(AND(B18&gt;=45,B18&lt;85),0.00522*(B18-75)+0.08748))</f>
        <v>8.7480000000000002E-2</v>
      </c>
      <c r="BA18" s="146">
        <f>IF(AND(B18&gt;=5,B18&lt;45),0.0148*(B18-45)+0.46008,IF(AND(B18&gt;=45,B18&lt;85),-0.00924*(B18-75)+0.18293))</f>
        <v>0.18293000000000001</v>
      </c>
      <c r="BB18" s="146">
        <f>IF(AND(B18&gt;=5,B18&lt;45),0.00272*(B18-45)+0.11565,IF(AND(B18&gt;=45,B18&lt;85),0.00122*(B18-75)+0.15234))</f>
        <v>0.15234</v>
      </c>
      <c r="BK18">
        <f>AN18*(AT18+AU18*X18+AV18*AO18*(I18-50)+AW18*(1-AO18)+AX18*H18)</f>
        <v>0</v>
      </c>
      <c r="BL18">
        <f>(1-AN18)*(AY18+AZ18*AO18*(I18-50)+BA18*(1-AO18)+BB18*LN(O18))</f>
        <v>-1.6254541902421795</v>
      </c>
      <c r="BM18">
        <f t="shared" si="16"/>
        <v>-1.6254541902421795</v>
      </c>
      <c r="BN18">
        <f>AQ18+BM18*LN(AK18/EXP(AJ18))+AR18*LN(H18)+AP18*AS18*LN(X18)</f>
        <v>0.66225609478652903</v>
      </c>
      <c r="BO18" s="142">
        <f t="shared" si="17"/>
        <v>1.9391623370171547</v>
      </c>
      <c r="BP18" s="146">
        <f>IF(AND(B18&gt;=5,B18&lt;45),0.00302*(B18-45)+0.53947,IF(AND(B18&gt;=45,B18&lt;85),0.00428*(B18-75)+0.66796))</f>
        <v>0.66796</v>
      </c>
      <c r="BQ18">
        <v>0.3</v>
      </c>
    </row>
    <row r="19" spans="1:69" ht="15.75" x14ac:dyDescent="0.25">
      <c r="A19" s="146">
        <v>17</v>
      </c>
      <c r="B19" s="146">
        <v>84.9</v>
      </c>
      <c r="C19" s="146" t="str">
        <f t="shared" si="3"/>
        <v>SSTens_5to85</v>
      </c>
      <c r="D19">
        <v>0.86360000000000003</v>
      </c>
      <c r="E19">
        <f t="shared" si="0"/>
        <v>863.6</v>
      </c>
      <c r="F19">
        <v>1.1130000000000001E-2</v>
      </c>
      <c r="G19">
        <f t="shared" si="1"/>
        <v>11.13</v>
      </c>
      <c r="H19" s="4">
        <f t="shared" si="2"/>
        <v>77.592093441150041</v>
      </c>
      <c r="I19" s="146">
        <v>50</v>
      </c>
      <c r="J19" s="146" t="s">
        <v>119</v>
      </c>
      <c r="K19" s="146">
        <f t="shared" si="4"/>
        <v>14</v>
      </c>
      <c r="L19" s="146">
        <f t="shared" si="5"/>
        <v>15</v>
      </c>
      <c r="M19" s="146">
        <f t="shared" si="6"/>
        <v>483000</v>
      </c>
      <c r="N19" s="146">
        <f t="shared" si="7"/>
        <v>565000</v>
      </c>
      <c r="O19" s="146">
        <f t="shared" si="8"/>
        <v>2.8799444073326219</v>
      </c>
      <c r="P19" t="s">
        <v>10</v>
      </c>
      <c r="Q19" t="s">
        <v>269</v>
      </c>
      <c r="R19">
        <f t="shared" si="9"/>
        <v>18</v>
      </c>
      <c r="S19">
        <f t="shared" si="10"/>
        <v>0</v>
      </c>
      <c r="T19">
        <f t="shared" si="11"/>
        <v>75</v>
      </c>
      <c r="U19">
        <f t="shared" si="12"/>
        <v>0.72</v>
      </c>
      <c r="V19">
        <v>0.9</v>
      </c>
      <c r="W19" s="146">
        <v>0</v>
      </c>
      <c r="X19">
        <f t="shared" si="13"/>
        <v>146.50628844456784</v>
      </c>
      <c r="Y19">
        <f t="shared" si="14"/>
        <v>0</v>
      </c>
      <c r="Z19">
        <f t="shared" si="15"/>
        <v>1</v>
      </c>
      <c r="AA19" s="146">
        <f>IF(AND(B19&gt;=5,B19&lt;45),-0.05402*(B19-45)-1.82829,IF(AND(B19&gt;=45,B19&lt;85),0.00735*(B19-75)-1.60779))</f>
        <v>-1.5350250000000001</v>
      </c>
      <c r="AB19" s="146">
        <f>IF(AND(B19&gt;=5,B19&lt;45),0.01347*(B19-45)+0.37664,IF(AND(B19&gt;=45,B19&lt;85),0.00484*(B19-75)+0.52187))</f>
        <v>0.56978600000000001</v>
      </c>
      <c r="AC19" s="146">
        <f>IF(AND(B19&gt;=5,B19&lt;45),-0.00301*(B19-45)-0.01591,IF(AND(B19&gt;=45,B19&lt;85),-0.02185*(B19-75)-0.67156))</f>
        <v>-0.88787500000000019</v>
      </c>
      <c r="AD19" s="146">
        <f>IF(AND(B19&gt;=5,B19&lt;45),0.02182*(B19-45)+0.49488,IF(AND(B19&gt;=45,B19&lt;85),0.05619*(B19-75)+2.18087))</f>
        <v>2.7371510000000003</v>
      </c>
      <c r="AE19" s="146">
        <f>IF(AND(B19&gt;=5,B19&lt;45),0.02436*(B19-45)+0.47831,IF(AND(B19&gt;=45,B19&lt;85),0.0643*(B19-75)+2.40733))</f>
        <v>3.0439000000000003</v>
      </c>
      <c r="AF19" s="146">
        <f>IF(AND(B19&gt;=5,B19&lt;45),-0.00001*(B19-45)-0.00165,IF(AND(B19&gt;=45,B19&lt;85),-0.00153))</f>
        <v>-1.5299999999999999E-3</v>
      </c>
      <c r="AG19" s="146">
        <f>IF(AND(B19&gt;=5,B19&lt;45),0.00228*(B19-45)+0.10021,IF(AND(B19&gt;=45,B19&lt;85),0.00144*(B19-75)+0.14358))</f>
        <v>0.15783600000000003</v>
      </c>
      <c r="AH19">
        <f>AC19*LN(I19)+AD19*Y19+AE19*(1-Y19)+AF19*Z19*(H19-100)+AG19*(1-Z19)</f>
        <v>-0.39520332890947518</v>
      </c>
      <c r="AJ19">
        <f>AA19+AH19*LN(O19)+AB19*LN(I19)</f>
        <v>0.27595632332275977</v>
      </c>
      <c r="AK19" s="146">
        <v>1.5</v>
      </c>
      <c r="AN19">
        <f>IF(AK19&lt;EXP(AJ19),1,0)</f>
        <v>0</v>
      </c>
      <c r="AO19">
        <f>IF(I19&lt;50,1,0)</f>
        <v>0</v>
      </c>
      <c r="AP19">
        <f>IF(P19="sand",1,0)</f>
        <v>0</v>
      </c>
      <c r="AQ19" s="146">
        <f>IF(AND(B19&gt;=5,B19&lt;45),-0.02174*(B19-45)+0.16235,IF(AND(B19&gt;=45,B19&lt;85),-0.02787*(B19-75)-0.67388))</f>
        <v>-0.94979300000000011</v>
      </c>
      <c r="AR19" s="146">
        <f>IF(AND(B19&gt;=5,B19&lt;45),0.00203*(B19-45)+0.24407,IF(AND(B19&gt;=45,B19&lt;85),0.00361*(B19-75)+0.35249))</f>
        <v>0.38822900000000005</v>
      </c>
      <c r="AS19" s="146">
        <f>IF(AND(B19&gt;=5,B19&lt;45),-0.02801*(B19-45)+1.64437,IF(AND(B19&gt;=45,B19&lt;85),0.00794*(B19-75)+1.8827))</f>
        <v>1.961306</v>
      </c>
      <c r="AT19" s="146">
        <f>IF(AND(B19&gt;=5,B19&lt;45),-0.0001*(B19-45)-0.00387,IF(AND(B19&gt;=45,B19&lt;85),-0.00002*(B19-75)-0.00456))</f>
        <v>-4.7580000000000001E-3</v>
      </c>
      <c r="AU19" s="146">
        <f>IF(AND(B19&gt;=5,B19&lt;45),-0.00114*(B19-45)+0.00514,IF(AND(B19&gt;=45,B19&lt;85),0.00057*(B19-75)+0.02215))</f>
        <v>2.7793000000000002E-2</v>
      </c>
      <c r="AV19" s="146">
        <f>IF(AND(B19&gt;=5,B19&lt;45),0.01436*(B19-45)-0.12124,IF(AND(B19&gt;=45,B19&lt;85),-0.00844*(B19-75)-0.37439))</f>
        <v>-0.45794600000000008</v>
      </c>
      <c r="AW19" s="146">
        <f>IF(AND(B19&gt;=5,B19&lt;45),0.00002*(B19-45)+0.00092,IF(AND(B19&gt;=45,B19&lt;85),0.00002*(B19-75)+0.00156))</f>
        <v>1.758E-3</v>
      </c>
      <c r="AX19" s="146">
        <f>IF(AND(B19&gt;=5,B19&lt;45),0.01326*(B19-45)+0.97745,IF(AND(B19&gt;=45,B19&lt;85),-0.00799*(B19-75)+0.73788))</f>
        <v>0.65877899999999989</v>
      </c>
      <c r="AY19" s="146">
        <f>IF(AND(B19&gt;=5,B19&lt;45),0.00061*(B19-45)+0.00602,IF(AND(B19&gt;=45,B19&lt;85),-0.00081*(B19-75)-0.01826))</f>
        <v>-2.6279000000000004E-2</v>
      </c>
      <c r="AZ19" s="146">
        <f>IF(AND(B19&gt;=5,B19&lt;45),-0.00728*(B19-45)-0.06927,IF(AND(B19&gt;=45,B19&lt;85),0.00522*(B19-75)+0.08748))</f>
        <v>0.13915800000000003</v>
      </c>
      <c r="BA19" s="146">
        <f>IF(AND(B19&gt;=5,B19&lt;45),0.0148*(B19-45)+0.46008,IF(AND(B19&gt;=45,B19&lt;85),-0.00924*(B19-75)+0.18293))</f>
        <v>9.1453999999999952E-2</v>
      </c>
      <c r="BB19" s="146">
        <f>IF(AND(B19&gt;=5,B19&lt;45),0.00272*(B19-45)+0.11565,IF(AND(B19&gt;=45,B19&lt;85),0.00122*(B19-75)+0.15234))</f>
        <v>0.16441800000000001</v>
      </c>
      <c r="BK19">
        <f>AN19*(AT19+AU19*X19+AV19*AO19*(I19-50)+AW19*(1-AO19)+AX19*H19)</f>
        <v>0</v>
      </c>
      <c r="BL19">
        <f>(1-AN19)*(AY19+AZ19*AO19*(I19-50)+BA19*(1-AO19)+BB19*LN(O19))</f>
        <v>0.23909159079035291</v>
      </c>
      <c r="BM19">
        <f t="shared" si="16"/>
        <v>0.23909159079035291</v>
      </c>
      <c r="BN19">
        <f>AQ19+BM19*LN(AK19/EXP(AJ19))+AR19*LN(H19)+AP19*AS19*LN(X19)</f>
        <v>0.770536573923847</v>
      </c>
      <c r="BO19" s="142">
        <f t="shared" si="17"/>
        <v>2.1609254390047696</v>
      </c>
      <c r="BP19" s="146">
        <f>IF(AND(B19&gt;=5,B19&lt;45),0.00302*(B19-45)+0.53947,IF(AND(B19&gt;=45,B19&lt;85),0.00428*(B19-75)+0.66796))</f>
        <v>0.71033199999999996</v>
      </c>
      <c r="BQ19">
        <v>0.3</v>
      </c>
    </row>
    <row r="20" spans="1:69" ht="15.75" x14ac:dyDescent="0.25">
      <c r="A20" s="146">
        <v>18</v>
      </c>
      <c r="B20" s="146">
        <v>84.9</v>
      </c>
      <c r="C20" s="146" t="str">
        <f t="shared" si="3"/>
        <v>SSTens_5to85</v>
      </c>
      <c r="D20">
        <v>1.0668</v>
      </c>
      <c r="E20">
        <f t="shared" si="0"/>
        <v>1066.8</v>
      </c>
      <c r="F20">
        <v>1.2699999999999999E-2</v>
      </c>
      <c r="G20">
        <f t="shared" si="1"/>
        <v>12.7</v>
      </c>
      <c r="H20" s="4">
        <f t="shared" si="2"/>
        <v>84</v>
      </c>
      <c r="I20" s="146">
        <v>100</v>
      </c>
      <c r="J20" s="146" t="s">
        <v>120</v>
      </c>
      <c r="K20" s="146">
        <f t="shared" si="4"/>
        <v>15</v>
      </c>
      <c r="L20" s="146">
        <f t="shared" si="5"/>
        <v>20</v>
      </c>
      <c r="M20" s="146">
        <f t="shared" si="6"/>
        <v>552000</v>
      </c>
      <c r="N20" s="146">
        <f t="shared" si="7"/>
        <v>625000</v>
      </c>
      <c r="O20" s="146">
        <f t="shared" si="8"/>
        <v>2.9888368774026359</v>
      </c>
      <c r="P20" t="s">
        <v>10</v>
      </c>
      <c r="Q20" t="s">
        <v>266</v>
      </c>
      <c r="R20">
        <f t="shared" si="9"/>
        <v>18.5</v>
      </c>
      <c r="S20">
        <f t="shared" si="10"/>
        <v>0</v>
      </c>
      <c r="T20">
        <f t="shared" si="11"/>
        <v>125</v>
      </c>
      <c r="U20">
        <f t="shared" si="12"/>
        <v>0.4</v>
      </c>
      <c r="V20">
        <v>0.9</v>
      </c>
      <c r="W20" s="146">
        <v>0</v>
      </c>
      <c r="X20">
        <f t="shared" si="13"/>
        <v>167.57255214247957</v>
      </c>
      <c r="Y20">
        <f t="shared" si="14"/>
        <v>0</v>
      </c>
      <c r="Z20">
        <f t="shared" si="15"/>
        <v>1</v>
      </c>
      <c r="AA20" s="146">
        <f>IF(AND(B20&gt;=5,B20&lt;45),-0.05402*(B20-45)-1.82829,IF(AND(B20&gt;=45,B20&lt;85),0.00735*(B20-75)-1.60779))</f>
        <v>-1.5350250000000001</v>
      </c>
      <c r="AB20" s="146">
        <f>IF(AND(B20&gt;=5,B20&lt;45),0.01347*(B20-45)+0.37664,IF(AND(B20&gt;=45,B20&lt;85),0.00484*(B20-75)+0.52187))</f>
        <v>0.56978600000000001</v>
      </c>
      <c r="AC20" s="146">
        <f>IF(AND(B20&gt;=5,B20&lt;45),-0.00301*(B20-45)-0.01591,IF(AND(B20&gt;=45,B20&lt;85),-0.02185*(B20-75)-0.67156))</f>
        <v>-0.88787500000000019</v>
      </c>
      <c r="AD20" s="146">
        <f>IF(AND(B20&gt;=5,B20&lt;45),0.02182*(B20-45)+0.49488,IF(AND(B20&gt;=45,B20&lt;85),0.05619*(B20-75)+2.18087))</f>
        <v>2.7371510000000003</v>
      </c>
      <c r="AE20" s="146">
        <f>IF(AND(B20&gt;=5,B20&lt;45),0.02436*(B20-45)+0.47831,IF(AND(B20&gt;=45,B20&lt;85),0.0643*(B20-75)+2.40733))</f>
        <v>3.0439000000000003</v>
      </c>
      <c r="AF20" s="146">
        <f>IF(AND(B20&gt;=5,B20&lt;45),-0.00001*(B20-45)-0.00165,IF(AND(B20&gt;=45,B20&lt;85),-0.00153))</f>
        <v>-1.5299999999999999E-3</v>
      </c>
      <c r="AG20" s="146">
        <f>IF(AND(B20&gt;=5,B20&lt;45),0.00228*(B20-45)+0.10021,IF(AND(B20&gt;=45,B20&lt;85),0.00144*(B20-75)+0.14358))</f>
        <v>0.15783600000000003</v>
      </c>
      <c r="AH20">
        <f>AC20*LN(I20)+AD20*Y20+AE20*(1-Y20)+AF20*Z20*(H20-100)+AG20*(1-Z20)</f>
        <v>-1.0204354788841776</v>
      </c>
      <c r="AJ20">
        <f>AA20+AH20*LN(O20)+AB20*LN(I20)</f>
        <v>-2.8322293060942361E-2</v>
      </c>
      <c r="AK20" s="146">
        <v>1.5</v>
      </c>
      <c r="AN20">
        <f>IF(AK20&lt;EXP(AJ20),1,0)</f>
        <v>0</v>
      </c>
      <c r="AO20">
        <f>IF(I20&lt;50,1,0)</f>
        <v>0</v>
      </c>
      <c r="AP20">
        <f>IF(P20="sand",1,0)</f>
        <v>0</v>
      </c>
      <c r="AQ20" s="146">
        <f>IF(AND(B20&gt;=5,B20&lt;45),-0.02174*(B20-45)+0.16235,IF(AND(B20&gt;=45,B20&lt;85),-0.02787*(B20-75)-0.67388))</f>
        <v>-0.94979300000000011</v>
      </c>
      <c r="AR20" s="146">
        <f>IF(AND(B20&gt;=5,B20&lt;45),0.00203*(B20-45)+0.24407,IF(AND(B20&gt;=45,B20&lt;85),0.00361*(B20-75)+0.35249))</f>
        <v>0.38822900000000005</v>
      </c>
      <c r="AS20" s="146">
        <f>IF(AND(B20&gt;=5,B20&lt;45),-0.02801*(B20-45)+1.64437,IF(AND(B20&gt;=45,B20&lt;85),0.00794*(B20-75)+1.8827))</f>
        <v>1.961306</v>
      </c>
      <c r="AT20" s="146">
        <f>IF(AND(B20&gt;=5,B20&lt;45),-0.0001*(B20-45)-0.00387,IF(AND(B20&gt;=45,B20&lt;85),-0.00002*(B20-75)-0.00456))</f>
        <v>-4.7580000000000001E-3</v>
      </c>
      <c r="AU20" s="146">
        <f>IF(AND(B20&gt;=5,B20&lt;45),-0.00114*(B20-45)+0.00514,IF(AND(B20&gt;=45,B20&lt;85),0.00057*(B20-75)+0.02215))</f>
        <v>2.7793000000000002E-2</v>
      </c>
      <c r="AV20" s="146">
        <f>IF(AND(B20&gt;=5,B20&lt;45),0.01436*(B20-45)-0.12124,IF(AND(B20&gt;=45,B20&lt;85),-0.00844*(B20-75)-0.37439))</f>
        <v>-0.45794600000000008</v>
      </c>
      <c r="AW20" s="146">
        <f>IF(AND(B20&gt;=5,B20&lt;45),0.00002*(B20-45)+0.00092,IF(AND(B20&gt;=45,B20&lt;85),0.00002*(B20-75)+0.00156))</f>
        <v>1.758E-3</v>
      </c>
      <c r="AX20" s="146">
        <f>IF(AND(B20&gt;=5,B20&lt;45),0.01326*(B20-45)+0.97745,IF(AND(B20&gt;=45,B20&lt;85),-0.00799*(B20-75)+0.73788))</f>
        <v>0.65877899999999989</v>
      </c>
      <c r="AY20" s="146">
        <f>IF(AND(B20&gt;=5,B20&lt;45),0.00061*(B20-45)+0.00602,IF(AND(B20&gt;=45,B20&lt;85),-0.00081*(B20-75)-0.01826))</f>
        <v>-2.6279000000000004E-2</v>
      </c>
      <c r="AZ20" s="146">
        <f>IF(AND(B20&gt;=5,B20&lt;45),-0.00728*(B20-45)-0.06927,IF(AND(B20&gt;=45,B20&lt;85),0.00522*(B20-75)+0.08748))</f>
        <v>0.13915800000000003</v>
      </c>
      <c r="BA20" s="146">
        <f>IF(AND(B20&gt;=5,B20&lt;45),0.0148*(B20-45)+0.46008,IF(AND(B20&gt;=45,B20&lt;85),-0.00924*(B20-75)+0.18293))</f>
        <v>9.1453999999999952E-2</v>
      </c>
      <c r="BB20" s="146">
        <f>IF(AND(B20&gt;=5,B20&lt;45),0.00272*(B20-45)+0.11565,IF(AND(B20&gt;=45,B20&lt;85),0.00122*(B20-75)+0.15234))</f>
        <v>0.16441800000000001</v>
      </c>
      <c r="BK20">
        <f>AN20*(AT20+AU20*X20+AV20*AO20*(I20-50)+AW20*(1-AO20)+AX20*H20)</f>
        <v>0</v>
      </c>
      <c r="BL20">
        <f>(1-AN20)*(AY20+AZ20*AO20*(I20-50)+BA20*(1-AO20)+BB20*LN(O20))</f>
        <v>0.24519368807179495</v>
      </c>
      <c r="BM20">
        <f t="shared" si="16"/>
        <v>0.24519368807179495</v>
      </c>
      <c r="BN20">
        <f>AQ20+BM20*LN(AK20/EXP(AJ20))+AR20*LN(H20)+AP20*AS20*LN(X20)</f>
        <v>0.87674050772987344</v>
      </c>
      <c r="BO20" s="142">
        <f t="shared" si="17"/>
        <v>2.4030541906052498</v>
      </c>
      <c r="BP20" s="146">
        <f>IF(AND(B20&gt;=5,B20&lt;45),0.00302*(B20-45)+0.53947,IF(AND(B20&gt;=45,B20&lt;85),0.00428*(B20-75)+0.66796))</f>
        <v>0.71033199999999996</v>
      </c>
      <c r="BQ20">
        <v>0.3</v>
      </c>
    </row>
    <row r="21" spans="1:69" ht="15.75" x14ac:dyDescent="0.25">
      <c r="A21" s="146">
        <v>19</v>
      </c>
      <c r="B21" s="146">
        <v>50</v>
      </c>
      <c r="C21" s="146" t="str">
        <f t="shared" si="3"/>
        <v>SSTens_5to85</v>
      </c>
      <c r="D21">
        <v>0.60960000000000003</v>
      </c>
      <c r="E21">
        <f t="shared" si="0"/>
        <v>609.6</v>
      </c>
      <c r="F21">
        <v>1.1130000000000001E-2</v>
      </c>
      <c r="G21">
        <f t="shared" si="1"/>
        <v>11.13</v>
      </c>
      <c r="H21" s="4">
        <f t="shared" si="2"/>
        <v>54.770889487870619</v>
      </c>
      <c r="I21" s="146">
        <v>150</v>
      </c>
      <c r="J21" s="146" t="s">
        <v>187</v>
      </c>
      <c r="K21" s="146">
        <f t="shared" si="4"/>
        <v>3</v>
      </c>
      <c r="L21" s="146">
        <f t="shared" si="5"/>
        <v>9</v>
      </c>
      <c r="M21" s="146">
        <f t="shared" si="6"/>
        <v>290000</v>
      </c>
      <c r="N21" s="146">
        <f t="shared" si="7"/>
        <v>414000</v>
      </c>
      <c r="O21" s="146">
        <f t="shared" si="8"/>
        <v>1.7363704307629526</v>
      </c>
      <c r="P21" t="s">
        <v>10</v>
      </c>
      <c r="Q21" t="s">
        <v>266</v>
      </c>
      <c r="R21">
        <f t="shared" si="9"/>
        <v>18.5</v>
      </c>
      <c r="S21">
        <f t="shared" si="10"/>
        <v>0</v>
      </c>
      <c r="T21">
        <f t="shared" si="11"/>
        <v>125</v>
      </c>
      <c r="U21">
        <f t="shared" si="12"/>
        <v>0.4</v>
      </c>
      <c r="V21">
        <v>0.9</v>
      </c>
      <c r="W21" s="146">
        <v>0</v>
      </c>
      <c r="X21">
        <f t="shared" si="13"/>
        <v>95.755744081416907</v>
      </c>
      <c r="Y21">
        <f t="shared" si="14"/>
        <v>0</v>
      </c>
      <c r="Z21">
        <f t="shared" si="15"/>
        <v>1</v>
      </c>
      <c r="AA21" s="146">
        <f>IF(AND(B21&gt;=5,B21&lt;45),-0.05402*(B21-45)-1.82829,IF(AND(B21&gt;=45,B21&lt;85),0.00735*(B21-75)-1.60779))</f>
        <v>-1.7915400000000001</v>
      </c>
      <c r="AB21" s="146">
        <f>IF(AND(B21&gt;=5,B21&lt;45),0.01347*(B21-45)+0.37664,IF(AND(B21&gt;=45,B21&lt;85),0.00484*(B21-75)+0.52187))</f>
        <v>0.40086999999999995</v>
      </c>
      <c r="AC21" s="146">
        <f>IF(AND(B21&gt;=5,B21&lt;45),-0.00301*(B21-45)-0.01591,IF(AND(B21&gt;=45,B21&lt;85),-0.02185*(B21-75)-0.67156))</f>
        <v>-0.12531000000000003</v>
      </c>
      <c r="AD21" s="146">
        <f>IF(AND(B21&gt;=5,B21&lt;45),0.02182*(B21-45)+0.49488,IF(AND(B21&gt;=45,B21&lt;85),0.05619*(B21-75)+2.18087))</f>
        <v>0.77612000000000014</v>
      </c>
      <c r="AE21" s="146">
        <f>IF(AND(B21&gt;=5,B21&lt;45),0.02436*(B21-45)+0.47831,IF(AND(B21&gt;=45,B21&lt;85),0.0643*(B21-75)+2.40733))</f>
        <v>0.79983000000000004</v>
      </c>
      <c r="AF21" s="146">
        <f>IF(AND(B21&gt;=5,B21&lt;45),-0.00001*(B21-45)-0.00165,IF(AND(B21&gt;=45,B21&lt;85),-0.00153))</f>
        <v>-1.5299999999999999E-3</v>
      </c>
      <c r="AG21" s="146">
        <f>IF(AND(B21&gt;=5,B21&lt;45),0.00228*(B21-45)+0.10021,IF(AND(B21&gt;=45,B21&lt;85),0.00144*(B21-75)+0.14358))</f>
        <v>0.10758000000000001</v>
      </c>
      <c r="AH21">
        <f>AC21*LN(I21)+AD21*Y21+AE21*(1-Y21)+AF21*Z21*(H21-100)+AG21*(1-Z21)</f>
        <v>0.24114783038035603</v>
      </c>
      <c r="AJ21">
        <f>AA21+AH21*LN(O21)+AB21*LN(I21)</f>
        <v>0.35013801373668363</v>
      </c>
      <c r="AK21" s="146">
        <v>7.5</v>
      </c>
      <c r="AN21">
        <f>IF(AK21&lt;EXP(AJ21),1,0)</f>
        <v>0</v>
      </c>
      <c r="AO21">
        <f>IF(I21&lt;50,1,0)</f>
        <v>0</v>
      </c>
      <c r="AP21">
        <f>IF(P21="sand",1,0)</f>
        <v>0</v>
      </c>
      <c r="AQ21" s="146">
        <f>IF(AND(B21&gt;=5,B21&lt;45),-0.02174*(B21-45)+0.16235,IF(AND(B21&gt;=45,B21&lt;85),-0.02787*(B21-75)-0.67388))</f>
        <v>2.2869999999999946E-2</v>
      </c>
      <c r="AR21" s="146">
        <f>IF(AND(B21&gt;=5,B21&lt;45),0.00203*(B21-45)+0.24407,IF(AND(B21&gt;=45,B21&lt;85),0.00361*(B21-75)+0.35249))</f>
        <v>0.26224000000000003</v>
      </c>
      <c r="AS21" s="146">
        <f>IF(AND(B21&gt;=5,B21&lt;45),-0.02801*(B21-45)+1.64437,IF(AND(B21&gt;=45,B21&lt;85),0.00794*(B21-75)+1.8827))</f>
        <v>1.6842000000000001</v>
      </c>
      <c r="AT21" s="146">
        <f>IF(AND(B21&gt;=5,B21&lt;45),-0.0001*(B21-45)-0.00387,IF(AND(B21&gt;=45,B21&lt;85),-0.00002*(B21-75)-0.00456))</f>
        <v>-4.0599999999999994E-3</v>
      </c>
      <c r="AU21" s="146">
        <f>IF(AND(B21&gt;=5,B21&lt;45),-0.00114*(B21-45)+0.00514,IF(AND(B21&gt;=45,B21&lt;85),0.00057*(B21-75)+0.02215))</f>
        <v>7.9000000000000008E-3</v>
      </c>
      <c r="AV21" s="146">
        <f>IF(AND(B21&gt;=5,B21&lt;45),0.01436*(B21-45)-0.12124,IF(AND(B21&gt;=45,B21&lt;85),-0.00844*(B21-75)-0.37439))</f>
        <v>-0.16339000000000001</v>
      </c>
      <c r="AW21" s="146">
        <f>IF(AND(B21&gt;=5,B21&lt;45),0.00002*(B21-45)+0.00092,IF(AND(B21&gt;=45,B21&lt;85),0.00002*(B21-75)+0.00156))</f>
        <v>1.06E-3</v>
      </c>
      <c r="AX21" s="146">
        <f>IF(AND(B21&gt;=5,B21&lt;45),0.01326*(B21-45)+0.97745,IF(AND(B21&gt;=45,B21&lt;85),-0.00799*(B21-75)+0.73788))</f>
        <v>0.93762999999999996</v>
      </c>
      <c r="AY21" s="146">
        <f>IF(AND(B21&gt;=5,B21&lt;45),0.00061*(B21-45)+0.00602,IF(AND(B21&gt;=45,B21&lt;85),-0.00081*(B21-75)-0.01826))</f>
        <v>1.9899999999999987E-3</v>
      </c>
      <c r="AZ21" s="146">
        <f>IF(AND(B21&gt;=5,B21&lt;45),-0.00728*(B21-45)-0.06927,IF(AND(B21&gt;=45,B21&lt;85),0.00522*(B21-75)+0.08748))</f>
        <v>-4.3020000000000003E-2</v>
      </c>
      <c r="BA21" s="146">
        <f>IF(AND(B21&gt;=5,B21&lt;45),0.0148*(B21-45)+0.46008,IF(AND(B21&gt;=45,B21&lt;85),-0.00924*(B21-75)+0.18293))</f>
        <v>0.41393000000000002</v>
      </c>
      <c r="BB21" s="146">
        <f>IF(AND(B21&gt;=5,B21&lt;45),0.00272*(B21-45)+0.11565,IF(AND(B21&gt;=45,B21&lt;85),0.00122*(B21-75)+0.15234))</f>
        <v>0.12184</v>
      </c>
      <c r="BK21">
        <f>AN21*(AT21+AU21*X21+AV21*AO21*(I21-50)+AW21*(1-AO21)+AX21*H21)</f>
        <v>0</v>
      </c>
      <c r="BL21">
        <f>(1-AN21)*(AY21+AZ21*AO21*(I21-50)+BA21*(1-AO21)+BB21*LN(O21))</f>
        <v>0.48315094346463056</v>
      </c>
      <c r="BM21">
        <f t="shared" si="16"/>
        <v>0.48315094346463056</v>
      </c>
      <c r="BN21">
        <f>AQ21+BM21*LN(AK21/EXP(AJ21))+AR21*LN(H21)+AP21*AS21*LN(X21)</f>
        <v>1.8769911576466645</v>
      </c>
      <c r="BO21" s="142">
        <f t="shared" si="17"/>
        <v>6.5338160343423519</v>
      </c>
      <c r="BP21" s="146">
        <f>IF(AND(B21&gt;=5,B21&lt;45),0.00302*(B21-45)+0.53947,IF(AND(B21&gt;=45,B21&lt;85),0.00428*(B21-75)+0.66796))</f>
        <v>0.56096000000000001</v>
      </c>
      <c r="BQ21">
        <v>0.3</v>
      </c>
    </row>
    <row r="22" spans="1:69" ht="15.75" x14ac:dyDescent="0.25">
      <c r="A22" s="146">
        <v>20</v>
      </c>
      <c r="B22" s="146">
        <v>50</v>
      </c>
      <c r="C22" s="146" t="str">
        <f t="shared" si="3"/>
        <v>SSTens_5to85</v>
      </c>
      <c r="D22">
        <v>0.60960000000000003</v>
      </c>
      <c r="E22">
        <f t="shared" si="0"/>
        <v>609.6</v>
      </c>
      <c r="F22">
        <v>1.1130000000000001E-2</v>
      </c>
      <c r="G22">
        <f t="shared" si="1"/>
        <v>11.13</v>
      </c>
      <c r="H22" s="4">
        <f t="shared" si="2"/>
        <v>54.770889487870619</v>
      </c>
      <c r="I22" s="146">
        <v>200</v>
      </c>
      <c r="J22" s="146" t="s">
        <v>186</v>
      </c>
      <c r="K22" s="146">
        <f t="shared" si="4"/>
        <v>3</v>
      </c>
      <c r="L22" s="146">
        <f t="shared" si="5"/>
        <v>8</v>
      </c>
      <c r="M22" s="146">
        <f t="shared" si="6"/>
        <v>241000</v>
      </c>
      <c r="N22" s="146">
        <f t="shared" si="7"/>
        <v>344000</v>
      </c>
      <c r="O22" s="146">
        <f t="shared" si="8"/>
        <v>1.1599577949833839</v>
      </c>
      <c r="P22" t="s">
        <v>10</v>
      </c>
      <c r="Q22" t="s">
        <v>266</v>
      </c>
      <c r="R22">
        <f t="shared" si="9"/>
        <v>18.5</v>
      </c>
      <c r="S22">
        <f t="shared" si="10"/>
        <v>0</v>
      </c>
      <c r="T22">
        <f t="shared" si="11"/>
        <v>125</v>
      </c>
      <c r="U22">
        <f t="shared" si="12"/>
        <v>0.4</v>
      </c>
      <c r="V22">
        <v>0.9</v>
      </c>
      <c r="W22" s="146">
        <v>0</v>
      </c>
      <c r="X22">
        <f t="shared" si="13"/>
        <v>95.755744081416907</v>
      </c>
      <c r="Y22">
        <f t="shared" si="14"/>
        <v>0</v>
      </c>
      <c r="Z22">
        <f t="shared" si="15"/>
        <v>1</v>
      </c>
      <c r="AA22" s="146">
        <f>IF(AND(B22&gt;=5,B22&lt;45),-0.05402*(B22-45)-1.82829,IF(AND(B22&gt;=45,B22&lt;85),0.00735*(B22-75)-1.60779))</f>
        <v>-1.7915400000000001</v>
      </c>
      <c r="AB22" s="146">
        <f>IF(AND(B22&gt;=5,B22&lt;45),0.01347*(B22-45)+0.37664,IF(AND(B22&gt;=45,B22&lt;85),0.00484*(B22-75)+0.52187))</f>
        <v>0.40086999999999995</v>
      </c>
      <c r="AC22" s="146">
        <f>IF(AND(B22&gt;=5,B22&lt;45),-0.00301*(B22-45)-0.01591,IF(AND(B22&gt;=45,B22&lt;85),-0.02185*(B22-75)-0.67156))</f>
        <v>-0.12531000000000003</v>
      </c>
      <c r="AD22" s="146">
        <f>IF(AND(B22&gt;=5,B22&lt;45),0.02182*(B22-45)+0.49488,IF(AND(B22&gt;=45,B22&lt;85),0.05619*(B22-75)+2.18087))</f>
        <v>0.77612000000000014</v>
      </c>
      <c r="AE22" s="146">
        <f>IF(AND(B22&gt;=5,B22&lt;45),0.02436*(B22-45)+0.47831,IF(AND(B22&gt;=45,B22&lt;85),0.0643*(B22-75)+2.40733))</f>
        <v>0.79983000000000004</v>
      </c>
      <c r="AF22" s="146">
        <f>IF(AND(B22&gt;=5,B22&lt;45),-0.00001*(B22-45)-0.00165,IF(AND(B22&gt;=45,B22&lt;85),-0.00153))</f>
        <v>-1.5299999999999999E-3</v>
      </c>
      <c r="AG22" s="146">
        <f>IF(AND(B22&gt;=5,B22&lt;45),0.00228*(B22-45)+0.10021,IF(AND(B22&gt;=45,B22&lt;85),0.00144*(B22-75)+0.14358))</f>
        <v>0.10758000000000001</v>
      </c>
      <c r="AH22">
        <f>AC22*LN(I22)+AD22*Y22+AE22*(1-Y22)+AF22*Z22*(H22-100)+AG22*(1-Z22)</f>
        <v>0.20509838988142337</v>
      </c>
      <c r="AJ22">
        <f>AA22+AH22*LN(O22)+AB22*LN(I22)</f>
        <v>0.36282972444334716</v>
      </c>
      <c r="AK22" s="146">
        <v>3.5</v>
      </c>
      <c r="AN22">
        <f>IF(AK22&lt;EXP(AJ22),1,0)</f>
        <v>0</v>
      </c>
      <c r="AO22">
        <f>IF(I22&lt;50,1,0)</f>
        <v>0</v>
      </c>
      <c r="AP22">
        <f>IF(P22="sand",1,0)</f>
        <v>0</v>
      </c>
      <c r="AQ22" s="146">
        <f>IF(AND(B22&gt;=5,B22&lt;45),-0.02174*(B22-45)+0.16235,IF(AND(B22&gt;=45,B22&lt;85),-0.02787*(B22-75)-0.67388))</f>
        <v>2.2869999999999946E-2</v>
      </c>
      <c r="AR22" s="146">
        <f>IF(AND(B22&gt;=5,B22&lt;45),0.00203*(B22-45)+0.24407,IF(AND(B22&gt;=45,B22&lt;85),0.00361*(B22-75)+0.35249))</f>
        <v>0.26224000000000003</v>
      </c>
      <c r="AS22" s="146">
        <f>IF(AND(B22&gt;=5,B22&lt;45),-0.02801*(B22-45)+1.64437,IF(AND(B22&gt;=45,B22&lt;85),0.00794*(B22-75)+1.8827))</f>
        <v>1.6842000000000001</v>
      </c>
      <c r="AT22" s="146">
        <f>IF(AND(B22&gt;=5,B22&lt;45),-0.0001*(B22-45)-0.00387,IF(AND(B22&gt;=45,B22&lt;85),-0.00002*(B22-75)-0.00456))</f>
        <v>-4.0599999999999994E-3</v>
      </c>
      <c r="AU22" s="146">
        <f>IF(AND(B22&gt;=5,B22&lt;45),-0.00114*(B22-45)+0.00514,IF(AND(B22&gt;=45,B22&lt;85),0.00057*(B22-75)+0.02215))</f>
        <v>7.9000000000000008E-3</v>
      </c>
      <c r="AV22" s="146">
        <f>IF(AND(B22&gt;=5,B22&lt;45),0.01436*(B22-45)-0.12124,IF(AND(B22&gt;=45,B22&lt;85),-0.00844*(B22-75)-0.37439))</f>
        <v>-0.16339000000000001</v>
      </c>
      <c r="AW22" s="146">
        <f>IF(AND(B22&gt;=5,B22&lt;45),0.00002*(B22-45)+0.00092,IF(AND(B22&gt;=45,B22&lt;85),0.00002*(B22-75)+0.00156))</f>
        <v>1.06E-3</v>
      </c>
      <c r="AX22" s="146">
        <f>IF(AND(B22&gt;=5,B22&lt;45),0.01326*(B22-45)+0.97745,IF(AND(B22&gt;=45,B22&lt;85),-0.00799*(B22-75)+0.73788))</f>
        <v>0.93762999999999996</v>
      </c>
      <c r="AY22" s="146">
        <f>IF(AND(B22&gt;=5,B22&lt;45),0.00061*(B22-45)+0.00602,IF(AND(B22&gt;=45,B22&lt;85),-0.00081*(B22-75)-0.01826))</f>
        <v>1.9899999999999987E-3</v>
      </c>
      <c r="AZ22" s="146">
        <f>IF(AND(B22&gt;=5,B22&lt;45),-0.00728*(B22-45)-0.06927,IF(AND(B22&gt;=45,B22&lt;85),0.00522*(B22-75)+0.08748))</f>
        <v>-4.3020000000000003E-2</v>
      </c>
      <c r="BA22" s="146">
        <f>IF(AND(B22&gt;=5,B22&lt;45),0.0148*(B22-45)+0.46008,IF(AND(B22&gt;=45,B22&lt;85),-0.00924*(B22-75)+0.18293))</f>
        <v>0.41393000000000002</v>
      </c>
      <c r="BB22" s="146">
        <f>IF(AND(B22&gt;=5,B22&lt;45),0.00272*(B22-45)+0.11565,IF(AND(B22&gt;=45,B22&lt;85),0.00122*(B22-75)+0.15234))</f>
        <v>0.12184</v>
      </c>
      <c r="BK22">
        <f>AN22*(AT22+AU22*X22+AV22*AO22*(I22-50)+AW22*(1-AO22)+AX22*H22)</f>
        <v>0</v>
      </c>
      <c r="BL22">
        <f>(1-AN22)*(AY22+AZ22*AO22*(I22-50)+BA22*(1-AO22)+BB22*LN(O22))</f>
        <v>0.43399906036087438</v>
      </c>
      <c r="BM22">
        <f t="shared" si="16"/>
        <v>0.43399906036087438</v>
      </c>
      <c r="BN22">
        <f>AQ22+BM22*LN(AK22/EXP(AJ22))+AR22*LN(H22)+AP22*AS22*LN(X22)</f>
        <v>1.4588885656641277</v>
      </c>
      <c r="BO22" s="142">
        <f t="shared" si="17"/>
        <v>4.3011763956378672</v>
      </c>
      <c r="BP22" s="146">
        <f>IF(AND(B22&gt;=5,B22&lt;45),0.00302*(B22-45)+0.53947,IF(AND(B22&gt;=45,B22&lt;85),0.00428*(B22-75)+0.66796))</f>
        <v>0.56096000000000001</v>
      </c>
      <c r="BQ22">
        <v>0.3</v>
      </c>
    </row>
    <row r="24" spans="1:69" x14ac:dyDescent="0.25">
      <c r="D24" t="s">
        <v>288</v>
      </c>
      <c r="E24" t="s">
        <v>1</v>
      </c>
      <c r="F24" t="s">
        <v>289</v>
      </c>
      <c r="G24" t="s">
        <v>2</v>
      </c>
      <c r="H24" t="s">
        <v>124</v>
      </c>
      <c r="I24" t="s">
        <v>125</v>
      </c>
      <c r="J24" t="s">
        <v>15</v>
      </c>
      <c r="K24" t="s">
        <v>4</v>
      </c>
      <c r="L24" t="s">
        <v>5</v>
      </c>
      <c r="M24" t="s">
        <v>3</v>
      </c>
      <c r="N24" t="s">
        <v>16</v>
      </c>
      <c r="O24" t="s">
        <v>17</v>
      </c>
      <c r="P24" t="s">
        <v>0</v>
      </c>
      <c r="Q24" t="s">
        <v>86</v>
      </c>
      <c r="R24" t="s">
        <v>84</v>
      </c>
      <c r="S24" t="s">
        <v>85</v>
      </c>
      <c r="T24" t="s">
        <v>83</v>
      </c>
      <c r="U24" t="s">
        <v>82</v>
      </c>
      <c r="V24" t="s">
        <v>406</v>
      </c>
      <c r="W24" t="s">
        <v>287</v>
      </c>
      <c r="X24" t="s">
        <v>7</v>
      </c>
      <c r="AH24" t="s">
        <v>11</v>
      </c>
      <c r="AI24" t="s">
        <v>388</v>
      </c>
      <c r="AJ24" t="s">
        <v>271</v>
      </c>
      <c r="AK24" t="s">
        <v>6</v>
      </c>
      <c r="AL24" t="s">
        <v>389</v>
      </c>
      <c r="AM24" t="s">
        <v>390</v>
      </c>
      <c r="AP24" t="s">
        <v>286</v>
      </c>
      <c r="AQ24" t="s">
        <v>18</v>
      </c>
      <c r="AR24" t="s">
        <v>104</v>
      </c>
      <c r="AS24" t="s">
        <v>105</v>
      </c>
      <c r="BC24" t="s">
        <v>374</v>
      </c>
      <c r="BD24" t="s">
        <v>375</v>
      </c>
      <c r="BE24" t="s">
        <v>376</v>
      </c>
      <c r="BF24" t="s">
        <v>377</v>
      </c>
      <c r="BG24" t="s">
        <v>378</v>
      </c>
      <c r="BH24" t="s">
        <v>379</v>
      </c>
      <c r="BI24" t="s">
        <v>380</v>
      </c>
      <c r="BJ24" t="s">
        <v>381</v>
      </c>
      <c r="BK24" t="s">
        <v>404</v>
      </c>
      <c r="BL24" t="s">
        <v>405</v>
      </c>
      <c r="BM24" t="s">
        <v>19</v>
      </c>
      <c r="BN24" t="s">
        <v>284</v>
      </c>
      <c r="BO24" t="s">
        <v>8</v>
      </c>
      <c r="BP24" t="s">
        <v>290</v>
      </c>
      <c r="BQ24" t="s">
        <v>291</v>
      </c>
    </row>
    <row r="25" spans="1:69" x14ac:dyDescent="0.25">
      <c r="A25" s="146">
        <v>1</v>
      </c>
      <c r="B25" s="146">
        <v>86</v>
      </c>
      <c r="C25" s="146" t="str">
        <f>IF(AND(B25&gt;=5,B25&lt;85),"SSTens_5to85",IF(AND(B25&gt;=85,B25&lt;=90),"SSTens_85to90"))</f>
        <v>SSTens_85to90</v>
      </c>
      <c r="D25">
        <v>0.20319999999999999</v>
      </c>
      <c r="E25">
        <f t="shared" ref="E25:E44" si="18">D25*1000</f>
        <v>203.2</v>
      </c>
      <c r="F25">
        <v>5.5599999999999998E-3</v>
      </c>
      <c r="G25">
        <f t="shared" ref="G25:G44" si="19">F25*1000</f>
        <v>5.56</v>
      </c>
      <c r="H25">
        <f t="shared" ref="H25:H44" si="20">D25/F25</f>
        <v>36.546762589928058</v>
      </c>
      <c r="I25">
        <v>15</v>
      </c>
      <c r="J25" t="s">
        <v>117</v>
      </c>
      <c r="K25">
        <f>IF(J25="Grade-B",3,IF(J25="X-42",3,IF(J25="X-52",8,IF(J25="X-60",8,IF(J25="X-70",14,IF(J25="X-80",15,8))))))</f>
        <v>8</v>
      </c>
      <c r="L25">
        <f>IF(J25="Grade-B",8,IF(J25="X-42",9,IF(J25="X-52",10,IF(J25="X-60",12,IF(J25="X-70",15,IF(J25="X-80",20,10))))))</f>
        <v>10</v>
      </c>
      <c r="M25">
        <f>IF(J25="Grade-B",241,IF(J25="X-42",290,IF(J25="X-52",359,IF(J25="X-60",414,IF(J25="X-70",483,IF(J25="X-80",552,359))))))*1000</f>
        <v>359000</v>
      </c>
      <c r="N25">
        <f>IF(J25="Grade-B",344,IF(J25="X-42",414,IF(J25="X-52",455,IF(J25="X-60",517,IF(J25="X-70",565,IF(J25="X-80",625,M25*1.2/1000))))))*1000</f>
        <v>455000</v>
      </c>
      <c r="O25">
        <f>N25/200000000*(1+K25/(1+L25)*(N25/M25)^L25)*100</f>
        <v>1.9969902892117808</v>
      </c>
      <c r="P25" t="s">
        <v>9</v>
      </c>
      <c r="Q25" t="s">
        <v>267</v>
      </c>
      <c r="R25">
        <f>IF(Q25="medium dense",18,IF(Q25="dense",18.5,IF(Q25="very dense",19,IF(Q25="soft",17.5,IF(Q25="medium stiff",18,IF(Q25="stiff",18.5,0))))))</f>
        <v>18</v>
      </c>
      <c r="S25">
        <f>IF(Q25="medium dense",37,IF(Q25="dense",40,IF(Q25="very dense",43,0)))</f>
        <v>37</v>
      </c>
      <c r="T25">
        <f>IF(Q25="soft",37.5,IF(Q25="medium stiff",75,IF(Q25="stiff",125,0)))</f>
        <v>0</v>
      </c>
      <c r="U25">
        <f>IF(Q25="soft",1.1,IF(Q25="medium stiff",0.72,IF(Q25="stiff",0.4,0)))</f>
        <v>0</v>
      </c>
      <c r="V25">
        <v>0.9</v>
      </c>
      <c r="W25">
        <v>1</v>
      </c>
      <c r="X25">
        <f>IF(P25="clay",U25*T25,IF(P25="sand",W25*R25*TAN(RADIANS(V25*S25))))*PI()*D25</f>
        <v>7.5479720641402661</v>
      </c>
      <c r="AH25">
        <f>0.00081*X25+0.00314*LN(O25)</f>
        <v>8.2856107139974745E-3</v>
      </c>
      <c r="AI25">
        <f>-0.15507+AH25*LN(H25)+0.05203*LN(I25)</f>
        <v>1.5646389426880153E-2</v>
      </c>
      <c r="AJ25">
        <f>IF(I25&lt;15,AI25+0.75,IF(I25&gt;50,AI25+1.5,AI25+1))</f>
        <v>1.0156463894268801</v>
      </c>
      <c r="AK25">
        <v>0.75</v>
      </c>
      <c r="AL25">
        <f t="shared" ref="AL25:AL44" si="21">IF(AK25&lt;EXP(AI25),1,0)</f>
        <v>1</v>
      </c>
      <c r="AM25">
        <f t="shared" ref="AM25:AM44" si="22">IF(AK25&gt;EXP(AJ25),1,0)</f>
        <v>0</v>
      </c>
      <c r="AP25">
        <f>IF(P25="sand",1,0)</f>
        <v>1</v>
      </c>
      <c r="AQ25">
        <v>-2.307229</v>
      </c>
      <c r="AR25">
        <v>0.5852366</v>
      </c>
      <c r="AS25">
        <v>0.201322</v>
      </c>
      <c r="BC25">
        <v>1.4274935</v>
      </c>
      <c r="BD25">
        <v>-7.1050000000000002E-3</v>
      </c>
      <c r="BE25">
        <v>5.1415999999999996E-3</v>
      </c>
      <c r="BF25">
        <v>-1.4290590000000001</v>
      </c>
      <c r="BG25">
        <v>4.9200300000000002E-2</v>
      </c>
      <c r="BH25">
        <v>0.14513599999999999</v>
      </c>
      <c r="BI25">
        <v>2.0170299999999999E-2</v>
      </c>
      <c r="BJ25">
        <v>-1.032025</v>
      </c>
      <c r="BK25">
        <f>AL25*(LN(AK25)-AI25)*(BC25+BD25*X25+BE25*H25)</f>
        <v>-0.47373050310383741</v>
      </c>
      <c r="BL25">
        <f>AM25*(LN(AK25)-AJ25)*(BF25+BG25*X25+BH25*I25+BI25*H25+BJ25*LN(O25))</f>
        <v>0</v>
      </c>
      <c r="BM25">
        <f>BK25+BL25</f>
        <v>-0.47373050310383741</v>
      </c>
      <c r="BN25">
        <f>AQ25+BM25*AK25+AR25*LN(H25)+AP25*AS25*LN(X25)</f>
        <v>-0.14957085894174343</v>
      </c>
      <c r="BO25">
        <f>MIN(EXP(BN25),100)</f>
        <v>0.86107742082312089</v>
      </c>
      <c r="BP25">
        <v>0.72299999999999998</v>
      </c>
      <c r="BQ25">
        <v>0.3</v>
      </c>
    </row>
    <row r="26" spans="1:69" x14ac:dyDescent="0.25">
      <c r="A26" s="146">
        <v>2</v>
      </c>
      <c r="B26" s="146">
        <v>87</v>
      </c>
      <c r="C26" s="146" t="str">
        <f t="shared" ref="C26:C44" si="23">IF(AND(B26&gt;=5,B26&lt;85),"SSTens_5to85",IF(AND(B26&gt;=85,B26&lt;=90),"SSTens_85to90"))</f>
        <v>SSTens_85to90</v>
      </c>
      <c r="D26">
        <v>0.30480000000000002</v>
      </c>
      <c r="E26">
        <f t="shared" si="18"/>
        <v>304.8</v>
      </c>
      <c r="F26">
        <v>7.1399999999999996E-3</v>
      </c>
      <c r="G26">
        <f t="shared" si="19"/>
        <v>7.14</v>
      </c>
      <c r="H26">
        <f t="shared" si="20"/>
        <v>42.689075630252105</v>
      </c>
      <c r="I26">
        <v>30</v>
      </c>
      <c r="J26" t="s">
        <v>118</v>
      </c>
      <c r="K26">
        <f t="shared" ref="K26:K44" si="24">IF(J26="Grade-B",3,IF(J26="X-42",3,IF(J26="X-52",8,IF(J26="X-60",8,IF(J26="X-70",14,IF(J26="X-80",15,8))))))</f>
        <v>8</v>
      </c>
      <c r="L26">
        <f t="shared" ref="L26:L44" si="25">IF(J26="Grade-B",8,IF(J26="X-42",9,IF(J26="X-52",10,IF(J26="X-60",12,IF(J26="X-70",15,IF(J26="X-80",20,10))))))</f>
        <v>12</v>
      </c>
      <c r="M26">
        <f t="shared" ref="M26:M44" si="26">IF(J26="Grade-B",241,IF(J26="X-42",290,IF(J26="X-52",359,IF(J26="X-60",414,IF(J26="X-70",483,IF(J26="X-80",552,359))))))*1000</f>
        <v>414000</v>
      </c>
      <c r="N26">
        <f t="shared" ref="N26:N44" si="27">IF(J26="Grade-B",344,IF(J26="X-42",414,IF(J26="X-52",455,IF(J26="X-60",517,IF(J26="X-70",565,IF(J26="X-80",625,M26*1.2/1000))))))*1000</f>
        <v>517000</v>
      </c>
      <c r="O26">
        <f t="shared" ref="O26:O44" si="28">N26/200000000*(1+K26/(1+L26)*(N26/M26)^L26)*100</f>
        <v>2.5466769467238102</v>
      </c>
      <c r="P26" t="s">
        <v>9</v>
      </c>
      <c r="Q26" t="s">
        <v>267</v>
      </c>
      <c r="R26">
        <f t="shared" ref="R26:R44" si="29">IF(Q26="medium dense",18,IF(Q26="dense",18.5,IF(Q26="very dense",19,IF(Q26="soft",17.5,IF(Q26="medium stiff",18,IF(Q26="stiff",18.5,0))))))</f>
        <v>18</v>
      </c>
      <c r="S26">
        <f t="shared" ref="S26:S44" si="30">IF(Q26="medium dense",37,IF(Q26="dense",40,IF(Q26="very dense",43,0)))</f>
        <v>37</v>
      </c>
      <c r="T26">
        <f t="shared" ref="T26:T44" si="31">IF(Q26="soft",37.5,IF(Q26="medium stiff",75,IF(Q26="stiff",125,0)))</f>
        <v>0</v>
      </c>
      <c r="U26">
        <f t="shared" ref="U26:U44" si="32">IF(Q26="soft",1.1,IF(Q26="medium stiff",0.72,IF(Q26="stiff",0.4,0)))</f>
        <v>0</v>
      </c>
      <c r="V26">
        <v>0.9</v>
      </c>
      <c r="W26">
        <v>2</v>
      </c>
      <c r="X26">
        <f t="shared" ref="X26:X44" si="33">IF(P26="clay",U26*T26,IF(P26="sand",W26*R26*TAN(RADIANS(V26*S26))))*PI()*D26</f>
        <v>22.6439161924208</v>
      </c>
      <c r="AH26">
        <f>0.00081*X26+0.00314*LN(O26)</f>
        <v>2.1276810678546657E-2</v>
      </c>
      <c r="AI26">
        <f>-0.15507+AH26*LN(H26)+0.05203*LN(I26)</f>
        <v>0.10176623528675607</v>
      </c>
      <c r="AJ26">
        <f>IF(I26&lt;15,AI26+0.75,IF(I26&gt;50,AI26+1.5,AI26+1))</f>
        <v>1.1017662352867561</v>
      </c>
      <c r="AK26">
        <v>0.75</v>
      </c>
      <c r="AL26">
        <f t="shared" si="21"/>
        <v>1</v>
      </c>
      <c r="AM26">
        <f t="shared" si="22"/>
        <v>0</v>
      </c>
      <c r="AP26">
        <f>IF(P26="sand",1,0)</f>
        <v>1</v>
      </c>
      <c r="AQ26">
        <v>-2.307229</v>
      </c>
      <c r="AR26">
        <v>0.5852366</v>
      </c>
      <c r="AS26">
        <v>0.201322</v>
      </c>
      <c r="BC26">
        <v>1.4274935</v>
      </c>
      <c r="BD26">
        <v>-7.1050000000000002E-3</v>
      </c>
      <c r="BE26">
        <v>5.1415999999999996E-3</v>
      </c>
      <c r="BF26">
        <v>-1.4290590000000001</v>
      </c>
      <c r="BG26">
        <v>4.9200300000000002E-2</v>
      </c>
      <c r="BH26">
        <v>0.14513599999999999</v>
      </c>
      <c r="BI26">
        <v>2.0170299999999999E-2</v>
      </c>
      <c r="BJ26">
        <v>-1.032025</v>
      </c>
      <c r="BK26">
        <f>AL26*(LN(AK26)-AI26)*(BC26+BD26*X26+BE26*H26)</f>
        <v>-0.57875859530607965</v>
      </c>
      <c r="BL26">
        <f>AM26*(LN(AK26)-AJ26)*(BF26+BG26*X26+BH26*I26+BI26*H26+BJ26*LN(O26))</f>
        <v>0</v>
      </c>
      <c r="BM26">
        <f t="shared" ref="BM26:BM44" si="34">BK26+BL26</f>
        <v>-0.57875859530607965</v>
      </c>
      <c r="BN26">
        <f>AQ26+BM26*AK26+AR26*LN(H26)+AP26*AS26*LN(X26)</f>
        <v>8.374965841113402E-2</v>
      </c>
      <c r="BO26">
        <f t="shared" ref="BO26:BO44" si="35">MIN(EXP(BN26),100)</f>
        <v>1.0873566491419566</v>
      </c>
      <c r="BP26">
        <v>0.72299999999999998</v>
      </c>
      <c r="BQ26">
        <v>0.3</v>
      </c>
    </row>
    <row r="27" spans="1:69" x14ac:dyDescent="0.25">
      <c r="A27" s="146">
        <v>3</v>
      </c>
      <c r="B27" s="146">
        <v>88</v>
      </c>
      <c r="C27" s="146" t="str">
        <f t="shared" si="23"/>
        <v>SSTens_85to90</v>
      </c>
      <c r="D27">
        <v>0.40639999999999998</v>
      </c>
      <c r="E27">
        <f t="shared" si="18"/>
        <v>406.4</v>
      </c>
      <c r="F27">
        <v>9.5299999999999985E-3</v>
      </c>
      <c r="G27">
        <f t="shared" si="19"/>
        <v>9.5299999999999994</v>
      </c>
      <c r="H27">
        <f t="shared" si="20"/>
        <v>42.644281217208821</v>
      </c>
      <c r="I27">
        <v>50</v>
      </c>
      <c r="J27" t="s">
        <v>119</v>
      </c>
      <c r="K27">
        <f t="shared" si="24"/>
        <v>14</v>
      </c>
      <c r="L27">
        <f t="shared" si="25"/>
        <v>15</v>
      </c>
      <c r="M27">
        <f t="shared" si="26"/>
        <v>483000</v>
      </c>
      <c r="N27">
        <f t="shared" si="27"/>
        <v>565000</v>
      </c>
      <c r="O27">
        <f t="shared" si="28"/>
        <v>2.8799444073326219</v>
      </c>
      <c r="P27" t="s">
        <v>9</v>
      </c>
      <c r="Q27" t="s">
        <v>267</v>
      </c>
      <c r="R27">
        <f t="shared" si="29"/>
        <v>18</v>
      </c>
      <c r="S27">
        <f t="shared" si="30"/>
        <v>37</v>
      </c>
      <c r="T27">
        <f t="shared" si="31"/>
        <v>0</v>
      </c>
      <c r="U27">
        <f t="shared" si="32"/>
        <v>0</v>
      </c>
      <c r="V27">
        <v>0.9</v>
      </c>
      <c r="W27">
        <v>1</v>
      </c>
      <c r="X27">
        <f t="shared" si="33"/>
        <v>15.095944128280532</v>
      </c>
      <c r="AH27">
        <f>0.00081*X27+0.00314*LN(O27)</f>
        <v>1.5549115655496644E-2</v>
      </c>
      <c r="AI27">
        <f>-0.15507+AH27*LN(H27)+0.05203*LN(I27)</f>
        <v>0.10682672704917365</v>
      </c>
      <c r="AJ27">
        <f>IF(I27&lt;15,AI27+0.75,IF(I27&gt;50,AI27+1.5,AI27+1))</f>
        <v>1.1068267270491736</v>
      </c>
      <c r="AK27">
        <v>0.75</v>
      </c>
      <c r="AL27">
        <f t="shared" si="21"/>
        <v>1</v>
      </c>
      <c r="AM27">
        <f t="shared" si="22"/>
        <v>0</v>
      </c>
      <c r="AP27">
        <f>IF(P27="sand",1,0)</f>
        <v>1</v>
      </c>
      <c r="AQ27">
        <v>-2.307229</v>
      </c>
      <c r="AR27">
        <v>0.5852366</v>
      </c>
      <c r="AS27">
        <v>0.201322</v>
      </c>
      <c r="BC27">
        <v>1.4274935</v>
      </c>
      <c r="BD27">
        <v>-7.1050000000000002E-3</v>
      </c>
      <c r="BE27">
        <v>5.1415999999999996E-3</v>
      </c>
      <c r="BF27">
        <v>-1.4290590000000001</v>
      </c>
      <c r="BG27">
        <v>4.9200300000000002E-2</v>
      </c>
      <c r="BH27">
        <v>0.14513599999999999</v>
      </c>
      <c r="BI27">
        <v>2.0170299999999999E-2</v>
      </c>
      <c r="BJ27">
        <v>-1.032025</v>
      </c>
      <c r="BK27">
        <f>AL27*(LN(AK27)-AI27)*(BC27+BD27*X27+BE27*H27)</f>
        <v>-0.60734497651924468</v>
      </c>
      <c r="BL27">
        <f>AM27*(LN(AK27)-AJ27)*(BF27+BG27*X27+BH27*I27+BI27*H27+BJ27*LN(O27))</f>
        <v>0</v>
      </c>
      <c r="BM27">
        <f t="shared" si="34"/>
        <v>-0.60734497651924468</v>
      </c>
      <c r="BN27">
        <f>AQ27+BM27*AK27+AR27*LN(H27)+AP27*AS27*LN(X27)</f>
        <v>-1.9933595677024019E-2</v>
      </c>
      <c r="BO27">
        <f t="shared" si="35"/>
        <v>0.9802637648971958</v>
      </c>
      <c r="BP27">
        <v>0.72299999999999998</v>
      </c>
      <c r="BQ27">
        <v>0.3</v>
      </c>
    </row>
    <row r="28" spans="1:69" x14ac:dyDescent="0.25">
      <c r="A28" s="146">
        <v>4</v>
      </c>
      <c r="B28" s="146">
        <v>89</v>
      </c>
      <c r="C28" s="146" t="str">
        <f t="shared" si="23"/>
        <v>SSTens_85to90</v>
      </c>
      <c r="D28">
        <v>0.50800000000000001</v>
      </c>
      <c r="E28">
        <f t="shared" si="18"/>
        <v>508</v>
      </c>
      <c r="F28">
        <v>1.1130000000000001E-2</v>
      </c>
      <c r="G28">
        <f t="shared" si="19"/>
        <v>11.13</v>
      </c>
      <c r="H28">
        <f t="shared" si="20"/>
        <v>45.642407906558844</v>
      </c>
      <c r="I28">
        <v>100</v>
      </c>
      <c r="J28" t="s">
        <v>120</v>
      </c>
      <c r="K28">
        <f t="shared" si="24"/>
        <v>15</v>
      </c>
      <c r="L28">
        <f t="shared" si="25"/>
        <v>20</v>
      </c>
      <c r="M28">
        <f t="shared" si="26"/>
        <v>552000</v>
      </c>
      <c r="N28">
        <f t="shared" si="27"/>
        <v>625000</v>
      </c>
      <c r="O28">
        <f t="shared" si="28"/>
        <v>2.9888368774026359</v>
      </c>
      <c r="P28" t="s">
        <v>9</v>
      </c>
      <c r="Q28" t="s">
        <v>267</v>
      </c>
      <c r="R28">
        <f t="shared" si="29"/>
        <v>18</v>
      </c>
      <c r="S28">
        <f t="shared" si="30"/>
        <v>37</v>
      </c>
      <c r="T28">
        <f t="shared" si="31"/>
        <v>0</v>
      </c>
      <c r="U28">
        <f t="shared" si="32"/>
        <v>0</v>
      </c>
      <c r="V28">
        <v>0.9</v>
      </c>
      <c r="W28">
        <v>2</v>
      </c>
      <c r="X28">
        <f t="shared" si="33"/>
        <v>37.739860320701332</v>
      </c>
      <c r="AH28">
        <f>0.00081*X28+0.00314*LN(O28)</f>
        <v>3.4007223585342139E-2</v>
      </c>
      <c r="AI28">
        <f>-0.15507+AH28*LN(H28)+0.05203*LN(I28)</f>
        <v>0.21447307251904243</v>
      </c>
      <c r="AJ28">
        <f>IF(I28&lt;15,AI28+0.75,IF(I28&gt;50,AI28+1.5,AI28+1))</f>
        <v>1.7144730725190425</v>
      </c>
      <c r="AK28">
        <v>0.75</v>
      </c>
      <c r="AL28">
        <f t="shared" si="21"/>
        <v>1</v>
      </c>
      <c r="AM28">
        <f t="shared" si="22"/>
        <v>0</v>
      </c>
      <c r="AP28">
        <f>IF(P28="sand",1,0)</f>
        <v>1</v>
      </c>
      <c r="AQ28">
        <v>-2.307229</v>
      </c>
      <c r="AR28">
        <v>0.5852366</v>
      </c>
      <c r="AS28">
        <v>0.201322</v>
      </c>
      <c r="BC28">
        <v>1.4274935</v>
      </c>
      <c r="BD28">
        <v>-7.1050000000000002E-3</v>
      </c>
      <c r="BE28">
        <v>5.1415999999999996E-3</v>
      </c>
      <c r="BF28">
        <v>-1.4290590000000001</v>
      </c>
      <c r="BG28">
        <v>4.9200300000000002E-2</v>
      </c>
      <c r="BH28">
        <v>0.14513599999999999</v>
      </c>
      <c r="BI28">
        <v>2.0170299999999999E-2</v>
      </c>
      <c r="BJ28">
        <v>-1.032025</v>
      </c>
      <c r="BK28">
        <f>AL28*(LN(AK28)-AI28)*(BC28+BD28*X28+BE28*H28)</f>
        <v>-0.70001772829745168</v>
      </c>
      <c r="BL28">
        <f>AM28*(LN(AK28)-AJ28)*(BF28+BG28*X28+BH28*I28+BI28*H28+BJ28*LN(O28))</f>
        <v>0</v>
      </c>
      <c r="BM28">
        <f t="shared" si="34"/>
        <v>-0.70001772829745168</v>
      </c>
      <c r="BN28">
        <f>AQ28+BM28*AK28+AR28*LN(H28)+AP28*AS28*LN(X28)</f>
        <v>0.13479469944695044</v>
      </c>
      <c r="BO28">
        <f t="shared" si="35"/>
        <v>1.1443018344350007</v>
      </c>
      <c r="BP28">
        <v>0.72299999999999998</v>
      </c>
      <c r="BQ28">
        <v>0.3</v>
      </c>
    </row>
    <row r="29" spans="1:69" x14ac:dyDescent="0.25">
      <c r="A29" s="146">
        <v>5</v>
      </c>
      <c r="B29" s="146">
        <v>90</v>
      </c>
      <c r="C29" s="146" t="str">
        <f t="shared" si="23"/>
        <v>SSTens_85to90</v>
      </c>
      <c r="D29">
        <v>0.60960000000000003</v>
      </c>
      <c r="E29">
        <f t="shared" si="18"/>
        <v>609.6</v>
      </c>
      <c r="F29">
        <v>9.5299999999999985E-3</v>
      </c>
      <c r="G29">
        <f t="shared" si="19"/>
        <v>9.5299999999999994</v>
      </c>
      <c r="H29">
        <f t="shared" si="20"/>
        <v>63.966421825813235</v>
      </c>
      <c r="I29">
        <v>15</v>
      </c>
      <c r="J29" t="s">
        <v>117</v>
      </c>
      <c r="K29">
        <f t="shared" si="24"/>
        <v>8</v>
      </c>
      <c r="L29">
        <f t="shared" si="25"/>
        <v>10</v>
      </c>
      <c r="M29">
        <f t="shared" si="26"/>
        <v>359000</v>
      </c>
      <c r="N29">
        <f t="shared" si="27"/>
        <v>455000</v>
      </c>
      <c r="O29">
        <f t="shared" si="28"/>
        <v>1.9969902892117808</v>
      </c>
      <c r="P29" t="s">
        <v>9</v>
      </c>
      <c r="Q29" t="s">
        <v>268</v>
      </c>
      <c r="R29">
        <f t="shared" si="29"/>
        <v>18.5</v>
      </c>
      <c r="S29">
        <f t="shared" si="30"/>
        <v>40</v>
      </c>
      <c r="T29">
        <f t="shared" si="31"/>
        <v>0</v>
      </c>
      <c r="U29">
        <f t="shared" si="32"/>
        <v>0</v>
      </c>
      <c r="V29">
        <v>0.9</v>
      </c>
      <c r="W29">
        <v>1</v>
      </c>
      <c r="X29">
        <f t="shared" si="33"/>
        <v>25.741129539100392</v>
      </c>
      <c r="AH29">
        <f>0.00081*X29+0.00314*LN(O29)</f>
        <v>2.3022068268715178E-2</v>
      </c>
      <c r="AI29">
        <f>-0.15507+AH29*LN(H29)+0.05203*LN(I29)</f>
        <v>8.1563860325678486E-2</v>
      </c>
      <c r="AJ29">
        <f>IF(I29&lt;15,AI29+0.75,IF(I29&gt;50,AI29+1.5,AI29+1))</f>
        <v>1.0815638603256785</v>
      </c>
      <c r="AK29">
        <v>2.75</v>
      </c>
      <c r="AL29">
        <f t="shared" si="21"/>
        <v>0</v>
      </c>
      <c r="AM29">
        <f t="shared" si="22"/>
        <v>0</v>
      </c>
      <c r="AP29">
        <f>IF(P29="sand",1,0)</f>
        <v>1</v>
      </c>
      <c r="AQ29">
        <v>-2.307229</v>
      </c>
      <c r="AR29">
        <v>0.5852366</v>
      </c>
      <c r="AS29">
        <v>0.201322</v>
      </c>
      <c r="BC29">
        <v>1.4274935</v>
      </c>
      <c r="BD29">
        <v>-7.1050000000000002E-3</v>
      </c>
      <c r="BE29">
        <v>5.1415999999999996E-3</v>
      </c>
      <c r="BF29">
        <v>-1.4290590000000001</v>
      </c>
      <c r="BG29">
        <v>4.9200300000000002E-2</v>
      </c>
      <c r="BH29">
        <v>0.14513599999999999</v>
      </c>
      <c r="BI29">
        <v>2.0170299999999999E-2</v>
      </c>
      <c r="BJ29">
        <v>-1.032025</v>
      </c>
      <c r="BK29">
        <f>AL29*(LN(AK29)-AI29)*(BC29+BD29*X29+BE29*H29)</f>
        <v>0</v>
      </c>
      <c r="BL29">
        <f>AM29*(LN(AK29)-AJ29)*(BF29+BG29*X29+BH29*I29+BI29*H29+BJ29*LN(O29))</f>
        <v>0</v>
      </c>
      <c r="BM29">
        <f t="shared" si="34"/>
        <v>0</v>
      </c>
      <c r="BN29">
        <f>AQ29+BM29*AK29+AR29*LN(H29)+AP29*AS29*LN(X29)</f>
        <v>0.78030645715329561</v>
      </c>
      <c r="BO29">
        <f t="shared" si="35"/>
        <v>2.1821408957267043</v>
      </c>
      <c r="BP29">
        <v>0.72299999999999998</v>
      </c>
      <c r="BQ29">
        <v>0.3</v>
      </c>
    </row>
    <row r="30" spans="1:69" x14ac:dyDescent="0.25">
      <c r="A30" s="146">
        <v>6</v>
      </c>
      <c r="B30" s="146">
        <v>86</v>
      </c>
      <c r="C30" s="146" t="str">
        <f t="shared" si="23"/>
        <v>SSTens_85to90</v>
      </c>
      <c r="D30">
        <v>0.76200000000000001</v>
      </c>
      <c r="E30">
        <f t="shared" si="18"/>
        <v>762</v>
      </c>
      <c r="F30">
        <v>1.2699999999999999E-2</v>
      </c>
      <c r="G30">
        <f t="shared" si="19"/>
        <v>12.7</v>
      </c>
      <c r="H30">
        <f t="shared" si="20"/>
        <v>60</v>
      </c>
      <c r="I30">
        <v>30</v>
      </c>
      <c r="J30" t="s">
        <v>118</v>
      </c>
      <c r="K30">
        <f t="shared" si="24"/>
        <v>8</v>
      </c>
      <c r="L30">
        <f t="shared" si="25"/>
        <v>12</v>
      </c>
      <c r="M30">
        <f t="shared" si="26"/>
        <v>414000</v>
      </c>
      <c r="N30">
        <f t="shared" si="27"/>
        <v>517000</v>
      </c>
      <c r="O30">
        <f t="shared" si="28"/>
        <v>2.5466769467238102</v>
      </c>
      <c r="P30" t="s">
        <v>9</v>
      </c>
      <c r="Q30" t="s">
        <v>268</v>
      </c>
      <c r="R30">
        <f t="shared" si="29"/>
        <v>18.5</v>
      </c>
      <c r="S30">
        <f t="shared" si="30"/>
        <v>40</v>
      </c>
      <c r="T30">
        <f t="shared" si="31"/>
        <v>0</v>
      </c>
      <c r="U30">
        <f t="shared" si="32"/>
        <v>0</v>
      </c>
      <c r="V30">
        <v>0.9</v>
      </c>
      <c r="W30">
        <v>2</v>
      </c>
      <c r="X30">
        <f t="shared" si="33"/>
        <v>64.352823847750969</v>
      </c>
      <c r="AH30">
        <f>0.00081*X30+0.00314*LN(O30)</f>
        <v>5.5061025879364095E-2</v>
      </c>
      <c r="AI30">
        <f>-0.15507+AH30*LN(H30)+0.05203*LN(I30)</f>
        <v>0.24733311166742666</v>
      </c>
      <c r="AJ30">
        <f>IF(I30&lt;15,AI30+0.75,IF(I30&gt;50,AI30+1.5,AI30+1))</f>
        <v>1.2473331116674267</v>
      </c>
      <c r="AK30">
        <v>3.5</v>
      </c>
      <c r="AL30">
        <f t="shared" si="21"/>
        <v>0</v>
      </c>
      <c r="AM30">
        <f t="shared" si="22"/>
        <v>1</v>
      </c>
      <c r="AP30">
        <f>IF(P30="sand",1,0)</f>
        <v>1</v>
      </c>
      <c r="AQ30">
        <v>-2.307229</v>
      </c>
      <c r="AR30">
        <v>0.5852366</v>
      </c>
      <c r="AS30">
        <v>0.201322</v>
      </c>
      <c r="BC30">
        <v>1.4274935</v>
      </c>
      <c r="BD30">
        <v>-7.1050000000000002E-3</v>
      </c>
      <c r="BE30">
        <v>5.1415999999999996E-3</v>
      </c>
      <c r="BF30">
        <v>-1.4290590000000001</v>
      </c>
      <c r="BG30">
        <v>4.9200300000000002E-2</v>
      </c>
      <c r="BH30">
        <v>0.14513599999999999</v>
      </c>
      <c r="BI30">
        <v>2.0170299999999999E-2</v>
      </c>
      <c r="BJ30">
        <v>-1.032025</v>
      </c>
      <c r="BK30">
        <f>AL30*(LN(AK30)-AI30)*(BC30+BD30*X30+BE30*H30)</f>
        <v>0</v>
      </c>
      <c r="BL30">
        <f>AM30*(LN(AK30)-AJ30)*(BF30+BG30*X30+BH30*I30+BI30*H30+BJ30*LN(O30))</f>
        <v>3.440732629929924E-2</v>
      </c>
      <c r="BM30">
        <f t="shared" si="34"/>
        <v>3.440732629929924E-2</v>
      </c>
      <c r="BN30">
        <f>AQ30+BM30*AK30+AR30*LN(H30)+AP30*AS30*LN(X30)</f>
        <v>1.0477384074527265</v>
      </c>
      <c r="BO30">
        <f t="shared" si="35"/>
        <v>2.8511955782437828</v>
      </c>
      <c r="BP30">
        <v>0.72299999999999998</v>
      </c>
      <c r="BQ30">
        <v>0.3</v>
      </c>
    </row>
    <row r="31" spans="1:69" x14ac:dyDescent="0.25">
      <c r="A31" s="146">
        <v>7</v>
      </c>
      <c r="B31" s="146">
        <v>87</v>
      </c>
      <c r="C31" s="146" t="str">
        <f t="shared" si="23"/>
        <v>SSTens_85to90</v>
      </c>
      <c r="D31">
        <v>0.86360000000000003</v>
      </c>
      <c r="E31">
        <f t="shared" si="18"/>
        <v>863.6</v>
      </c>
      <c r="F31">
        <v>1.1130000000000001E-2</v>
      </c>
      <c r="G31">
        <f t="shared" si="19"/>
        <v>11.13</v>
      </c>
      <c r="H31">
        <f t="shared" si="20"/>
        <v>77.592093441150041</v>
      </c>
      <c r="I31">
        <v>50</v>
      </c>
      <c r="J31" t="s">
        <v>119</v>
      </c>
      <c r="K31">
        <f t="shared" si="24"/>
        <v>14</v>
      </c>
      <c r="L31">
        <f t="shared" si="25"/>
        <v>15</v>
      </c>
      <c r="M31">
        <f t="shared" si="26"/>
        <v>483000</v>
      </c>
      <c r="N31">
        <f t="shared" si="27"/>
        <v>565000</v>
      </c>
      <c r="O31">
        <f t="shared" si="28"/>
        <v>2.8799444073326219</v>
      </c>
      <c r="P31" t="s">
        <v>9</v>
      </c>
      <c r="Q31" t="s">
        <v>268</v>
      </c>
      <c r="R31">
        <f t="shared" si="29"/>
        <v>18.5</v>
      </c>
      <c r="S31">
        <f t="shared" si="30"/>
        <v>40</v>
      </c>
      <c r="T31">
        <f t="shared" si="31"/>
        <v>0</v>
      </c>
      <c r="U31">
        <f t="shared" si="32"/>
        <v>0</v>
      </c>
      <c r="V31">
        <v>0.9</v>
      </c>
      <c r="W31">
        <v>1</v>
      </c>
      <c r="X31">
        <f t="shared" si="33"/>
        <v>36.46660018039222</v>
      </c>
      <c r="AH31">
        <f>0.00081*X31+0.00314*LN(O31)</f>
        <v>3.2859347057707114E-2</v>
      </c>
      <c r="AI31">
        <f>-0.15507+AH31*LN(H31)+0.05203*LN(I31)</f>
        <v>0.19145887314252977</v>
      </c>
      <c r="AJ31">
        <f>IF(I31&lt;15,AI31+0.75,IF(I31&gt;50,AI31+1.5,AI31+1))</f>
        <v>1.1914588731425297</v>
      </c>
      <c r="AK31">
        <v>1.5</v>
      </c>
      <c r="AL31">
        <f t="shared" si="21"/>
        <v>0</v>
      </c>
      <c r="AM31">
        <f t="shared" si="22"/>
        <v>0</v>
      </c>
      <c r="AP31">
        <f>IF(P31="sand",1,0)</f>
        <v>1</v>
      </c>
      <c r="AQ31">
        <v>-2.307229</v>
      </c>
      <c r="AR31">
        <v>0.5852366</v>
      </c>
      <c r="AS31">
        <v>0.201322</v>
      </c>
      <c r="BC31">
        <v>1.4274935</v>
      </c>
      <c r="BD31">
        <v>-7.1050000000000002E-3</v>
      </c>
      <c r="BE31">
        <v>5.1415999999999996E-3</v>
      </c>
      <c r="BF31">
        <v>-1.4290590000000001</v>
      </c>
      <c r="BG31">
        <v>4.9200300000000002E-2</v>
      </c>
      <c r="BH31">
        <v>0.14513599999999999</v>
      </c>
      <c r="BI31">
        <v>2.0170299999999999E-2</v>
      </c>
      <c r="BJ31">
        <v>-1.032025</v>
      </c>
      <c r="BK31">
        <f>AL31*(LN(AK31)-AI31)*(BC31+BD31*X31+BE31*H31)</f>
        <v>0</v>
      </c>
      <c r="BL31">
        <f>AM31*(LN(AK31)-AJ31)*(BF31+BG31*X31+BH31*I31+BI31*H31+BJ31*LN(O31))</f>
        <v>0</v>
      </c>
      <c r="BM31">
        <f t="shared" si="34"/>
        <v>0</v>
      </c>
      <c r="BN31">
        <f>AQ31+BM31*AK31+AR31*LN(H31)+AP31*AS31*LN(X31)</f>
        <v>0.963441685919739</v>
      </c>
      <c r="BO31">
        <f t="shared" si="35"/>
        <v>2.6207005981990892</v>
      </c>
      <c r="BP31">
        <v>0.72299999999999998</v>
      </c>
      <c r="BQ31">
        <v>0.3</v>
      </c>
    </row>
    <row r="32" spans="1:69" x14ac:dyDescent="0.25">
      <c r="A32" s="146">
        <v>8</v>
      </c>
      <c r="B32" s="146">
        <v>88</v>
      </c>
      <c r="C32" s="146" t="str">
        <f t="shared" si="23"/>
        <v>SSTens_85to90</v>
      </c>
      <c r="D32">
        <v>1.0668</v>
      </c>
      <c r="E32">
        <f t="shared" si="18"/>
        <v>1066.8</v>
      </c>
      <c r="F32">
        <v>1.2699999999999999E-2</v>
      </c>
      <c r="G32">
        <f t="shared" si="19"/>
        <v>12.7</v>
      </c>
      <c r="H32">
        <f t="shared" si="20"/>
        <v>84</v>
      </c>
      <c r="I32">
        <v>100</v>
      </c>
      <c r="J32" t="s">
        <v>120</v>
      </c>
      <c r="K32">
        <f t="shared" si="24"/>
        <v>15</v>
      </c>
      <c r="L32">
        <f t="shared" si="25"/>
        <v>20</v>
      </c>
      <c r="M32">
        <f t="shared" si="26"/>
        <v>552000</v>
      </c>
      <c r="N32">
        <f t="shared" si="27"/>
        <v>625000</v>
      </c>
      <c r="O32">
        <f t="shared" si="28"/>
        <v>2.9888368774026359</v>
      </c>
      <c r="P32" t="s">
        <v>9</v>
      </c>
      <c r="Q32" t="s">
        <v>270</v>
      </c>
      <c r="R32">
        <f t="shared" si="29"/>
        <v>19</v>
      </c>
      <c r="S32">
        <f t="shared" si="30"/>
        <v>43</v>
      </c>
      <c r="T32">
        <f t="shared" si="31"/>
        <v>0</v>
      </c>
      <c r="U32">
        <f t="shared" si="32"/>
        <v>0</v>
      </c>
      <c r="V32">
        <v>0.9</v>
      </c>
      <c r="W32">
        <v>2</v>
      </c>
      <c r="X32">
        <f t="shared" si="33"/>
        <v>102.03070645435936</v>
      </c>
      <c r="AH32">
        <f>0.00081*X32+0.00314*LN(O32)</f>
        <v>8.6082808953605136E-2</v>
      </c>
      <c r="AI32">
        <f>-0.15507+AH32*LN(H32)+0.05203*LN(I32)</f>
        <v>0.46595416078021362</v>
      </c>
      <c r="AJ32">
        <f>IF(I32&lt;15,AI32+0.75,IF(I32&gt;50,AI32+1.5,AI32+1))</f>
        <v>1.9659541607802136</v>
      </c>
      <c r="AK32">
        <v>1.5</v>
      </c>
      <c r="AL32">
        <f t="shared" si="21"/>
        <v>1</v>
      </c>
      <c r="AM32">
        <f t="shared" si="22"/>
        <v>0</v>
      </c>
      <c r="AP32">
        <f>IF(P32="sand",1,0)</f>
        <v>1</v>
      </c>
      <c r="AQ32">
        <v>-2.307229</v>
      </c>
      <c r="AR32">
        <v>0.5852366</v>
      </c>
      <c r="AS32">
        <v>0.201322</v>
      </c>
      <c r="BC32">
        <v>1.4274935</v>
      </c>
      <c r="BD32">
        <v>-7.1050000000000002E-3</v>
      </c>
      <c r="BE32">
        <v>5.1415999999999996E-3</v>
      </c>
      <c r="BF32">
        <v>-1.4290590000000001</v>
      </c>
      <c r="BG32">
        <v>4.9200300000000002E-2</v>
      </c>
      <c r="BH32">
        <v>0.14513599999999999</v>
      </c>
      <c r="BI32">
        <v>2.0170299999999999E-2</v>
      </c>
      <c r="BJ32">
        <v>-1.032025</v>
      </c>
      <c r="BK32">
        <f>AL32*(LN(AK32)-AI32)*(BC32+BD32*X32+BE32*H32)</f>
        <v>-6.8622394401109219E-2</v>
      </c>
      <c r="BL32">
        <f>AM32*(LN(AK32)-AJ32)*(BF32+BG32*X32+BH32*I32+BI32*H32+BJ32*LN(O32))</f>
        <v>0</v>
      </c>
      <c r="BM32">
        <f t="shared" si="34"/>
        <v>-6.8622394401109219E-2</v>
      </c>
      <c r="BN32">
        <f>AQ32+BM32*AK32+AR32*LN(H32)+AP32*AS32*LN(X32)</f>
        <v>1.1140829412852633</v>
      </c>
      <c r="BO32">
        <f t="shared" si="35"/>
        <v>3.0467728280542432</v>
      </c>
      <c r="BP32">
        <v>0.72299999999999998</v>
      </c>
      <c r="BQ32">
        <v>0.3</v>
      </c>
    </row>
    <row r="33" spans="1:69" x14ac:dyDescent="0.25">
      <c r="A33" s="146">
        <v>9</v>
      </c>
      <c r="B33" s="146">
        <v>89</v>
      </c>
      <c r="C33" s="146" t="str">
        <f t="shared" si="23"/>
        <v>SSTens_85to90</v>
      </c>
      <c r="D33">
        <v>0.60960000000000003</v>
      </c>
      <c r="E33">
        <f t="shared" si="18"/>
        <v>609.6</v>
      </c>
      <c r="F33">
        <v>1.1130000000000001E-2</v>
      </c>
      <c r="G33">
        <f t="shared" si="19"/>
        <v>11.13</v>
      </c>
      <c r="H33">
        <f t="shared" si="20"/>
        <v>54.770889487870619</v>
      </c>
      <c r="I33">
        <v>150</v>
      </c>
      <c r="J33" t="s">
        <v>187</v>
      </c>
      <c r="K33">
        <f t="shared" si="24"/>
        <v>3</v>
      </c>
      <c r="L33">
        <f t="shared" si="25"/>
        <v>9</v>
      </c>
      <c r="M33">
        <f t="shared" si="26"/>
        <v>290000</v>
      </c>
      <c r="N33">
        <f t="shared" si="27"/>
        <v>414000</v>
      </c>
      <c r="O33">
        <f t="shared" si="28"/>
        <v>1.7363704307629526</v>
      </c>
      <c r="P33" t="s">
        <v>9</v>
      </c>
      <c r="Q33" t="s">
        <v>270</v>
      </c>
      <c r="R33">
        <f t="shared" si="29"/>
        <v>19</v>
      </c>
      <c r="S33">
        <f t="shared" si="30"/>
        <v>43</v>
      </c>
      <c r="T33">
        <f t="shared" si="31"/>
        <v>0</v>
      </c>
      <c r="U33">
        <f t="shared" si="32"/>
        <v>0</v>
      </c>
      <c r="V33">
        <v>0.9</v>
      </c>
      <c r="W33">
        <v>1</v>
      </c>
      <c r="X33">
        <f t="shared" si="33"/>
        <v>29.151630415531248</v>
      </c>
      <c r="AH33">
        <f>0.00081*X33+0.00314*LN(O33)</f>
        <v>2.5345463138869703E-2</v>
      </c>
      <c r="AI33">
        <f>-0.15507+AH33*LN(H33)+0.05203*LN(I33)</f>
        <v>0.20709526914689702</v>
      </c>
      <c r="AJ33">
        <f>IF(I33&lt;15,AI33+0.75,IF(I33&gt;50,AI33+1.5,AI33+1))</f>
        <v>1.707095269146897</v>
      </c>
      <c r="AK33">
        <v>1.5</v>
      </c>
      <c r="AL33">
        <f t="shared" si="21"/>
        <v>0</v>
      </c>
      <c r="AM33">
        <f t="shared" si="22"/>
        <v>0</v>
      </c>
      <c r="AP33">
        <f>IF(P33="sand",1,0)</f>
        <v>1</v>
      </c>
      <c r="AQ33">
        <v>-2.307229</v>
      </c>
      <c r="AR33">
        <v>0.5852366</v>
      </c>
      <c r="AS33">
        <v>0.201322</v>
      </c>
      <c r="BC33">
        <v>1.4274935</v>
      </c>
      <c r="BD33">
        <v>-7.1050000000000002E-3</v>
      </c>
      <c r="BE33">
        <v>5.1415999999999996E-3</v>
      </c>
      <c r="BF33">
        <v>-1.4290590000000001</v>
      </c>
      <c r="BG33">
        <v>4.9200300000000002E-2</v>
      </c>
      <c r="BH33">
        <v>0.14513599999999999</v>
      </c>
      <c r="BI33">
        <v>2.0170299999999999E-2</v>
      </c>
      <c r="BJ33">
        <v>-1.032025</v>
      </c>
      <c r="BK33">
        <f>AL33*(LN(AK33)-AI33)*(BC33+BD33*X33+BE33*H33)</f>
        <v>0</v>
      </c>
      <c r="BL33">
        <f>AM33*(LN(AK33)-AJ33)*(BF33+BG33*X33+BH33*I33+BI33*H33+BJ33*LN(O33))</f>
        <v>0</v>
      </c>
      <c r="BM33">
        <f t="shared" si="34"/>
        <v>0</v>
      </c>
      <c r="BN33">
        <f>AQ33+BM33*AK33+AR33*LN(H33)+AP33*AS33*LN(X33)</f>
        <v>0.71452669621160059</v>
      </c>
      <c r="BO33">
        <f t="shared" si="35"/>
        <v>2.0432193898872777</v>
      </c>
      <c r="BP33">
        <v>0.72299999999999998</v>
      </c>
      <c r="BQ33">
        <v>0.3</v>
      </c>
    </row>
    <row r="34" spans="1:69" x14ac:dyDescent="0.25">
      <c r="A34" s="146">
        <v>10</v>
      </c>
      <c r="B34" s="146">
        <v>90</v>
      </c>
      <c r="C34" s="146" t="str">
        <f t="shared" si="23"/>
        <v>SSTens_85to90</v>
      </c>
      <c r="D34">
        <v>0.60960000000000003</v>
      </c>
      <c r="E34">
        <f t="shared" si="18"/>
        <v>609.6</v>
      </c>
      <c r="F34">
        <v>1.1130000000000001E-2</v>
      </c>
      <c r="G34">
        <f t="shared" si="19"/>
        <v>11.13</v>
      </c>
      <c r="H34">
        <f t="shared" si="20"/>
        <v>54.770889487870619</v>
      </c>
      <c r="I34">
        <v>200</v>
      </c>
      <c r="J34" t="s">
        <v>186</v>
      </c>
      <c r="K34">
        <f t="shared" si="24"/>
        <v>3</v>
      </c>
      <c r="L34">
        <f t="shared" si="25"/>
        <v>8</v>
      </c>
      <c r="M34">
        <f t="shared" si="26"/>
        <v>241000</v>
      </c>
      <c r="N34">
        <f t="shared" si="27"/>
        <v>344000</v>
      </c>
      <c r="O34">
        <f t="shared" si="28"/>
        <v>1.1599577949833839</v>
      </c>
      <c r="P34" t="s">
        <v>9</v>
      </c>
      <c r="Q34" t="s">
        <v>270</v>
      </c>
      <c r="R34">
        <f t="shared" si="29"/>
        <v>19</v>
      </c>
      <c r="S34">
        <f t="shared" si="30"/>
        <v>43</v>
      </c>
      <c r="T34">
        <f t="shared" si="31"/>
        <v>0</v>
      </c>
      <c r="U34">
        <f t="shared" si="32"/>
        <v>0</v>
      </c>
      <c r="V34">
        <v>0.9</v>
      </c>
      <c r="W34">
        <v>2</v>
      </c>
      <c r="X34">
        <f t="shared" si="33"/>
        <v>58.303260831062495</v>
      </c>
      <c r="AH34">
        <f>0.00081*X34+0.00314*LN(O34)</f>
        <v>4.7691565842539682E-2</v>
      </c>
      <c r="AI34">
        <f>-0.15507+AH34*LN(H34)+0.05203*LN(I34)</f>
        <v>0.31151836593386051</v>
      </c>
      <c r="AJ34">
        <f>IF(I34&lt;15,AI34+0.75,IF(I34&gt;50,AI34+1.5,AI34+1))</f>
        <v>1.8115183659338605</v>
      </c>
      <c r="AK34">
        <v>2.75</v>
      </c>
      <c r="AL34">
        <f t="shared" si="21"/>
        <v>0</v>
      </c>
      <c r="AM34">
        <f t="shared" si="22"/>
        <v>0</v>
      </c>
      <c r="AP34">
        <f>IF(P34="sand",1,0)</f>
        <v>1</v>
      </c>
      <c r="AQ34">
        <v>-2.307229</v>
      </c>
      <c r="AR34">
        <v>0.5852366</v>
      </c>
      <c r="AS34">
        <v>0.201322</v>
      </c>
      <c r="BC34">
        <v>1.4274935</v>
      </c>
      <c r="BD34">
        <v>-7.1050000000000002E-3</v>
      </c>
      <c r="BE34">
        <v>5.1415999999999996E-3</v>
      </c>
      <c r="BF34">
        <v>-1.4290590000000001</v>
      </c>
      <c r="BG34">
        <v>4.9200300000000002E-2</v>
      </c>
      <c r="BH34">
        <v>0.14513599999999999</v>
      </c>
      <c r="BI34">
        <v>2.0170299999999999E-2</v>
      </c>
      <c r="BJ34">
        <v>-1.032025</v>
      </c>
      <c r="BK34">
        <f>AL34*(LN(AK34)-AI34)*(BC34+BD34*X34+BE34*H34)</f>
        <v>0</v>
      </c>
      <c r="BL34">
        <f>AM34*(LN(AK34)-AJ34)*(BF34+BG34*X34+BH34*I34+BI34*H34+BJ34*LN(O34))</f>
        <v>0</v>
      </c>
      <c r="BM34">
        <f t="shared" si="34"/>
        <v>0</v>
      </c>
      <c r="BN34">
        <f>AQ34+BM34*AK34+AR34*LN(H34)+AP34*AS34*LN(X34)</f>
        <v>0.85407247289628985</v>
      </c>
      <c r="BO34">
        <f t="shared" si="35"/>
        <v>2.3491944282446702</v>
      </c>
      <c r="BP34">
        <v>0.72299999999999998</v>
      </c>
      <c r="BQ34">
        <v>0.3</v>
      </c>
    </row>
    <row r="35" spans="1:69" x14ac:dyDescent="0.25">
      <c r="A35" s="146">
        <v>11</v>
      </c>
      <c r="B35" s="146">
        <v>86</v>
      </c>
      <c r="C35" s="146" t="str">
        <f t="shared" si="23"/>
        <v>SSTens_85to90</v>
      </c>
      <c r="D35">
        <v>0.20319999999999999</v>
      </c>
      <c r="E35">
        <f t="shared" si="18"/>
        <v>203.2</v>
      </c>
      <c r="F35">
        <v>5.5599999999999998E-3</v>
      </c>
      <c r="G35">
        <f t="shared" si="19"/>
        <v>5.56</v>
      </c>
      <c r="H35">
        <f t="shared" si="20"/>
        <v>36.546762589928058</v>
      </c>
      <c r="I35">
        <v>15</v>
      </c>
      <c r="J35" t="s">
        <v>117</v>
      </c>
      <c r="K35">
        <f t="shared" si="24"/>
        <v>8</v>
      </c>
      <c r="L35">
        <f t="shared" si="25"/>
        <v>10</v>
      </c>
      <c r="M35">
        <f t="shared" si="26"/>
        <v>359000</v>
      </c>
      <c r="N35">
        <f t="shared" si="27"/>
        <v>455000</v>
      </c>
      <c r="O35">
        <f t="shared" si="28"/>
        <v>1.9969902892117808</v>
      </c>
      <c r="P35" t="s">
        <v>10</v>
      </c>
      <c r="Q35" t="s">
        <v>265</v>
      </c>
      <c r="R35">
        <f t="shared" si="29"/>
        <v>17.5</v>
      </c>
      <c r="S35">
        <f t="shared" si="30"/>
        <v>0</v>
      </c>
      <c r="T35">
        <f t="shared" si="31"/>
        <v>37.5</v>
      </c>
      <c r="U35">
        <f t="shared" si="32"/>
        <v>1.1000000000000001</v>
      </c>
      <c r="V35">
        <v>0.9</v>
      </c>
      <c r="W35">
        <v>0</v>
      </c>
      <c r="X35">
        <f t="shared" si="33"/>
        <v>26.332829622389642</v>
      </c>
      <c r="AH35">
        <f>0.00081*X35+0.00314*LN(O35)</f>
        <v>2.350134533617947E-2</v>
      </c>
      <c r="AI35">
        <f>-0.15507+AH35*LN(H35)+0.05203*LN(I35)</f>
        <v>7.0401619555061065E-2</v>
      </c>
      <c r="AJ35">
        <f>IF(I35&lt;15,AI35+0.75,IF(I35&gt;50,AI35+1.5,AI35+1))</f>
        <v>1.070401619555061</v>
      </c>
      <c r="AK35">
        <v>0.75</v>
      </c>
      <c r="AL35">
        <f t="shared" si="21"/>
        <v>1</v>
      </c>
      <c r="AM35">
        <f t="shared" si="22"/>
        <v>0</v>
      </c>
      <c r="AP35">
        <f>IF(P35="sand",1,0)</f>
        <v>0</v>
      </c>
      <c r="AQ35">
        <v>-2.307229</v>
      </c>
      <c r="AR35">
        <v>0.5852366</v>
      </c>
      <c r="AS35">
        <v>0.201322</v>
      </c>
      <c r="BC35">
        <v>1.4274935</v>
      </c>
      <c r="BD35">
        <v>-7.1050000000000002E-3</v>
      </c>
      <c r="BE35">
        <v>5.1415999999999996E-3</v>
      </c>
      <c r="BF35">
        <v>-1.4290590000000001</v>
      </c>
      <c r="BG35">
        <v>4.9200300000000002E-2</v>
      </c>
      <c r="BH35">
        <v>0.14513599999999999</v>
      </c>
      <c r="BI35">
        <v>2.0170299999999999E-2</v>
      </c>
      <c r="BJ35">
        <v>-1.032025</v>
      </c>
      <c r="BK35">
        <f>AL35*(LN(AK35)-AI35)*(BC35+BD35*X35+BE35*H35)</f>
        <v>-0.51145365159113909</v>
      </c>
      <c r="BL35">
        <f>AM35*(LN(AK35)-AJ35)*(BF35+BG35*X35+BH35*I35+BI35*H35+BJ35*LN(O35))</f>
        <v>0</v>
      </c>
      <c r="BM35">
        <f t="shared" si="34"/>
        <v>-0.51145365159113909</v>
      </c>
      <c r="BN35">
        <f>AQ35+BM35*AK35+AR35*LN(H35)+AP35*AS35*LN(X35)</f>
        <v>-0.58479113632895929</v>
      </c>
      <c r="BO35">
        <f t="shared" si="35"/>
        <v>0.55722223314007857</v>
      </c>
      <c r="BP35">
        <v>0.72299999999999998</v>
      </c>
      <c r="BQ35">
        <v>0.3</v>
      </c>
    </row>
    <row r="36" spans="1:69" x14ac:dyDescent="0.25">
      <c r="A36" s="146">
        <v>12</v>
      </c>
      <c r="B36" s="146">
        <v>87</v>
      </c>
      <c r="C36" s="146" t="str">
        <f t="shared" si="23"/>
        <v>SSTens_85to90</v>
      </c>
      <c r="D36">
        <v>0.30480000000000002</v>
      </c>
      <c r="E36">
        <f t="shared" si="18"/>
        <v>304.8</v>
      </c>
      <c r="F36">
        <v>7.1399999999999996E-3</v>
      </c>
      <c r="G36">
        <f t="shared" si="19"/>
        <v>7.14</v>
      </c>
      <c r="H36">
        <f t="shared" si="20"/>
        <v>42.689075630252105</v>
      </c>
      <c r="I36">
        <v>30</v>
      </c>
      <c r="J36" t="s">
        <v>118</v>
      </c>
      <c r="K36">
        <f t="shared" si="24"/>
        <v>8</v>
      </c>
      <c r="L36">
        <f t="shared" si="25"/>
        <v>12</v>
      </c>
      <c r="M36">
        <f t="shared" si="26"/>
        <v>414000</v>
      </c>
      <c r="N36">
        <f t="shared" si="27"/>
        <v>517000</v>
      </c>
      <c r="O36">
        <f t="shared" si="28"/>
        <v>2.5466769467238102</v>
      </c>
      <c r="P36" t="s">
        <v>10</v>
      </c>
      <c r="Q36" t="s">
        <v>265</v>
      </c>
      <c r="R36">
        <f t="shared" si="29"/>
        <v>17.5</v>
      </c>
      <c r="S36">
        <f t="shared" si="30"/>
        <v>0</v>
      </c>
      <c r="T36">
        <f t="shared" si="31"/>
        <v>37.5</v>
      </c>
      <c r="U36">
        <f t="shared" si="32"/>
        <v>1.1000000000000001</v>
      </c>
      <c r="V36">
        <v>0.9</v>
      </c>
      <c r="W36">
        <v>0</v>
      </c>
      <c r="X36">
        <f t="shared" si="33"/>
        <v>39.499244433584465</v>
      </c>
      <c r="AH36">
        <f>0.00081*X36+0.00314*LN(O36)</f>
        <v>3.4929626553889231E-2</v>
      </c>
      <c r="AI36">
        <f>-0.15507+AH36*LN(H36)+0.05203*LN(I36)</f>
        <v>0.15301812852026347</v>
      </c>
      <c r="AJ36">
        <f>IF(I36&lt;15,AI36+0.75,IF(I36&gt;50,AI36+1.5,AI36+1))</f>
        <v>1.1530181285202634</v>
      </c>
      <c r="AK36">
        <v>0.75</v>
      </c>
      <c r="AL36">
        <f t="shared" si="21"/>
        <v>1</v>
      </c>
      <c r="AM36">
        <f t="shared" si="22"/>
        <v>0</v>
      </c>
      <c r="AP36">
        <f>IF(P36="sand",1,0)</f>
        <v>0</v>
      </c>
      <c r="AQ36">
        <v>-2.307229</v>
      </c>
      <c r="AR36">
        <v>0.5852366</v>
      </c>
      <c r="AS36">
        <v>0.201322</v>
      </c>
      <c r="BC36">
        <v>1.4274935</v>
      </c>
      <c r="BD36">
        <v>-7.1050000000000002E-3</v>
      </c>
      <c r="BE36">
        <v>5.1415999999999996E-3</v>
      </c>
      <c r="BF36">
        <v>-1.4290590000000001</v>
      </c>
      <c r="BG36">
        <v>4.9200300000000002E-2</v>
      </c>
      <c r="BH36">
        <v>0.14513599999999999</v>
      </c>
      <c r="BI36">
        <v>2.0170299999999999E-2</v>
      </c>
      <c r="BJ36">
        <v>-1.032025</v>
      </c>
      <c r="BK36">
        <f>AL36*(LN(AK36)-AI36)*(BC36+BD36*X36+BE36*H36)</f>
        <v>-0.60214698226649055</v>
      </c>
      <c r="BL36">
        <f>AM36*(LN(AK36)-AJ36)*(BF36+BG36*X36+BH36*I36+BI36*H36+BJ36*LN(O36))</f>
        <v>0</v>
      </c>
      <c r="BM36">
        <f t="shared" si="34"/>
        <v>-0.60214698226649055</v>
      </c>
      <c r="BN36">
        <f>AQ36+BM36*AK36+AR36*LN(H36)+AP36*AS36*LN(X36)</f>
        <v>-0.56189437101015471</v>
      </c>
      <c r="BO36">
        <f t="shared" si="35"/>
        <v>0.57012800624291049</v>
      </c>
      <c r="BP36">
        <v>0.72299999999999998</v>
      </c>
      <c r="BQ36">
        <v>0.3</v>
      </c>
    </row>
    <row r="37" spans="1:69" x14ac:dyDescent="0.25">
      <c r="A37" s="146">
        <v>13</v>
      </c>
      <c r="B37" s="146">
        <v>88</v>
      </c>
      <c r="C37" s="146" t="str">
        <f t="shared" si="23"/>
        <v>SSTens_85to90</v>
      </c>
      <c r="D37">
        <v>0.40639999999999998</v>
      </c>
      <c r="E37">
        <f t="shared" si="18"/>
        <v>406.4</v>
      </c>
      <c r="F37">
        <v>9.5299999999999985E-3</v>
      </c>
      <c r="G37">
        <f t="shared" si="19"/>
        <v>9.5299999999999994</v>
      </c>
      <c r="H37">
        <f t="shared" si="20"/>
        <v>42.644281217208821</v>
      </c>
      <c r="I37">
        <v>50</v>
      </c>
      <c r="J37" t="s">
        <v>119</v>
      </c>
      <c r="K37">
        <f t="shared" si="24"/>
        <v>14</v>
      </c>
      <c r="L37">
        <f t="shared" si="25"/>
        <v>15</v>
      </c>
      <c r="M37">
        <f t="shared" si="26"/>
        <v>483000</v>
      </c>
      <c r="N37">
        <f t="shared" si="27"/>
        <v>565000</v>
      </c>
      <c r="O37">
        <f t="shared" si="28"/>
        <v>2.8799444073326219</v>
      </c>
      <c r="P37" t="s">
        <v>10</v>
      </c>
      <c r="Q37" t="s">
        <v>265</v>
      </c>
      <c r="R37">
        <f t="shared" si="29"/>
        <v>17.5</v>
      </c>
      <c r="S37">
        <f t="shared" si="30"/>
        <v>0</v>
      </c>
      <c r="T37">
        <f t="shared" si="31"/>
        <v>37.5</v>
      </c>
      <c r="U37">
        <f t="shared" si="32"/>
        <v>1.1000000000000001</v>
      </c>
      <c r="V37">
        <v>0.9</v>
      </c>
      <c r="W37">
        <v>0</v>
      </c>
      <c r="X37">
        <f t="shared" si="33"/>
        <v>52.665659244779285</v>
      </c>
      <c r="AH37">
        <f>0.00081*X37+0.00314*LN(O37)</f>
        <v>4.5980584899860635E-2</v>
      </c>
      <c r="AI37">
        <f>-0.15507+AH37*LN(H37)+0.05203*LN(I37)</f>
        <v>0.22103278039106702</v>
      </c>
      <c r="AJ37">
        <f>IF(I37&lt;15,AI37+0.75,IF(I37&gt;50,AI37+1.5,AI37+1))</f>
        <v>1.221032780391067</v>
      </c>
      <c r="AK37">
        <v>0.75</v>
      </c>
      <c r="AL37">
        <f t="shared" si="21"/>
        <v>1</v>
      </c>
      <c r="AM37">
        <f t="shared" si="22"/>
        <v>0</v>
      </c>
      <c r="AP37">
        <f>IF(P37="sand",1,0)</f>
        <v>0</v>
      </c>
      <c r="AQ37">
        <v>-2.307229</v>
      </c>
      <c r="AR37">
        <v>0.5852366</v>
      </c>
      <c r="AS37">
        <v>0.201322</v>
      </c>
      <c r="BC37">
        <v>1.4274935</v>
      </c>
      <c r="BD37">
        <v>-7.1050000000000002E-3</v>
      </c>
      <c r="BE37">
        <v>5.1415999999999996E-3</v>
      </c>
      <c r="BF37">
        <v>-1.4290590000000001</v>
      </c>
      <c r="BG37">
        <v>4.9200300000000002E-2</v>
      </c>
      <c r="BH37">
        <v>0.14513599999999999</v>
      </c>
      <c r="BI37">
        <v>2.0170299999999999E-2</v>
      </c>
      <c r="BJ37">
        <v>-1.032025</v>
      </c>
      <c r="BK37">
        <f>AL37*(LN(AK37)-AI37)*(BC37+BD37*X37+BE37*H37)</f>
        <v>-0.6473721201748025</v>
      </c>
      <c r="BL37">
        <f>AM37*(LN(AK37)-AJ37)*(BF37+BG37*X37+BH37*I37+BI37*H37+BJ37*LN(O37))</f>
        <v>0</v>
      </c>
      <c r="BM37">
        <f t="shared" si="34"/>
        <v>-0.6473721201748025</v>
      </c>
      <c r="BN37">
        <f>AQ37+BM37*AK37+AR37*LN(H37)+AP37*AS37*LN(X37)</f>
        <v>-0.59642764612512122</v>
      </c>
      <c r="BO37">
        <f t="shared" si="35"/>
        <v>0.55077569153060479</v>
      </c>
      <c r="BP37">
        <v>0.72299999999999998</v>
      </c>
      <c r="BQ37">
        <v>0.3</v>
      </c>
    </row>
    <row r="38" spans="1:69" x14ac:dyDescent="0.25">
      <c r="A38" s="146">
        <v>14</v>
      </c>
      <c r="B38" s="146">
        <v>89</v>
      </c>
      <c r="C38" s="146" t="str">
        <f t="shared" si="23"/>
        <v>SSTens_85to90</v>
      </c>
      <c r="D38">
        <v>0.50800000000000001</v>
      </c>
      <c r="E38">
        <f t="shared" si="18"/>
        <v>508</v>
      </c>
      <c r="F38">
        <v>1.1130000000000001E-2</v>
      </c>
      <c r="G38">
        <f t="shared" si="19"/>
        <v>11.13</v>
      </c>
      <c r="H38">
        <f t="shared" si="20"/>
        <v>45.642407906558844</v>
      </c>
      <c r="I38">
        <v>100</v>
      </c>
      <c r="J38" t="s">
        <v>120</v>
      </c>
      <c r="K38">
        <f t="shared" si="24"/>
        <v>15</v>
      </c>
      <c r="L38">
        <f t="shared" si="25"/>
        <v>20</v>
      </c>
      <c r="M38">
        <f t="shared" si="26"/>
        <v>552000</v>
      </c>
      <c r="N38">
        <f t="shared" si="27"/>
        <v>625000</v>
      </c>
      <c r="O38">
        <f t="shared" si="28"/>
        <v>2.9888368774026359</v>
      </c>
      <c r="P38" t="s">
        <v>10</v>
      </c>
      <c r="Q38" t="s">
        <v>265</v>
      </c>
      <c r="R38">
        <f t="shared" si="29"/>
        <v>17.5</v>
      </c>
      <c r="S38">
        <f t="shared" si="30"/>
        <v>0</v>
      </c>
      <c r="T38">
        <f t="shared" si="31"/>
        <v>37.5</v>
      </c>
      <c r="U38">
        <f t="shared" si="32"/>
        <v>1.1000000000000001</v>
      </c>
      <c r="V38">
        <v>0.9</v>
      </c>
      <c r="W38">
        <v>0</v>
      </c>
      <c r="X38">
        <f t="shared" si="33"/>
        <v>65.832074055974104</v>
      </c>
      <c r="AH38">
        <f>0.00081*X38+0.00314*LN(O38)</f>
        <v>5.6761916710913081E-2</v>
      </c>
      <c r="AI38">
        <f>-0.15507+AH38*LN(H38)+0.05203*LN(I38)</f>
        <v>0.30141505236031529</v>
      </c>
      <c r="AJ38">
        <f>IF(I38&lt;15,AI38+0.75,IF(I38&gt;50,AI38+1.5,AI38+1))</f>
        <v>1.8014150523603152</v>
      </c>
      <c r="AK38">
        <v>0.75</v>
      </c>
      <c r="AL38">
        <f t="shared" si="21"/>
        <v>1</v>
      </c>
      <c r="AM38">
        <f t="shared" si="22"/>
        <v>0</v>
      </c>
      <c r="AP38">
        <f>IF(P38="sand",1,0)</f>
        <v>0</v>
      </c>
      <c r="AQ38">
        <v>-2.307229</v>
      </c>
      <c r="AR38">
        <v>0.5852366</v>
      </c>
      <c r="AS38">
        <v>0.201322</v>
      </c>
      <c r="BC38">
        <v>1.4274935</v>
      </c>
      <c r="BD38">
        <v>-7.1050000000000002E-3</v>
      </c>
      <c r="BE38">
        <v>5.1415999999999996E-3</v>
      </c>
      <c r="BF38">
        <v>-1.4290590000000001</v>
      </c>
      <c r="BG38">
        <v>4.9200300000000002E-2</v>
      </c>
      <c r="BH38">
        <v>0.14513599999999999</v>
      </c>
      <c r="BI38">
        <v>2.0170299999999999E-2</v>
      </c>
      <c r="BJ38">
        <v>-1.032025</v>
      </c>
      <c r="BK38">
        <f>AL38*(LN(AK38)-AI38)*(BC38+BD38*X38+BE38*H38)</f>
        <v>-0.70363623213972026</v>
      </c>
      <c r="BL38">
        <f>AM38*(LN(AK38)-AJ38)*(BF38+BG38*X38+BH38*I38+BI38*H38+BJ38*LN(O38))</f>
        <v>0</v>
      </c>
      <c r="BM38">
        <f t="shared" si="34"/>
        <v>-0.70363623213972026</v>
      </c>
      <c r="BN38">
        <f>AQ38+BM38*AK38+AR38*LN(H38)+AP38*AS38*LN(X38)</f>
        <v>-0.59886235386354869</v>
      </c>
      <c r="BO38">
        <f t="shared" si="35"/>
        <v>0.54943634481282166</v>
      </c>
      <c r="BP38">
        <v>0.72299999999999998</v>
      </c>
      <c r="BQ38">
        <v>0.3</v>
      </c>
    </row>
    <row r="39" spans="1:69" x14ac:dyDescent="0.25">
      <c r="A39" s="146">
        <v>15</v>
      </c>
      <c r="B39" s="146">
        <v>90</v>
      </c>
      <c r="C39" s="146" t="str">
        <f t="shared" si="23"/>
        <v>SSTens_85to90</v>
      </c>
      <c r="D39">
        <v>0.60960000000000003</v>
      </c>
      <c r="E39">
        <f t="shared" si="18"/>
        <v>609.6</v>
      </c>
      <c r="F39">
        <v>9.5299999999999985E-3</v>
      </c>
      <c r="G39">
        <f t="shared" si="19"/>
        <v>9.5299999999999994</v>
      </c>
      <c r="H39">
        <f t="shared" si="20"/>
        <v>63.966421825813235</v>
      </c>
      <c r="I39">
        <v>15</v>
      </c>
      <c r="J39" t="s">
        <v>117</v>
      </c>
      <c r="K39">
        <f t="shared" si="24"/>
        <v>8</v>
      </c>
      <c r="L39">
        <f t="shared" si="25"/>
        <v>10</v>
      </c>
      <c r="M39">
        <f t="shared" si="26"/>
        <v>359000</v>
      </c>
      <c r="N39">
        <f t="shared" si="27"/>
        <v>455000</v>
      </c>
      <c r="O39">
        <f t="shared" si="28"/>
        <v>1.9969902892117808</v>
      </c>
      <c r="P39" t="s">
        <v>10</v>
      </c>
      <c r="Q39" t="s">
        <v>269</v>
      </c>
      <c r="R39">
        <f t="shared" si="29"/>
        <v>18</v>
      </c>
      <c r="S39">
        <f t="shared" si="30"/>
        <v>0</v>
      </c>
      <c r="T39">
        <f t="shared" si="31"/>
        <v>75</v>
      </c>
      <c r="U39">
        <f t="shared" si="32"/>
        <v>0.72</v>
      </c>
      <c r="V39">
        <v>0.9</v>
      </c>
      <c r="W39">
        <v>0</v>
      </c>
      <c r="X39">
        <f t="shared" si="33"/>
        <v>103.41620360793024</v>
      </c>
      <c r="AH39">
        <f>0.00081*X39+0.00314*LN(O39)</f>
        <v>8.5938878264467361E-2</v>
      </c>
      <c r="AI39">
        <f>-0.15507+AH39*LN(H39)+0.05203*LN(I39)</f>
        <v>0.34319449854464201</v>
      </c>
      <c r="AJ39">
        <f>IF(I39&lt;15,AI39+0.75,IF(I39&gt;50,AI39+1.5,AI39+1))</f>
        <v>1.343194498544642</v>
      </c>
      <c r="AK39">
        <v>0.75</v>
      </c>
      <c r="AL39">
        <f t="shared" si="21"/>
        <v>1</v>
      </c>
      <c r="AM39">
        <f t="shared" si="22"/>
        <v>0</v>
      </c>
      <c r="AP39">
        <f>IF(P39="sand",1,0)</f>
        <v>0</v>
      </c>
      <c r="AQ39">
        <v>-2.307229</v>
      </c>
      <c r="AR39">
        <v>0.5852366</v>
      </c>
      <c r="AS39">
        <v>0.201322</v>
      </c>
      <c r="BC39">
        <v>1.4274935</v>
      </c>
      <c r="BD39">
        <v>-7.1050000000000002E-3</v>
      </c>
      <c r="BE39">
        <v>5.1415999999999996E-3</v>
      </c>
      <c r="BF39">
        <v>-1.4290590000000001</v>
      </c>
      <c r="BG39">
        <v>4.9200300000000002E-2</v>
      </c>
      <c r="BH39">
        <v>0.14513599999999999</v>
      </c>
      <c r="BI39">
        <v>2.0170299999999999E-2</v>
      </c>
      <c r="BJ39">
        <v>-1.032025</v>
      </c>
      <c r="BK39">
        <f>AL39*(LN(AK39)-AI39)*(BC39+BD39*X39+BE39*H39)</f>
        <v>-0.64451052521418639</v>
      </c>
      <c r="BL39">
        <f>AM39*(LN(AK39)-AJ39)*(BF39+BG39*X39+BH39*I39+BI39*H39+BJ39*LN(O39))</f>
        <v>0</v>
      </c>
      <c r="BM39">
        <f t="shared" si="34"/>
        <v>-0.64451052521418639</v>
      </c>
      <c r="BN39">
        <f>AQ39+BM39*AK39+AR39*LN(H39)+AP39*AS39*LN(X39)</f>
        <v>-0.35698842861680458</v>
      </c>
      <c r="BO39">
        <f t="shared" si="35"/>
        <v>0.69978059511718083</v>
      </c>
      <c r="BP39">
        <v>0.72299999999999998</v>
      </c>
      <c r="BQ39">
        <v>0.3</v>
      </c>
    </row>
    <row r="40" spans="1:69" x14ac:dyDescent="0.25">
      <c r="A40" s="146">
        <v>16</v>
      </c>
      <c r="B40" s="146">
        <v>86</v>
      </c>
      <c r="C40" s="146" t="str">
        <f t="shared" si="23"/>
        <v>SSTens_85to90</v>
      </c>
      <c r="D40">
        <v>0.76200000000000001</v>
      </c>
      <c r="E40">
        <f t="shared" si="18"/>
        <v>762</v>
      </c>
      <c r="F40">
        <v>1.2699999999999999E-2</v>
      </c>
      <c r="G40">
        <f t="shared" si="19"/>
        <v>12.7</v>
      </c>
      <c r="H40">
        <f t="shared" si="20"/>
        <v>60</v>
      </c>
      <c r="I40">
        <v>30</v>
      </c>
      <c r="J40" t="s">
        <v>118</v>
      </c>
      <c r="K40">
        <f t="shared" si="24"/>
        <v>8</v>
      </c>
      <c r="L40">
        <f t="shared" si="25"/>
        <v>12</v>
      </c>
      <c r="M40">
        <f t="shared" si="26"/>
        <v>414000</v>
      </c>
      <c r="N40">
        <f t="shared" si="27"/>
        <v>517000</v>
      </c>
      <c r="O40">
        <f t="shared" si="28"/>
        <v>2.5466769467238102</v>
      </c>
      <c r="P40" t="s">
        <v>10</v>
      </c>
      <c r="Q40" t="s">
        <v>269</v>
      </c>
      <c r="R40">
        <f t="shared" si="29"/>
        <v>18</v>
      </c>
      <c r="S40">
        <f t="shared" si="30"/>
        <v>0</v>
      </c>
      <c r="T40">
        <f t="shared" si="31"/>
        <v>75</v>
      </c>
      <c r="U40">
        <f t="shared" si="32"/>
        <v>0.72</v>
      </c>
      <c r="V40">
        <v>0.9</v>
      </c>
      <c r="W40">
        <v>0</v>
      </c>
      <c r="X40">
        <f t="shared" si="33"/>
        <v>129.2702545099128</v>
      </c>
      <c r="AH40">
        <f>0.00081*X40+0.00314*LN(O40)</f>
        <v>0.10764414471571518</v>
      </c>
      <c r="AI40">
        <f>-0.15507+AH40*LN(H40)+0.05203*LN(I40)</f>
        <v>0.46262651833971924</v>
      </c>
      <c r="AJ40">
        <f>IF(I40&lt;15,AI40+0.75,IF(I40&gt;50,AI40+1.5,AI40+1))</f>
        <v>1.4626265183397194</v>
      </c>
      <c r="AK40">
        <v>1.5</v>
      </c>
      <c r="AL40">
        <f t="shared" si="21"/>
        <v>1</v>
      </c>
      <c r="AM40">
        <f t="shared" si="22"/>
        <v>0</v>
      </c>
      <c r="AP40">
        <f>IF(P40="sand",1,0)</f>
        <v>0</v>
      </c>
      <c r="AQ40">
        <v>-2.307229</v>
      </c>
      <c r="AR40">
        <v>0.5852366</v>
      </c>
      <c r="AS40">
        <v>0.201322</v>
      </c>
      <c r="BC40">
        <v>1.4274935</v>
      </c>
      <c r="BD40">
        <v>-7.1050000000000002E-3</v>
      </c>
      <c r="BE40">
        <v>5.1415999999999996E-3</v>
      </c>
      <c r="BF40">
        <v>-1.4290590000000001</v>
      </c>
      <c r="BG40">
        <v>4.9200300000000002E-2</v>
      </c>
      <c r="BH40">
        <v>0.14513599999999999</v>
      </c>
      <c r="BI40">
        <v>2.0170299999999999E-2</v>
      </c>
      <c r="BJ40">
        <v>-1.032025</v>
      </c>
      <c r="BK40">
        <f>AL40*(LN(AK40)-AI40)*(BC40+BD40*X40+BE40*H40)</f>
        <v>-4.6730844270599627E-2</v>
      </c>
      <c r="BL40">
        <f>AM40*(LN(AK40)-AJ40)*(BF40+BG40*X40+BH40*I40+BI40*H40+BJ40*LN(O40))</f>
        <v>0</v>
      </c>
      <c r="BM40">
        <f t="shared" si="34"/>
        <v>-4.6730844270599627E-2</v>
      </c>
      <c r="BN40">
        <f>AQ40+BM40*AK40+AR40*LN(H40)+AP40*AS40*LN(X40)</f>
        <v>1.8835024417450885E-2</v>
      </c>
      <c r="BO40">
        <f t="shared" si="35"/>
        <v>1.0190135223999457</v>
      </c>
      <c r="BP40">
        <v>0.72299999999999998</v>
      </c>
      <c r="BQ40">
        <v>0.3</v>
      </c>
    </row>
    <row r="41" spans="1:69" x14ac:dyDescent="0.25">
      <c r="A41" s="146">
        <v>17</v>
      </c>
      <c r="B41" s="146">
        <v>87</v>
      </c>
      <c r="C41" s="146" t="str">
        <f t="shared" si="23"/>
        <v>SSTens_85to90</v>
      </c>
      <c r="D41">
        <v>0.86360000000000003</v>
      </c>
      <c r="E41">
        <f t="shared" si="18"/>
        <v>863.6</v>
      </c>
      <c r="F41">
        <v>1.1130000000000001E-2</v>
      </c>
      <c r="G41">
        <f t="shared" si="19"/>
        <v>11.13</v>
      </c>
      <c r="H41">
        <f t="shared" si="20"/>
        <v>77.592093441150041</v>
      </c>
      <c r="I41">
        <v>50</v>
      </c>
      <c r="J41" t="s">
        <v>119</v>
      </c>
      <c r="K41">
        <f t="shared" si="24"/>
        <v>14</v>
      </c>
      <c r="L41">
        <f t="shared" si="25"/>
        <v>15</v>
      </c>
      <c r="M41">
        <f t="shared" si="26"/>
        <v>483000</v>
      </c>
      <c r="N41">
        <f t="shared" si="27"/>
        <v>565000</v>
      </c>
      <c r="O41">
        <f t="shared" si="28"/>
        <v>2.8799444073326219</v>
      </c>
      <c r="P41" t="s">
        <v>10</v>
      </c>
      <c r="Q41" t="s">
        <v>269</v>
      </c>
      <c r="R41">
        <f t="shared" si="29"/>
        <v>18</v>
      </c>
      <c r="S41">
        <f t="shared" si="30"/>
        <v>0</v>
      </c>
      <c r="T41">
        <f t="shared" si="31"/>
        <v>75</v>
      </c>
      <c r="U41">
        <f t="shared" si="32"/>
        <v>0.72</v>
      </c>
      <c r="V41">
        <v>0.9</v>
      </c>
      <c r="W41">
        <v>0</v>
      </c>
      <c r="X41">
        <f t="shared" si="33"/>
        <v>146.50628844456784</v>
      </c>
      <c r="AH41">
        <f>0.00081*X41+0.00314*LN(O41)</f>
        <v>0.12199149455168937</v>
      </c>
      <c r="AI41">
        <f>-0.15507+AH41*LN(H41)+0.05203*LN(I41)</f>
        <v>0.57931434087634726</v>
      </c>
      <c r="AJ41">
        <f>IF(I41&lt;15,AI41+0.75,IF(I41&gt;50,AI41+1.5,AI41+1))</f>
        <v>1.5793143408763473</v>
      </c>
      <c r="AK41">
        <v>1.5</v>
      </c>
      <c r="AL41">
        <f t="shared" si="21"/>
        <v>1</v>
      </c>
      <c r="AM41">
        <f t="shared" si="22"/>
        <v>0</v>
      </c>
      <c r="AP41">
        <f>IF(P41="sand",1,0)</f>
        <v>0</v>
      </c>
      <c r="AQ41">
        <v>-2.307229</v>
      </c>
      <c r="AR41">
        <v>0.5852366</v>
      </c>
      <c r="AS41">
        <v>0.201322</v>
      </c>
      <c r="BC41">
        <v>1.4274935</v>
      </c>
      <c r="BD41">
        <v>-7.1050000000000002E-3</v>
      </c>
      <c r="BE41">
        <v>5.1415999999999996E-3</v>
      </c>
      <c r="BF41">
        <v>-1.4290590000000001</v>
      </c>
      <c r="BG41">
        <v>4.9200300000000002E-2</v>
      </c>
      <c r="BH41">
        <v>0.14513599999999999</v>
      </c>
      <c r="BI41">
        <v>2.0170299999999999E-2</v>
      </c>
      <c r="BJ41">
        <v>-1.032025</v>
      </c>
      <c r="BK41">
        <f>AL41*(LN(AK41)-AI41)*(BC41+BD41*X41+BE41*H41)</f>
        <v>-0.13656097636803749</v>
      </c>
      <c r="BL41">
        <f>AM41*(LN(AK41)-AJ41)*(BF41+BG41*X41+BH41*I41+BI41*H41+BJ41*LN(O41))</f>
        <v>0</v>
      </c>
      <c r="BM41">
        <f t="shared" si="34"/>
        <v>-0.13656097636803749</v>
      </c>
      <c r="BN41">
        <f>AQ41+BM41*AK41+AR41*LN(H41)+AP41*AS41*LN(X41)</f>
        <v>3.4566429204756499E-2</v>
      </c>
      <c r="BO41">
        <f t="shared" si="35"/>
        <v>1.0351707916646211</v>
      </c>
      <c r="BP41">
        <v>0.72299999999999998</v>
      </c>
      <c r="BQ41">
        <v>0.3</v>
      </c>
    </row>
    <row r="42" spans="1:69" x14ac:dyDescent="0.25">
      <c r="A42" s="146">
        <v>18</v>
      </c>
      <c r="B42" s="146">
        <v>88</v>
      </c>
      <c r="C42" s="146" t="str">
        <f t="shared" si="23"/>
        <v>SSTens_85to90</v>
      </c>
      <c r="D42">
        <v>1.0668</v>
      </c>
      <c r="E42">
        <f t="shared" si="18"/>
        <v>1066.8</v>
      </c>
      <c r="F42">
        <v>1.2699999999999999E-2</v>
      </c>
      <c r="G42">
        <f t="shared" si="19"/>
        <v>12.7</v>
      </c>
      <c r="H42">
        <f t="shared" si="20"/>
        <v>84</v>
      </c>
      <c r="I42">
        <v>100</v>
      </c>
      <c r="J42" t="s">
        <v>120</v>
      </c>
      <c r="K42">
        <f t="shared" si="24"/>
        <v>15</v>
      </c>
      <c r="L42">
        <f t="shared" si="25"/>
        <v>20</v>
      </c>
      <c r="M42">
        <f t="shared" si="26"/>
        <v>552000</v>
      </c>
      <c r="N42">
        <f t="shared" si="27"/>
        <v>625000</v>
      </c>
      <c r="O42">
        <f t="shared" si="28"/>
        <v>2.9888368774026359</v>
      </c>
      <c r="P42" t="s">
        <v>10</v>
      </c>
      <c r="Q42" t="s">
        <v>266</v>
      </c>
      <c r="R42">
        <f t="shared" si="29"/>
        <v>18.5</v>
      </c>
      <c r="S42">
        <f t="shared" si="30"/>
        <v>0</v>
      </c>
      <c r="T42">
        <f t="shared" si="31"/>
        <v>125</v>
      </c>
      <c r="U42">
        <f t="shared" si="32"/>
        <v>0.4</v>
      </c>
      <c r="V42">
        <v>0.9</v>
      </c>
      <c r="W42">
        <v>0</v>
      </c>
      <c r="X42">
        <f t="shared" si="33"/>
        <v>167.57255214247957</v>
      </c>
      <c r="AH42">
        <f>0.00081*X42+0.00314*LN(O42)</f>
        <v>0.13917170396098252</v>
      </c>
      <c r="AI42">
        <f>-0.15507+AH42*LN(H42)+0.05203*LN(I42)</f>
        <v>0.70118132861093019</v>
      </c>
      <c r="AJ42">
        <f>IF(I42&lt;15,AI42+0.75,IF(I42&gt;50,AI42+1.5,AI42+1))</f>
        <v>2.2011813286109301</v>
      </c>
      <c r="AK42">
        <v>1.5</v>
      </c>
      <c r="AL42">
        <f t="shared" si="21"/>
        <v>1</v>
      </c>
      <c r="AM42">
        <f t="shared" si="22"/>
        <v>0</v>
      </c>
      <c r="AP42">
        <f>IF(P42="sand",1,0)</f>
        <v>0</v>
      </c>
      <c r="AQ42">
        <v>-2.307229</v>
      </c>
      <c r="AR42">
        <v>0.5852366</v>
      </c>
      <c r="AS42">
        <v>0.201322</v>
      </c>
      <c r="BC42">
        <v>1.4274935</v>
      </c>
      <c r="BD42">
        <v>-7.1050000000000002E-3</v>
      </c>
      <c r="BE42">
        <v>5.1415999999999996E-3</v>
      </c>
      <c r="BF42">
        <v>-1.4290590000000001</v>
      </c>
      <c r="BG42">
        <v>4.9200300000000002E-2</v>
      </c>
      <c r="BH42">
        <v>0.14513599999999999</v>
      </c>
      <c r="BI42">
        <v>2.0170299999999999E-2</v>
      </c>
      <c r="BJ42">
        <v>-1.032025</v>
      </c>
      <c r="BK42">
        <f>AL42*(LN(AK42)-AI42)*(BC42+BD42*X42+BE42*H42)</f>
        <v>-0.19777054799268215</v>
      </c>
      <c r="BL42">
        <f>AM42*(LN(AK42)-AJ42)*(BF42+BG42*X42+BH42*I42+BI42*H42+BJ42*LN(O42))</f>
        <v>0</v>
      </c>
      <c r="BM42">
        <f t="shared" si="34"/>
        <v>-0.19777054799268215</v>
      </c>
      <c r="BN42">
        <f>AQ42+BM42*AK42+AR42*LN(H42)+AP42*AS42*LN(X42)</f>
        <v>-1.0808663411078889E-2</v>
      </c>
      <c r="BO42">
        <f t="shared" si="35"/>
        <v>0.98924954030109691</v>
      </c>
      <c r="BP42">
        <v>0.72299999999999998</v>
      </c>
      <c r="BQ42">
        <v>0.3</v>
      </c>
    </row>
    <row r="43" spans="1:69" x14ac:dyDescent="0.25">
      <c r="A43" s="146">
        <v>19</v>
      </c>
      <c r="B43" s="146">
        <v>89</v>
      </c>
      <c r="C43" s="146" t="str">
        <f t="shared" si="23"/>
        <v>SSTens_85to90</v>
      </c>
      <c r="D43">
        <v>0.60960000000000003</v>
      </c>
      <c r="E43">
        <f t="shared" si="18"/>
        <v>609.6</v>
      </c>
      <c r="F43">
        <v>1.1130000000000001E-2</v>
      </c>
      <c r="G43">
        <f t="shared" si="19"/>
        <v>11.13</v>
      </c>
      <c r="H43">
        <f t="shared" si="20"/>
        <v>54.770889487870619</v>
      </c>
      <c r="I43">
        <v>150</v>
      </c>
      <c r="J43" t="s">
        <v>187</v>
      </c>
      <c r="K43">
        <f t="shared" si="24"/>
        <v>3</v>
      </c>
      <c r="L43">
        <f t="shared" si="25"/>
        <v>9</v>
      </c>
      <c r="M43">
        <f t="shared" si="26"/>
        <v>290000</v>
      </c>
      <c r="N43">
        <f t="shared" si="27"/>
        <v>414000</v>
      </c>
      <c r="O43">
        <f t="shared" si="28"/>
        <v>1.7363704307629526</v>
      </c>
      <c r="P43" t="s">
        <v>10</v>
      </c>
      <c r="Q43" t="s">
        <v>266</v>
      </c>
      <c r="R43">
        <f t="shared" si="29"/>
        <v>18.5</v>
      </c>
      <c r="S43">
        <f t="shared" si="30"/>
        <v>0</v>
      </c>
      <c r="T43">
        <f t="shared" si="31"/>
        <v>125</v>
      </c>
      <c r="U43">
        <f t="shared" si="32"/>
        <v>0.4</v>
      </c>
      <c r="V43">
        <v>0.9</v>
      </c>
      <c r="W43">
        <v>0</v>
      </c>
      <c r="X43">
        <f t="shared" si="33"/>
        <v>95.755744081416907</v>
      </c>
      <c r="AH43">
        <f>0.00081*X43+0.00314*LN(O43)</f>
        <v>7.9294795208237082E-2</v>
      </c>
      <c r="AI43">
        <f>-0.15507+AH43*LN(H43)+0.05203*LN(I43)</f>
        <v>0.42306301468311602</v>
      </c>
      <c r="AJ43">
        <f>IF(I43&lt;15,AI43+0.75,IF(I43&gt;50,AI43+1.5,AI43+1))</f>
        <v>1.923063014683116</v>
      </c>
      <c r="AK43">
        <v>7.5</v>
      </c>
      <c r="AL43">
        <f t="shared" si="21"/>
        <v>0</v>
      </c>
      <c r="AM43">
        <f t="shared" si="22"/>
        <v>1</v>
      </c>
      <c r="AP43">
        <f>IF(P43="sand",1,0)</f>
        <v>0</v>
      </c>
      <c r="AQ43">
        <v>-2.307229</v>
      </c>
      <c r="AR43">
        <v>0.5852366</v>
      </c>
      <c r="AS43">
        <v>0.201322</v>
      </c>
      <c r="BC43">
        <v>1.4274935</v>
      </c>
      <c r="BD43">
        <v>-7.1050000000000002E-3</v>
      </c>
      <c r="BE43">
        <v>5.1415999999999996E-3</v>
      </c>
      <c r="BF43">
        <v>-1.4290590000000001</v>
      </c>
      <c r="BG43">
        <v>4.9200300000000002E-2</v>
      </c>
      <c r="BH43">
        <v>0.14513599999999999</v>
      </c>
      <c r="BI43">
        <v>2.0170299999999999E-2</v>
      </c>
      <c r="BJ43">
        <v>-1.032025</v>
      </c>
      <c r="BK43">
        <f>AL43*(LN(AK43)-AI43)*(BC43+BD43*X43+BE43*H43)</f>
        <v>0</v>
      </c>
      <c r="BL43">
        <f>AM43*(LN(AK43)-AJ43)*(BF43+BG43*X43+BH43*I43+BI43*H43+BJ43*LN(O43))</f>
        <v>2.3499863959925666</v>
      </c>
      <c r="BM43">
        <f t="shared" si="34"/>
        <v>2.3499863959925666</v>
      </c>
      <c r="BN43">
        <f>AQ43+BM43*AK43+AR43*LN(H43)+AP43*AS43*LN(X43)</f>
        <v>17.660464038190291</v>
      </c>
      <c r="BO43">
        <f t="shared" si="35"/>
        <v>100</v>
      </c>
      <c r="BP43">
        <v>0.72299999999999998</v>
      </c>
      <c r="BQ43">
        <v>0.3</v>
      </c>
    </row>
    <row r="44" spans="1:69" x14ac:dyDescent="0.25">
      <c r="A44" s="146">
        <v>20</v>
      </c>
      <c r="B44" s="146">
        <v>90</v>
      </c>
      <c r="C44" s="146" t="str">
        <f t="shared" si="23"/>
        <v>SSTens_85to90</v>
      </c>
      <c r="D44">
        <v>0.60960000000000003</v>
      </c>
      <c r="E44">
        <f t="shared" si="18"/>
        <v>609.6</v>
      </c>
      <c r="F44">
        <v>1.1130000000000001E-2</v>
      </c>
      <c r="G44">
        <f t="shared" si="19"/>
        <v>11.13</v>
      </c>
      <c r="H44">
        <f t="shared" si="20"/>
        <v>54.770889487870619</v>
      </c>
      <c r="I44">
        <v>200</v>
      </c>
      <c r="J44" t="s">
        <v>186</v>
      </c>
      <c r="K44">
        <f t="shared" si="24"/>
        <v>3</v>
      </c>
      <c r="L44">
        <f t="shared" si="25"/>
        <v>8</v>
      </c>
      <c r="M44">
        <f t="shared" si="26"/>
        <v>241000</v>
      </c>
      <c r="N44">
        <f t="shared" si="27"/>
        <v>344000</v>
      </c>
      <c r="O44">
        <f t="shared" si="28"/>
        <v>1.1599577949833839</v>
      </c>
      <c r="P44" t="s">
        <v>10</v>
      </c>
      <c r="Q44" t="s">
        <v>266</v>
      </c>
      <c r="R44">
        <f t="shared" si="29"/>
        <v>18.5</v>
      </c>
      <c r="S44">
        <f t="shared" si="30"/>
        <v>0</v>
      </c>
      <c r="T44">
        <f t="shared" si="31"/>
        <v>125</v>
      </c>
      <c r="U44">
        <f t="shared" si="32"/>
        <v>0.4</v>
      </c>
      <c r="V44">
        <v>0.9</v>
      </c>
      <c r="W44">
        <v>0</v>
      </c>
      <c r="X44">
        <f t="shared" si="33"/>
        <v>95.755744081416907</v>
      </c>
      <c r="AH44">
        <f>0.00081*X44+0.00314*LN(O44)</f>
        <v>7.8028077275326749E-2</v>
      </c>
      <c r="AI44">
        <f>-0.15507+AH44*LN(H44)+0.05203*LN(I44)</f>
        <v>0.43296023982302467</v>
      </c>
      <c r="AJ44">
        <f>IF(I44&lt;15,AI44+0.75,IF(I44&gt;50,AI44+1.5,AI44+1))</f>
        <v>1.9329602398230246</v>
      </c>
      <c r="AK44">
        <v>3.5</v>
      </c>
      <c r="AL44">
        <f t="shared" si="21"/>
        <v>0</v>
      </c>
      <c r="AM44">
        <f t="shared" si="22"/>
        <v>0</v>
      </c>
      <c r="AP44">
        <f>IF(P44="sand",1,0)</f>
        <v>0</v>
      </c>
      <c r="AQ44">
        <v>-2.307229</v>
      </c>
      <c r="AR44">
        <v>0.5852366</v>
      </c>
      <c r="AS44">
        <v>0.201322</v>
      </c>
      <c r="BC44">
        <v>1.4274935</v>
      </c>
      <c r="BD44">
        <v>-7.1050000000000002E-3</v>
      </c>
      <c r="BE44">
        <v>5.1415999999999996E-3</v>
      </c>
      <c r="BF44">
        <v>-1.4290590000000001</v>
      </c>
      <c r="BG44">
        <v>4.9200300000000002E-2</v>
      </c>
      <c r="BH44">
        <v>0.14513599999999999</v>
      </c>
      <c r="BI44">
        <v>2.0170299999999999E-2</v>
      </c>
      <c r="BJ44">
        <v>-1.032025</v>
      </c>
      <c r="BK44">
        <f>AL44*(LN(AK44)-AI44)*(BC44+BD44*X44+BE44*H44)</f>
        <v>0</v>
      </c>
      <c r="BL44">
        <f>AM44*(LN(AK44)-AJ44)*(BF44+BG44*X44+BH44*I44+BI44*H44+BJ44*LN(O44))</f>
        <v>0</v>
      </c>
      <c r="BM44">
        <f t="shared" si="34"/>
        <v>0</v>
      </c>
      <c r="BN44">
        <f>AQ44+BM44*AK44+AR44*LN(H44)+AP44*AS44*LN(X44)</f>
        <v>3.5566068246042359E-2</v>
      </c>
      <c r="BO44">
        <f t="shared" si="35"/>
        <v>1.0362061061865622</v>
      </c>
      <c r="BP44">
        <v>0.72299999999999998</v>
      </c>
      <c r="BQ44">
        <v>0.3</v>
      </c>
    </row>
    <row r="46" spans="1:69" x14ac:dyDescent="0.25">
      <c r="A46" t="s">
        <v>38</v>
      </c>
      <c r="B46" t="s">
        <v>400</v>
      </c>
      <c r="C46" t="s">
        <v>431</v>
      </c>
      <c r="D46" t="s">
        <v>288</v>
      </c>
      <c r="E46" t="s">
        <v>1</v>
      </c>
      <c r="F46" t="s">
        <v>289</v>
      </c>
      <c r="G46" t="s">
        <v>2</v>
      </c>
      <c r="H46" t="s">
        <v>124</v>
      </c>
      <c r="I46" t="s">
        <v>125</v>
      </c>
      <c r="J46" t="s">
        <v>15</v>
      </c>
      <c r="K46" t="s">
        <v>4</v>
      </c>
      <c r="L46" t="s">
        <v>5</v>
      </c>
      <c r="M46" t="s">
        <v>3</v>
      </c>
      <c r="N46" t="s">
        <v>16</v>
      </c>
      <c r="O46" t="s">
        <v>17</v>
      </c>
      <c r="P46" t="s">
        <v>0</v>
      </c>
      <c r="Q46" t="s">
        <v>86</v>
      </c>
      <c r="R46" t="s">
        <v>84</v>
      </c>
      <c r="S46" t="s">
        <v>85</v>
      </c>
      <c r="T46" t="s">
        <v>83</v>
      </c>
      <c r="U46" t="s">
        <v>82</v>
      </c>
      <c r="V46" t="s">
        <v>406</v>
      </c>
      <c r="W46" t="s">
        <v>287</v>
      </c>
      <c r="X46" t="s">
        <v>7</v>
      </c>
      <c r="Y46" t="s">
        <v>429</v>
      </c>
      <c r="Z46" t="s">
        <v>430</v>
      </c>
      <c r="AA46" t="s">
        <v>14</v>
      </c>
      <c r="AB46" t="s">
        <v>12</v>
      </c>
      <c r="AC46" t="s">
        <v>13</v>
      </c>
      <c r="AD46" t="s">
        <v>425</v>
      </c>
      <c r="AE46" t="s">
        <v>426</v>
      </c>
      <c r="AF46" t="s">
        <v>427</v>
      </c>
      <c r="AG46" t="s">
        <v>428</v>
      </c>
      <c r="AH46" t="s">
        <v>11</v>
      </c>
      <c r="AI46" t="s">
        <v>388</v>
      </c>
      <c r="AJ46" t="s">
        <v>271</v>
      </c>
      <c r="AK46" t="s">
        <v>6</v>
      </c>
      <c r="AL46" t="s">
        <v>389</v>
      </c>
      <c r="AM46" t="s">
        <v>390</v>
      </c>
      <c r="AN46" t="s">
        <v>272</v>
      </c>
      <c r="AO46" t="s">
        <v>273</v>
      </c>
      <c r="AP46" t="s">
        <v>286</v>
      </c>
      <c r="AQ46" t="s">
        <v>18</v>
      </c>
      <c r="AR46" t="s">
        <v>104</v>
      </c>
      <c r="AS46" t="s">
        <v>105</v>
      </c>
      <c r="AT46" t="s">
        <v>20</v>
      </c>
      <c r="AU46" t="s">
        <v>21</v>
      </c>
      <c r="AV46" t="s">
        <v>22</v>
      </c>
      <c r="AW46" t="s">
        <v>23</v>
      </c>
      <c r="AX46" t="s">
        <v>24</v>
      </c>
      <c r="AY46" t="s">
        <v>25</v>
      </c>
      <c r="AZ46" t="s">
        <v>26</v>
      </c>
      <c r="BA46" t="s">
        <v>27</v>
      </c>
      <c r="BB46" t="s">
        <v>28</v>
      </c>
      <c r="BC46" t="s">
        <v>374</v>
      </c>
      <c r="BD46" t="s">
        <v>375</v>
      </c>
      <c r="BE46" t="s">
        <v>376</v>
      </c>
      <c r="BF46" t="s">
        <v>377</v>
      </c>
      <c r="BG46" t="s">
        <v>378</v>
      </c>
      <c r="BH46" t="s">
        <v>379</v>
      </c>
      <c r="BI46" t="s">
        <v>380</v>
      </c>
      <c r="BJ46" t="s">
        <v>381</v>
      </c>
      <c r="BK46" t="s">
        <v>404</v>
      </c>
      <c r="BL46" t="s">
        <v>405</v>
      </c>
      <c r="BM46" t="s">
        <v>19</v>
      </c>
      <c r="BN46" t="s">
        <v>284</v>
      </c>
      <c r="BO46" t="s">
        <v>8</v>
      </c>
      <c r="BP46" t="s">
        <v>290</v>
      </c>
      <c r="BQ46" t="s">
        <v>291</v>
      </c>
    </row>
    <row r="47" spans="1:69" x14ac:dyDescent="0.25">
      <c r="A47">
        <v>1</v>
      </c>
      <c r="B47">
        <v>5</v>
      </c>
      <c r="C47" t="s">
        <v>432</v>
      </c>
      <c r="D47">
        <v>0.20319999999999999</v>
      </c>
      <c r="E47">
        <v>203.2</v>
      </c>
      <c r="F47">
        <v>5.5599999999999998E-3</v>
      </c>
      <c r="G47">
        <v>5.56</v>
      </c>
      <c r="H47">
        <v>36.546762589928058</v>
      </c>
      <c r="I47">
        <v>15</v>
      </c>
      <c r="J47" t="s">
        <v>117</v>
      </c>
      <c r="K47">
        <v>8</v>
      </c>
      <c r="L47">
        <v>10</v>
      </c>
      <c r="M47">
        <v>359000</v>
      </c>
      <c r="N47">
        <v>455000</v>
      </c>
      <c r="O47">
        <v>1.9969902892117808</v>
      </c>
      <c r="P47" t="s">
        <v>9</v>
      </c>
      <c r="Q47" t="s">
        <v>267</v>
      </c>
      <c r="R47">
        <v>18</v>
      </c>
      <c r="S47">
        <v>37</v>
      </c>
      <c r="T47">
        <v>0</v>
      </c>
      <c r="U47">
        <v>0</v>
      </c>
      <c r="V47">
        <v>0.9</v>
      </c>
      <c r="W47">
        <v>1</v>
      </c>
      <c r="X47">
        <v>7.5479720641402661</v>
      </c>
      <c r="Y47">
        <v>1</v>
      </c>
      <c r="Z47">
        <v>1</v>
      </c>
      <c r="AA47">
        <v>0.33251000000000008</v>
      </c>
      <c r="AB47">
        <v>-0.16215999999999997</v>
      </c>
      <c r="AC47">
        <v>0.10449</v>
      </c>
      <c r="AD47">
        <v>-0.37792000000000003</v>
      </c>
      <c r="AE47">
        <v>-0.49608999999999992</v>
      </c>
      <c r="AF47">
        <v>-1.25E-3</v>
      </c>
      <c r="AG47">
        <v>9.0099999999999902E-3</v>
      </c>
      <c r="AH47">
        <v>-1.563928772424017E-2</v>
      </c>
      <c r="AJ47">
        <v>-0.11744419621019414</v>
      </c>
      <c r="AK47">
        <v>0.75</v>
      </c>
      <c r="AN47">
        <v>1</v>
      </c>
      <c r="AO47">
        <v>1</v>
      </c>
      <c r="AP47">
        <v>1</v>
      </c>
      <c r="AQ47">
        <v>1.0319499999999999</v>
      </c>
      <c r="AR47">
        <v>0.16287000000000001</v>
      </c>
      <c r="AS47">
        <v>2.7647700000000004</v>
      </c>
      <c r="AT47">
        <v>1.2999999999999991E-4</v>
      </c>
      <c r="AU47">
        <v>5.074E-2</v>
      </c>
      <c r="AV47">
        <v>-0.69564000000000004</v>
      </c>
      <c r="AW47">
        <v>1.1999999999999999E-4</v>
      </c>
      <c r="AX47">
        <v>0.44705000000000006</v>
      </c>
      <c r="AY47">
        <v>-1.8379999999999997E-2</v>
      </c>
      <c r="AZ47">
        <v>0.22193000000000002</v>
      </c>
      <c r="BA47">
        <v>-0.13192000000000009</v>
      </c>
      <c r="BB47">
        <v>6.849999999999995E-3</v>
      </c>
      <c r="BK47">
        <v>41.068744318361823</v>
      </c>
      <c r="BL47">
        <v>0</v>
      </c>
      <c r="BM47">
        <v>41.068744318361823</v>
      </c>
      <c r="BN47">
        <v>0.21496830266459721</v>
      </c>
      <c r="BO47">
        <v>1.2398225972705117</v>
      </c>
      <c r="BP47">
        <v>0.41866999999999999</v>
      </c>
      <c r="BQ47">
        <v>0.3</v>
      </c>
    </row>
    <row r="48" spans="1:69" x14ac:dyDescent="0.25">
      <c r="A48">
        <v>2</v>
      </c>
      <c r="B48">
        <v>5</v>
      </c>
      <c r="C48" t="s">
        <v>432</v>
      </c>
      <c r="D48">
        <v>0.30480000000000002</v>
      </c>
      <c r="E48">
        <v>304.8</v>
      </c>
      <c r="F48">
        <v>7.1399999999999996E-3</v>
      </c>
      <c r="G48">
        <v>7.14</v>
      </c>
      <c r="H48">
        <v>42.689075630252105</v>
      </c>
      <c r="I48">
        <v>30</v>
      </c>
      <c r="J48" t="s">
        <v>118</v>
      </c>
      <c r="K48">
        <v>8</v>
      </c>
      <c r="L48">
        <v>12</v>
      </c>
      <c r="M48">
        <v>414000</v>
      </c>
      <c r="N48">
        <v>517000</v>
      </c>
      <c r="O48">
        <v>2.5466769467238102</v>
      </c>
      <c r="P48" t="s">
        <v>9</v>
      </c>
      <c r="Q48" t="s">
        <v>267</v>
      </c>
      <c r="R48">
        <v>18</v>
      </c>
      <c r="S48">
        <v>37</v>
      </c>
      <c r="T48">
        <v>0</v>
      </c>
      <c r="U48">
        <v>0</v>
      </c>
      <c r="V48">
        <v>0.9</v>
      </c>
      <c r="W48">
        <v>2</v>
      </c>
      <c r="X48">
        <v>22.6439161924208</v>
      </c>
      <c r="Y48">
        <v>1</v>
      </c>
      <c r="Z48">
        <v>1</v>
      </c>
      <c r="AA48">
        <v>0.33251000000000008</v>
      </c>
      <c r="AB48">
        <v>-0.16215999999999997</v>
      </c>
      <c r="AC48">
        <v>0.10449</v>
      </c>
      <c r="AD48">
        <v>-0.37792000000000003</v>
      </c>
      <c r="AE48">
        <v>-0.49608999999999992</v>
      </c>
      <c r="AF48">
        <v>-1.25E-3</v>
      </c>
      <c r="AG48">
        <v>9.0099999999999902E-3</v>
      </c>
      <c r="AH48">
        <v>4.9109769872063475E-2</v>
      </c>
      <c r="AJ48">
        <v>-0.17312087749533284</v>
      </c>
      <c r="AK48">
        <v>0.75</v>
      </c>
      <c r="AN48">
        <v>1</v>
      </c>
      <c r="AO48">
        <v>1</v>
      </c>
      <c r="AP48">
        <v>1</v>
      </c>
      <c r="AQ48">
        <v>1.0319499999999999</v>
      </c>
      <c r="AR48">
        <v>0.16287000000000001</v>
      </c>
      <c r="AS48">
        <v>2.7647700000000004</v>
      </c>
      <c r="AT48">
        <v>1.2999999999999991E-4</v>
      </c>
      <c r="AU48">
        <v>5.074E-2</v>
      </c>
      <c r="AV48">
        <v>-0.69564000000000004</v>
      </c>
      <c r="AW48">
        <v>1.1999999999999999E-4</v>
      </c>
      <c r="AX48">
        <v>0.44705000000000006</v>
      </c>
      <c r="AY48">
        <v>-1.8379999999999997E-2</v>
      </c>
      <c r="AZ48">
        <v>0.22193000000000002</v>
      </c>
      <c r="BA48">
        <v>-0.13192000000000009</v>
      </c>
      <c r="BB48">
        <v>6.849999999999995E-3</v>
      </c>
      <c r="BK48">
        <v>34.14603356810764</v>
      </c>
      <c r="BL48">
        <v>0</v>
      </c>
      <c r="BM48">
        <v>34.14603356810764</v>
      </c>
      <c r="BN48">
        <v>6.357325930252701</v>
      </c>
      <c r="BO48">
        <v>100</v>
      </c>
      <c r="BP48">
        <v>0.41866999999999999</v>
      </c>
      <c r="BQ48">
        <v>0.3</v>
      </c>
    </row>
    <row r="49" spans="1:69" x14ac:dyDescent="0.25">
      <c r="A49">
        <v>3</v>
      </c>
      <c r="B49">
        <v>15</v>
      </c>
      <c r="C49" t="s">
        <v>432</v>
      </c>
      <c r="D49">
        <v>0.40639999999999998</v>
      </c>
      <c r="E49">
        <v>406.4</v>
      </c>
      <c r="F49">
        <v>9.5299999999999985E-3</v>
      </c>
      <c r="G49">
        <v>9.5299999999999994</v>
      </c>
      <c r="H49">
        <v>42.644281217208821</v>
      </c>
      <c r="I49">
        <v>50</v>
      </c>
      <c r="J49" t="s">
        <v>119</v>
      </c>
      <c r="K49">
        <v>14</v>
      </c>
      <c r="L49">
        <v>15</v>
      </c>
      <c r="M49">
        <v>483000</v>
      </c>
      <c r="N49">
        <v>565000</v>
      </c>
      <c r="O49">
        <v>2.8799444073326219</v>
      </c>
      <c r="P49" t="s">
        <v>9</v>
      </c>
      <c r="Q49" t="s">
        <v>267</v>
      </c>
      <c r="R49">
        <v>18</v>
      </c>
      <c r="S49">
        <v>37</v>
      </c>
      <c r="T49">
        <v>0</v>
      </c>
      <c r="U49">
        <v>0</v>
      </c>
      <c r="V49">
        <v>0.9</v>
      </c>
      <c r="W49">
        <v>1</v>
      </c>
      <c r="X49">
        <v>15.095944128280532</v>
      </c>
      <c r="Y49">
        <v>1</v>
      </c>
      <c r="Z49">
        <v>1</v>
      </c>
      <c r="AA49">
        <v>-0.20768999999999993</v>
      </c>
      <c r="AB49">
        <v>-2.7459999999999984E-2</v>
      </c>
      <c r="AC49">
        <v>7.4390000000000012E-2</v>
      </c>
      <c r="AD49">
        <v>-0.15971999999999997</v>
      </c>
      <c r="AE49">
        <v>-0.25248999999999999</v>
      </c>
      <c r="AF49">
        <v>-1.3500000000000001E-3</v>
      </c>
      <c r="AG49">
        <v>3.1809999999999991E-2</v>
      </c>
      <c r="AH49">
        <v>0.20872561173056797</v>
      </c>
      <c r="AJ49">
        <v>-9.4330254571742558E-2</v>
      </c>
      <c r="AK49">
        <v>0.75</v>
      </c>
      <c r="AN49">
        <v>1</v>
      </c>
      <c r="AO49">
        <v>0</v>
      </c>
      <c r="AP49">
        <v>1</v>
      </c>
      <c r="AQ49">
        <v>0.81455</v>
      </c>
      <c r="AR49">
        <v>0.18317</v>
      </c>
      <c r="AS49">
        <v>2.4846700000000004</v>
      </c>
      <c r="AT49">
        <v>-8.7000000000000011E-4</v>
      </c>
      <c r="AU49">
        <v>3.934E-2</v>
      </c>
      <c r="AV49">
        <v>-0.55203999999999998</v>
      </c>
      <c r="AW49">
        <v>3.1999999999999997E-4</v>
      </c>
      <c r="AX49">
        <v>0.57965</v>
      </c>
      <c r="AY49">
        <v>-1.2279999999999999E-2</v>
      </c>
      <c r="AZ49">
        <v>0.14913000000000001</v>
      </c>
      <c r="BA49">
        <v>1.6079999999999983E-2</v>
      </c>
      <c r="BB49">
        <v>3.4049999999999997E-2</v>
      </c>
      <c r="BK49">
        <v>25.312082049561649</v>
      </c>
      <c r="BL49">
        <v>0</v>
      </c>
      <c r="BM49">
        <v>25.312082049561649</v>
      </c>
      <c r="BN49">
        <v>3.3522834801053834</v>
      </c>
      <c r="BO49">
        <v>28.567893436223279</v>
      </c>
      <c r="BP49">
        <v>0.44886999999999999</v>
      </c>
      <c r="BQ49">
        <v>0.3</v>
      </c>
    </row>
    <row r="50" spans="1:69" x14ac:dyDescent="0.25">
      <c r="A50">
        <v>4</v>
      </c>
      <c r="B50">
        <v>15</v>
      </c>
      <c r="C50" t="s">
        <v>432</v>
      </c>
      <c r="D50">
        <v>0.50800000000000001</v>
      </c>
      <c r="E50">
        <v>508</v>
      </c>
      <c r="F50">
        <v>1.1130000000000001E-2</v>
      </c>
      <c r="G50">
        <v>11.13</v>
      </c>
      <c r="H50">
        <v>45.642407906558844</v>
      </c>
      <c r="I50">
        <v>100</v>
      </c>
      <c r="J50" t="s">
        <v>120</v>
      </c>
      <c r="K50">
        <v>15</v>
      </c>
      <c r="L50">
        <v>20</v>
      </c>
      <c r="M50">
        <v>552000</v>
      </c>
      <c r="N50">
        <v>625000</v>
      </c>
      <c r="O50">
        <v>2.9888368774026359</v>
      </c>
      <c r="P50" t="s">
        <v>9</v>
      </c>
      <c r="Q50" t="s">
        <v>267</v>
      </c>
      <c r="R50">
        <v>18</v>
      </c>
      <c r="S50">
        <v>37</v>
      </c>
      <c r="T50">
        <v>0</v>
      </c>
      <c r="U50">
        <v>0</v>
      </c>
      <c r="V50">
        <v>0.9</v>
      </c>
      <c r="W50">
        <v>2</v>
      </c>
      <c r="X50">
        <v>37.739860320701332</v>
      </c>
      <c r="Y50">
        <v>1</v>
      </c>
      <c r="Z50">
        <v>1</v>
      </c>
      <c r="AA50">
        <v>-0.20768999999999993</v>
      </c>
      <c r="AB50">
        <v>-2.7459999999999984E-2</v>
      </c>
      <c r="AC50">
        <v>7.4390000000000012E-2</v>
      </c>
      <c r="AD50">
        <v>-0.15971999999999997</v>
      </c>
      <c r="AE50">
        <v>-0.25248999999999999</v>
      </c>
      <c r="AF50">
        <v>-1.3500000000000001E-3</v>
      </c>
      <c r="AG50">
        <v>3.1809999999999991E-2</v>
      </c>
      <c r="AH50">
        <v>0.25624135946179982</v>
      </c>
      <c r="AJ50">
        <v>-5.359332989807794E-2</v>
      </c>
      <c r="AK50">
        <v>0.75</v>
      </c>
      <c r="AN50">
        <v>1</v>
      </c>
      <c r="AO50">
        <v>0</v>
      </c>
      <c r="AP50">
        <v>1</v>
      </c>
      <c r="AQ50">
        <v>0.81455</v>
      </c>
      <c r="AR50">
        <v>0.18317</v>
      </c>
      <c r="AS50">
        <v>2.4846700000000004</v>
      </c>
      <c r="AT50">
        <v>-8.7000000000000011E-4</v>
      </c>
      <c r="AU50">
        <v>3.934E-2</v>
      </c>
      <c r="AV50">
        <v>-0.55203999999999998</v>
      </c>
      <c r="AW50">
        <v>3.1999999999999997E-4</v>
      </c>
      <c r="AX50">
        <v>0.57965</v>
      </c>
      <c r="AY50">
        <v>-1.2279999999999999E-2</v>
      </c>
      <c r="AZ50">
        <v>0.14913000000000001</v>
      </c>
      <c r="BA50">
        <v>1.6079999999999983E-2</v>
      </c>
      <c r="BB50">
        <v>3.4049999999999997E-2</v>
      </c>
      <c r="BK50">
        <v>27.940757848053224</v>
      </c>
      <c r="BL50">
        <v>0</v>
      </c>
      <c r="BM50">
        <v>27.940757848053224</v>
      </c>
      <c r="BN50">
        <v>3.9949291023077054</v>
      </c>
      <c r="BO50">
        <v>54.321989183611407</v>
      </c>
      <c r="BP50">
        <v>0.44886999999999999</v>
      </c>
      <c r="BQ50">
        <v>0.3</v>
      </c>
    </row>
    <row r="51" spans="1:69" x14ac:dyDescent="0.25">
      <c r="A51">
        <v>5</v>
      </c>
      <c r="B51">
        <v>25</v>
      </c>
      <c r="C51" t="s">
        <v>432</v>
      </c>
      <c r="D51">
        <v>0.60960000000000003</v>
      </c>
      <c r="E51">
        <v>609.6</v>
      </c>
      <c r="F51">
        <v>9.5299999999999985E-3</v>
      </c>
      <c r="G51">
        <v>9.5299999999999994</v>
      </c>
      <c r="H51">
        <v>63.966421825813235</v>
      </c>
      <c r="I51">
        <v>15</v>
      </c>
      <c r="J51" t="s">
        <v>117</v>
      </c>
      <c r="K51">
        <v>8</v>
      </c>
      <c r="L51">
        <v>10</v>
      </c>
      <c r="M51">
        <v>359000</v>
      </c>
      <c r="N51">
        <v>455000</v>
      </c>
      <c r="O51">
        <v>1.9969902892117808</v>
      </c>
      <c r="P51" t="s">
        <v>9</v>
      </c>
      <c r="Q51" t="s">
        <v>268</v>
      </c>
      <c r="R51">
        <v>18.5</v>
      </c>
      <c r="S51">
        <v>40</v>
      </c>
      <c r="T51">
        <v>0</v>
      </c>
      <c r="U51">
        <v>0</v>
      </c>
      <c r="V51">
        <v>0.9</v>
      </c>
      <c r="W51">
        <v>1</v>
      </c>
      <c r="X51">
        <v>25.741129539100392</v>
      </c>
      <c r="Y51">
        <v>1</v>
      </c>
      <c r="Z51">
        <v>1</v>
      </c>
      <c r="AA51">
        <v>-0.74788999999999994</v>
      </c>
      <c r="AB51">
        <v>0.10724</v>
      </c>
      <c r="AC51">
        <v>4.4290000000000003E-2</v>
      </c>
      <c r="AD51">
        <v>5.8479999999999976E-2</v>
      </c>
      <c r="AE51">
        <v>-8.8899999999999535E-3</v>
      </c>
      <c r="AF51">
        <v>-1.4499999999999999E-3</v>
      </c>
      <c r="AG51">
        <v>5.4609999999999992E-2</v>
      </c>
      <c r="AH51">
        <v>0.23066823175938767</v>
      </c>
      <c r="AJ51">
        <v>-0.29793904572462759</v>
      </c>
      <c r="AK51">
        <v>2.75</v>
      </c>
      <c r="AN51">
        <v>0</v>
      </c>
      <c r="AO51">
        <v>1</v>
      </c>
      <c r="AP51">
        <v>1</v>
      </c>
      <c r="AQ51">
        <v>0.59714999999999996</v>
      </c>
      <c r="AR51">
        <v>0.20347000000000001</v>
      </c>
      <c r="AS51">
        <v>2.2045700000000004</v>
      </c>
      <c r="AT51">
        <v>-1.8700000000000001E-3</v>
      </c>
      <c r="AU51">
        <v>2.794E-2</v>
      </c>
      <c r="AV51">
        <v>-0.40844000000000003</v>
      </c>
      <c r="AW51">
        <v>5.2000000000000006E-4</v>
      </c>
      <c r="AX51">
        <v>0.71225000000000005</v>
      </c>
      <c r="AY51">
        <v>-6.1799999999999989E-3</v>
      </c>
      <c r="AZ51">
        <v>7.6330000000000009E-2</v>
      </c>
      <c r="BA51">
        <v>0.16407999999999995</v>
      </c>
      <c r="BB51">
        <v>6.1249999999999999E-2</v>
      </c>
      <c r="BK51">
        <v>0</v>
      </c>
      <c r="BL51">
        <v>-2.6353669770063104</v>
      </c>
      <c r="BM51">
        <v>-2.6353669770063104</v>
      </c>
      <c r="BN51">
        <v>5.1527747579237175</v>
      </c>
      <c r="BO51">
        <v>100</v>
      </c>
      <c r="BP51">
        <v>0.47907</v>
      </c>
      <c r="BQ51">
        <v>0.3</v>
      </c>
    </row>
    <row r="52" spans="1:69" x14ac:dyDescent="0.25">
      <c r="A52">
        <v>6</v>
      </c>
      <c r="B52">
        <v>25</v>
      </c>
      <c r="C52" t="s">
        <v>432</v>
      </c>
      <c r="D52">
        <v>0.76200000000000001</v>
      </c>
      <c r="E52">
        <v>762</v>
      </c>
      <c r="F52">
        <v>1.2699999999999999E-2</v>
      </c>
      <c r="G52">
        <v>12.7</v>
      </c>
      <c r="H52">
        <v>60</v>
      </c>
      <c r="I52">
        <v>30</v>
      </c>
      <c r="J52" t="s">
        <v>118</v>
      </c>
      <c r="K52">
        <v>8</v>
      </c>
      <c r="L52">
        <v>12</v>
      </c>
      <c r="M52">
        <v>414000</v>
      </c>
      <c r="N52">
        <v>517000</v>
      </c>
      <c r="O52">
        <v>2.5466769467238102</v>
      </c>
      <c r="P52" t="s">
        <v>9</v>
      </c>
      <c r="Q52" t="s">
        <v>268</v>
      </c>
      <c r="R52">
        <v>18.5</v>
      </c>
      <c r="S52">
        <v>40</v>
      </c>
      <c r="T52">
        <v>0</v>
      </c>
      <c r="U52">
        <v>0</v>
      </c>
      <c r="V52">
        <v>0.9</v>
      </c>
      <c r="W52">
        <v>2</v>
      </c>
      <c r="X52">
        <v>64.352823847750969</v>
      </c>
      <c r="Y52">
        <v>1</v>
      </c>
      <c r="Z52">
        <v>1</v>
      </c>
      <c r="AA52">
        <v>-0.74788999999999994</v>
      </c>
      <c r="AB52">
        <v>0.10724</v>
      </c>
      <c r="AC52">
        <v>4.4290000000000003E-2</v>
      </c>
      <c r="AD52">
        <v>5.8479999999999976E-2</v>
      </c>
      <c r="AE52">
        <v>-8.8899999999999535E-3</v>
      </c>
      <c r="AF52">
        <v>-1.4499999999999999E-3</v>
      </c>
      <c r="AG52">
        <v>5.4609999999999992E-2</v>
      </c>
      <c r="AH52">
        <v>0.26711903203381682</v>
      </c>
      <c r="AJ52">
        <v>-0.1334455661494785</v>
      </c>
      <c r="AK52">
        <v>3.5</v>
      </c>
      <c r="AN52">
        <v>0</v>
      </c>
      <c r="AO52">
        <v>1</v>
      </c>
      <c r="AP52">
        <v>1</v>
      </c>
      <c r="AQ52">
        <v>0.59714999999999996</v>
      </c>
      <c r="AR52">
        <v>0.20347000000000001</v>
      </c>
      <c r="AS52">
        <v>2.2045700000000004</v>
      </c>
      <c r="AT52">
        <v>-1.8700000000000001E-3</v>
      </c>
      <c r="AU52">
        <v>2.794E-2</v>
      </c>
      <c r="AV52">
        <v>-0.40844000000000003</v>
      </c>
      <c r="AW52">
        <v>5.2000000000000006E-4</v>
      </c>
      <c r="AX52">
        <v>0.71225000000000005</v>
      </c>
      <c r="AY52">
        <v>-6.1799999999999989E-3</v>
      </c>
      <c r="AZ52">
        <v>7.6330000000000009E-2</v>
      </c>
      <c r="BA52">
        <v>0.16407999999999995</v>
      </c>
      <c r="BB52">
        <v>6.1249999999999999E-2</v>
      </c>
      <c r="BK52">
        <v>0</v>
      </c>
      <c r="BL52">
        <v>-1.4755241522406035</v>
      </c>
      <c r="BM52">
        <v>-1.4755241522406035</v>
      </c>
      <c r="BN52">
        <v>8.5655111300705915</v>
      </c>
      <c r="BO52">
        <v>100</v>
      </c>
      <c r="BP52">
        <v>0.47907</v>
      </c>
      <c r="BQ52">
        <v>0.3</v>
      </c>
    </row>
    <row r="53" spans="1:69" x14ac:dyDescent="0.25">
      <c r="A53">
        <v>7</v>
      </c>
      <c r="B53">
        <v>35</v>
      </c>
      <c r="C53" t="s">
        <v>432</v>
      </c>
      <c r="D53">
        <v>0.86360000000000003</v>
      </c>
      <c r="E53">
        <v>863.6</v>
      </c>
      <c r="F53">
        <v>1.1130000000000001E-2</v>
      </c>
      <c r="G53">
        <v>11.13</v>
      </c>
      <c r="H53">
        <v>77.592093441150041</v>
      </c>
      <c r="I53">
        <v>50</v>
      </c>
      <c r="J53" t="s">
        <v>119</v>
      </c>
      <c r="K53">
        <v>14</v>
      </c>
      <c r="L53">
        <v>15</v>
      </c>
      <c r="M53">
        <v>483000</v>
      </c>
      <c r="N53">
        <v>565000</v>
      </c>
      <c r="O53">
        <v>2.8799444073326219</v>
      </c>
      <c r="P53" t="s">
        <v>9</v>
      </c>
      <c r="Q53" t="s">
        <v>268</v>
      </c>
      <c r="R53">
        <v>18.5</v>
      </c>
      <c r="S53">
        <v>40</v>
      </c>
      <c r="T53">
        <v>0</v>
      </c>
      <c r="U53">
        <v>0</v>
      </c>
      <c r="V53">
        <v>0.9</v>
      </c>
      <c r="W53">
        <v>1</v>
      </c>
      <c r="X53">
        <v>36.46660018039222</v>
      </c>
      <c r="Y53">
        <v>1</v>
      </c>
      <c r="Z53">
        <v>1</v>
      </c>
      <c r="AA53">
        <v>-1.28809</v>
      </c>
      <c r="AB53">
        <v>0.24193999999999999</v>
      </c>
      <c r="AC53">
        <v>1.4190000000000001E-2</v>
      </c>
      <c r="AD53">
        <v>0.27667999999999998</v>
      </c>
      <c r="AE53">
        <v>0.23471000000000003</v>
      </c>
      <c r="AF53">
        <v>-1.5499999999999999E-3</v>
      </c>
      <c r="AG53">
        <v>7.7409999999999993E-2</v>
      </c>
      <c r="AH53">
        <v>0.36692386161324281</v>
      </c>
      <c r="AJ53">
        <v>4.650626263587565E-2</v>
      </c>
      <c r="AK53">
        <v>1.5</v>
      </c>
      <c r="AN53">
        <v>0</v>
      </c>
      <c r="AO53">
        <v>0</v>
      </c>
      <c r="AP53">
        <v>1</v>
      </c>
      <c r="AQ53">
        <v>0.37974999999999998</v>
      </c>
      <c r="AR53">
        <v>0.22377</v>
      </c>
      <c r="AS53">
        <v>1.9244700000000001</v>
      </c>
      <c r="AT53">
        <v>-2.8700000000000002E-3</v>
      </c>
      <c r="AU53">
        <v>1.6539999999999999E-2</v>
      </c>
      <c r="AV53">
        <v>-0.26484000000000002</v>
      </c>
      <c r="AW53">
        <v>7.2000000000000005E-4</v>
      </c>
      <c r="AX53">
        <v>0.8448500000000001</v>
      </c>
      <c r="AY53">
        <v>-7.9999999999999342E-5</v>
      </c>
      <c r="AZ53">
        <v>3.5300000000000054E-3</v>
      </c>
      <c r="BA53">
        <v>0.31207999999999997</v>
      </c>
      <c r="BB53">
        <v>8.8450000000000001E-2</v>
      </c>
      <c r="BK53">
        <v>0</v>
      </c>
      <c r="BL53">
        <v>0.40555984414970814</v>
      </c>
      <c r="BM53">
        <v>0.40555984414970814</v>
      </c>
      <c r="BN53">
        <v>8.4202144433962278</v>
      </c>
      <c r="BO53">
        <v>100</v>
      </c>
      <c r="BP53">
        <v>0.50927</v>
      </c>
      <c r="BQ53">
        <v>0.3</v>
      </c>
    </row>
    <row r="54" spans="1:69" x14ac:dyDescent="0.25">
      <c r="A54">
        <v>8</v>
      </c>
      <c r="B54">
        <v>35</v>
      </c>
      <c r="C54" t="s">
        <v>432</v>
      </c>
      <c r="D54">
        <v>1.0668</v>
      </c>
      <c r="E54">
        <v>1066.8</v>
      </c>
      <c r="F54">
        <v>1.2699999999999999E-2</v>
      </c>
      <c r="G54">
        <v>12.7</v>
      </c>
      <c r="H54">
        <v>84</v>
      </c>
      <c r="I54">
        <v>100</v>
      </c>
      <c r="J54" t="s">
        <v>120</v>
      </c>
      <c r="K54">
        <v>15</v>
      </c>
      <c r="L54">
        <v>20</v>
      </c>
      <c r="M54">
        <v>552000</v>
      </c>
      <c r="N54">
        <v>625000</v>
      </c>
      <c r="O54">
        <v>2.9888368774026359</v>
      </c>
      <c r="P54" t="s">
        <v>9</v>
      </c>
      <c r="Q54" t="s">
        <v>270</v>
      </c>
      <c r="R54">
        <v>19</v>
      </c>
      <c r="S54">
        <v>43</v>
      </c>
      <c r="T54">
        <v>0</v>
      </c>
      <c r="U54">
        <v>0</v>
      </c>
      <c r="V54">
        <v>0.9</v>
      </c>
      <c r="W54">
        <v>2</v>
      </c>
      <c r="X54">
        <v>102.03070645435936</v>
      </c>
      <c r="Y54">
        <v>0</v>
      </c>
      <c r="Z54">
        <v>1</v>
      </c>
      <c r="AA54">
        <v>-1.28809</v>
      </c>
      <c r="AB54">
        <v>0.24193999999999999</v>
      </c>
      <c r="AC54">
        <v>1.4190000000000001E-2</v>
      </c>
      <c r="AD54">
        <v>0.27667999999999998</v>
      </c>
      <c r="AE54">
        <v>0.23471000000000003</v>
      </c>
      <c r="AF54">
        <v>-1.5499999999999999E-3</v>
      </c>
      <c r="AG54">
        <v>7.7409999999999993E-2</v>
      </c>
      <c r="AH54">
        <v>0.32485736493917106</v>
      </c>
      <c r="AJ54">
        <v>0.18176610584814756</v>
      </c>
      <c r="AK54">
        <v>1.5</v>
      </c>
      <c r="AN54">
        <v>0</v>
      </c>
      <c r="AO54">
        <v>0</v>
      </c>
      <c r="AP54">
        <v>1</v>
      </c>
      <c r="AQ54">
        <v>0.37974999999999998</v>
      </c>
      <c r="AR54">
        <v>0.22377</v>
      </c>
      <c r="AS54">
        <v>1.9244700000000001</v>
      </c>
      <c r="AT54">
        <v>-2.8700000000000002E-3</v>
      </c>
      <c r="AU54">
        <v>1.6539999999999999E-2</v>
      </c>
      <c r="AV54">
        <v>-0.26484000000000002</v>
      </c>
      <c r="AW54">
        <v>7.2000000000000005E-4</v>
      </c>
      <c r="AX54">
        <v>0.8448500000000001</v>
      </c>
      <c r="AY54">
        <v>-7.9999999999999342E-5</v>
      </c>
      <c r="AZ54">
        <v>3.5300000000000054E-3</v>
      </c>
      <c r="BA54">
        <v>0.31207999999999997</v>
      </c>
      <c r="BB54">
        <v>8.8450000000000001E-2</v>
      </c>
      <c r="BK54">
        <v>0</v>
      </c>
      <c r="BL54">
        <v>0.40884251699905277</v>
      </c>
      <c r="BM54">
        <v>0.40884251699905277</v>
      </c>
      <c r="BN54">
        <v>10.363892230517227</v>
      </c>
      <c r="BO54">
        <v>100</v>
      </c>
      <c r="BP54">
        <v>0.50927</v>
      </c>
      <c r="BQ54">
        <v>0.3</v>
      </c>
    </row>
    <row r="55" spans="1:69" x14ac:dyDescent="0.25">
      <c r="A55">
        <v>9</v>
      </c>
      <c r="B55">
        <v>45</v>
      </c>
      <c r="C55" t="s">
        <v>432</v>
      </c>
      <c r="D55">
        <v>0.60960000000000003</v>
      </c>
      <c r="E55">
        <v>609.6</v>
      </c>
      <c r="F55">
        <v>1.1130000000000001E-2</v>
      </c>
      <c r="G55">
        <v>11.13</v>
      </c>
      <c r="H55">
        <v>54.770889487870619</v>
      </c>
      <c r="I55">
        <v>150</v>
      </c>
      <c r="J55" t="s">
        <v>187</v>
      </c>
      <c r="K55">
        <v>3</v>
      </c>
      <c r="L55">
        <v>9</v>
      </c>
      <c r="M55">
        <v>290000</v>
      </c>
      <c r="N55">
        <v>414000</v>
      </c>
      <c r="O55">
        <v>1.7363704307629526</v>
      </c>
      <c r="P55" t="s">
        <v>9</v>
      </c>
      <c r="Q55" t="s">
        <v>270</v>
      </c>
      <c r="R55">
        <v>19</v>
      </c>
      <c r="S55">
        <v>43</v>
      </c>
      <c r="T55">
        <v>0</v>
      </c>
      <c r="U55">
        <v>0</v>
      </c>
      <c r="V55">
        <v>0.9</v>
      </c>
      <c r="W55">
        <v>1</v>
      </c>
      <c r="X55">
        <v>29.151630415531248</v>
      </c>
      <c r="Y55">
        <v>1</v>
      </c>
      <c r="Z55">
        <v>1</v>
      </c>
      <c r="AA55">
        <v>-1.82829</v>
      </c>
      <c r="AB55">
        <v>0.37666999999999995</v>
      </c>
      <c r="AC55">
        <v>-1.6059999999999963E-2</v>
      </c>
      <c r="AD55">
        <v>0.49517000000000011</v>
      </c>
      <c r="AE55">
        <v>0.47833000000000014</v>
      </c>
      <c r="AF55">
        <v>-1.5299999999999999E-3</v>
      </c>
      <c r="AG55">
        <v>0.10038000000000001</v>
      </c>
      <c r="AH55">
        <v>0.48389973626037236</v>
      </c>
      <c r="AJ55">
        <v>0.32608040702065999</v>
      </c>
      <c r="AK55">
        <v>1.5</v>
      </c>
      <c r="AN55">
        <v>0</v>
      </c>
      <c r="AO55">
        <v>0</v>
      </c>
      <c r="AP55">
        <v>1</v>
      </c>
      <c r="AQ55">
        <v>0.16221999999999992</v>
      </c>
      <c r="AR55">
        <v>0.24419000000000002</v>
      </c>
      <c r="AS55">
        <v>1.6445000000000001</v>
      </c>
      <c r="AT55">
        <v>-3.96E-3</v>
      </c>
      <c r="AU55">
        <v>5.0499999999999989E-3</v>
      </c>
      <c r="AV55">
        <v>-0.12119000000000002</v>
      </c>
      <c r="AW55">
        <v>9.5999999999999992E-4</v>
      </c>
      <c r="AX55">
        <v>0.97758</v>
      </c>
      <c r="AY55">
        <v>6.0400000000000002E-3</v>
      </c>
      <c r="AZ55">
        <v>-6.9119999999999987E-2</v>
      </c>
      <c r="BA55">
        <v>0.46013000000000004</v>
      </c>
      <c r="BB55">
        <v>0.11574000000000001</v>
      </c>
      <c r="BK55">
        <v>0</v>
      </c>
      <c r="BL55">
        <v>0.53003498191559706</v>
      </c>
      <c r="BM55">
        <v>0.53003498191559706</v>
      </c>
      <c r="BN55">
        <v>6.7279221070890927</v>
      </c>
      <c r="BO55">
        <v>100</v>
      </c>
      <c r="BP55">
        <v>0.53956000000000004</v>
      </c>
      <c r="BQ55">
        <v>0.3</v>
      </c>
    </row>
    <row r="56" spans="1:69" x14ac:dyDescent="0.25">
      <c r="A56">
        <v>10</v>
      </c>
      <c r="B56">
        <v>45</v>
      </c>
      <c r="C56" t="s">
        <v>432</v>
      </c>
      <c r="D56">
        <v>0.60960000000000003</v>
      </c>
      <c r="E56">
        <v>609.6</v>
      </c>
      <c r="F56">
        <v>1.1130000000000001E-2</v>
      </c>
      <c r="G56">
        <v>11.13</v>
      </c>
      <c r="H56">
        <v>54.770889487870619</v>
      </c>
      <c r="I56">
        <v>200</v>
      </c>
      <c r="J56" t="s">
        <v>186</v>
      </c>
      <c r="K56">
        <v>3</v>
      </c>
      <c r="L56">
        <v>8</v>
      </c>
      <c r="M56">
        <v>241000</v>
      </c>
      <c r="N56">
        <v>344000</v>
      </c>
      <c r="O56">
        <v>1.1599577949833839</v>
      </c>
      <c r="P56" t="s">
        <v>9</v>
      </c>
      <c r="Q56" t="s">
        <v>270</v>
      </c>
      <c r="R56">
        <v>19</v>
      </c>
      <c r="S56">
        <v>43</v>
      </c>
      <c r="T56">
        <v>0</v>
      </c>
      <c r="U56">
        <v>0</v>
      </c>
      <c r="V56">
        <v>0.9</v>
      </c>
      <c r="W56">
        <v>2</v>
      </c>
      <c r="X56">
        <v>58.303260831062495</v>
      </c>
      <c r="Y56">
        <v>1</v>
      </c>
      <c r="Z56">
        <v>1</v>
      </c>
      <c r="AA56">
        <v>-1.82829</v>
      </c>
      <c r="AB56">
        <v>0.37666999999999995</v>
      </c>
      <c r="AC56">
        <v>-1.6059999999999963E-2</v>
      </c>
      <c r="AD56">
        <v>0.49517000000000011</v>
      </c>
      <c r="AE56">
        <v>0.47833000000000014</v>
      </c>
      <c r="AF56">
        <v>-1.5299999999999999E-3</v>
      </c>
      <c r="AG56">
        <v>0.10038000000000001</v>
      </c>
      <c r="AH56">
        <v>0.47927956217679679</v>
      </c>
      <c r="AJ56">
        <v>0.23854443927911739</v>
      </c>
      <c r="AK56">
        <v>2.75</v>
      </c>
      <c r="AN56">
        <v>0</v>
      </c>
      <c r="AO56">
        <v>0</v>
      </c>
      <c r="AP56">
        <v>1</v>
      </c>
      <c r="AQ56">
        <v>0.16221999999999992</v>
      </c>
      <c r="AR56">
        <v>0.24419000000000002</v>
      </c>
      <c r="AS56">
        <v>1.6445000000000001</v>
      </c>
      <c r="AT56">
        <v>-3.96E-3</v>
      </c>
      <c r="AU56">
        <v>5.0499999999999989E-3</v>
      </c>
      <c r="AV56">
        <v>-0.12119000000000002</v>
      </c>
      <c r="AW56">
        <v>9.5999999999999992E-4</v>
      </c>
      <c r="AX56">
        <v>0.97758</v>
      </c>
      <c r="AY56">
        <v>6.0400000000000002E-3</v>
      </c>
      <c r="AZ56">
        <v>-6.9119999999999987E-2</v>
      </c>
      <c r="BA56">
        <v>0.46013000000000004</v>
      </c>
      <c r="BB56">
        <v>0.11574000000000001</v>
      </c>
      <c r="BK56">
        <v>0</v>
      </c>
      <c r="BL56">
        <v>0.48334392027386414</v>
      </c>
      <c r="BM56">
        <v>0.48334392027386414</v>
      </c>
      <c r="BN56">
        <v>8.1993781228772242</v>
      </c>
      <c r="BO56">
        <v>100</v>
      </c>
      <c r="BP56">
        <v>0.53956000000000004</v>
      </c>
      <c r="BQ56">
        <v>0.3</v>
      </c>
    </row>
    <row r="57" spans="1:69" x14ac:dyDescent="0.25">
      <c r="A57">
        <v>11</v>
      </c>
      <c r="B57">
        <v>55</v>
      </c>
      <c r="C57" t="s">
        <v>432</v>
      </c>
      <c r="D57">
        <v>0.20319999999999999</v>
      </c>
      <c r="E57">
        <v>203.2</v>
      </c>
      <c r="F57">
        <v>5.5599999999999998E-3</v>
      </c>
      <c r="G57">
        <v>5.56</v>
      </c>
      <c r="H57">
        <v>36.546762589928058</v>
      </c>
      <c r="I57">
        <v>15</v>
      </c>
      <c r="J57" t="s">
        <v>117</v>
      </c>
      <c r="K57">
        <v>8</v>
      </c>
      <c r="L57">
        <v>10</v>
      </c>
      <c r="M57">
        <v>359000</v>
      </c>
      <c r="N57">
        <v>455000</v>
      </c>
      <c r="O57">
        <v>1.9969902892117808</v>
      </c>
      <c r="P57" t="s">
        <v>10</v>
      </c>
      <c r="Q57" t="s">
        <v>265</v>
      </c>
      <c r="R57">
        <v>17.5</v>
      </c>
      <c r="S57">
        <v>0</v>
      </c>
      <c r="T57">
        <v>37.5</v>
      </c>
      <c r="U57">
        <v>1.1000000000000001</v>
      </c>
      <c r="V57">
        <v>0.9</v>
      </c>
      <c r="W57">
        <v>0</v>
      </c>
      <c r="X57">
        <v>26.332829622389642</v>
      </c>
      <c r="Y57">
        <v>1</v>
      </c>
      <c r="Z57">
        <v>1</v>
      </c>
      <c r="AA57">
        <v>-1.7547900000000001</v>
      </c>
      <c r="AB57">
        <v>0.42506999999999995</v>
      </c>
      <c r="AC57">
        <v>-0.23455999999999999</v>
      </c>
      <c r="AD57">
        <v>1.0570700000000002</v>
      </c>
      <c r="AE57">
        <v>1.1213299999999999</v>
      </c>
      <c r="AF57">
        <v>-1.5299999999999999E-3</v>
      </c>
      <c r="AG57">
        <v>0.11478000000000001</v>
      </c>
      <c r="AH57">
        <v>0.5189531980668759</v>
      </c>
      <c r="AJ57">
        <v>-0.24474969265248792</v>
      </c>
      <c r="AK57">
        <v>0.75</v>
      </c>
      <c r="AN57">
        <v>1</v>
      </c>
      <c r="AO57">
        <v>1</v>
      </c>
      <c r="AP57">
        <v>0</v>
      </c>
      <c r="AQ57">
        <v>-0.11648000000000003</v>
      </c>
      <c r="AR57">
        <v>0.28029000000000004</v>
      </c>
      <c r="AS57">
        <v>1.7239</v>
      </c>
      <c r="AT57">
        <v>-4.1599999999999996E-3</v>
      </c>
      <c r="AU57">
        <v>1.0749999999999999E-2</v>
      </c>
      <c r="AV57">
        <v>-0.20558999999999999</v>
      </c>
      <c r="AW57">
        <v>1.16E-3</v>
      </c>
      <c r="AX57">
        <v>0.89768000000000003</v>
      </c>
      <c r="AY57">
        <v>-2.0599999999999993E-3</v>
      </c>
      <c r="AZ57">
        <v>-1.6919999999999991E-2</v>
      </c>
      <c r="BA57">
        <v>0.36773</v>
      </c>
      <c r="BB57">
        <v>0.12794</v>
      </c>
      <c r="BK57">
        <v>40.281865760167314</v>
      </c>
      <c r="BL57">
        <v>0</v>
      </c>
      <c r="BM57">
        <v>40.281865760167314</v>
      </c>
      <c r="BN57">
        <v>-0.8372268378997707</v>
      </c>
      <c r="BO57">
        <v>0.43290938824584474</v>
      </c>
      <c r="BP57">
        <v>0.58235999999999999</v>
      </c>
      <c r="BQ57">
        <v>0.3</v>
      </c>
    </row>
    <row r="58" spans="1:69" x14ac:dyDescent="0.25">
      <c r="A58">
        <v>12</v>
      </c>
      <c r="B58">
        <v>55</v>
      </c>
      <c r="C58" t="s">
        <v>432</v>
      </c>
      <c r="D58">
        <v>0.30480000000000002</v>
      </c>
      <c r="E58">
        <v>304.8</v>
      </c>
      <c r="F58">
        <v>7.1399999999999996E-3</v>
      </c>
      <c r="G58">
        <v>7.14</v>
      </c>
      <c r="H58">
        <v>42.689075630252105</v>
      </c>
      <c r="I58">
        <v>30</v>
      </c>
      <c r="J58" t="s">
        <v>118</v>
      </c>
      <c r="K58">
        <v>8</v>
      </c>
      <c r="L58">
        <v>12</v>
      </c>
      <c r="M58">
        <v>414000</v>
      </c>
      <c r="N58">
        <v>517000</v>
      </c>
      <c r="O58">
        <v>2.5466769467238102</v>
      </c>
      <c r="P58" t="s">
        <v>10</v>
      </c>
      <c r="Q58" t="s">
        <v>265</v>
      </c>
      <c r="R58">
        <v>17.5</v>
      </c>
      <c r="S58">
        <v>0</v>
      </c>
      <c r="T58">
        <v>37.5</v>
      </c>
      <c r="U58">
        <v>1.1000000000000001</v>
      </c>
      <c r="V58">
        <v>0.9</v>
      </c>
      <c r="W58">
        <v>0</v>
      </c>
      <c r="X58">
        <v>39.499244433584465</v>
      </c>
      <c r="Y58">
        <v>1</v>
      </c>
      <c r="Z58">
        <v>1</v>
      </c>
      <c r="AA58">
        <v>-1.7547900000000001</v>
      </c>
      <c r="AB58">
        <v>0.42506999999999995</v>
      </c>
      <c r="AC58">
        <v>-0.23455999999999999</v>
      </c>
      <c r="AD58">
        <v>1.0570700000000002</v>
      </c>
      <c r="AE58">
        <v>1.1213299999999999</v>
      </c>
      <c r="AF58">
        <v>-1.5299999999999999E-3</v>
      </c>
      <c r="AG58">
        <v>0.11478000000000001</v>
      </c>
      <c r="AH58">
        <v>0.34697085644303927</v>
      </c>
      <c r="AJ58">
        <v>1.5301632793747411E-2</v>
      </c>
      <c r="AK58">
        <v>0.75</v>
      </c>
      <c r="AN58">
        <v>1</v>
      </c>
      <c r="AO58">
        <v>1</v>
      </c>
      <c r="AP58">
        <v>0</v>
      </c>
      <c r="AQ58">
        <v>-0.11648000000000003</v>
      </c>
      <c r="AR58">
        <v>0.28029000000000004</v>
      </c>
      <c r="AS58">
        <v>1.7239</v>
      </c>
      <c r="AT58">
        <v>-4.1599999999999996E-3</v>
      </c>
      <c r="AU58">
        <v>1.0749999999999999E-2</v>
      </c>
      <c r="AV58">
        <v>-0.20558999999999999</v>
      </c>
      <c r="AW58">
        <v>1.16E-3</v>
      </c>
      <c r="AX58">
        <v>0.89768000000000003</v>
      </c>
      <c r="AY58">
        <v>-2.0599999999999993E-3</v>
      </c>
      <c r="AZ58">
        <v>-1.6919999999999991E-2</v>
      </c>
      <c r="BA58">
        <v>0.36773</v>
      </c>
      <c r="BB58">
        <v>0.12794</v>
      </c>
      <c r="BK58">
        <v>42.853386289425742</v>
      </c>
      <c r="BL58">
        <v>0</v>
      </c>
      <c r="BM58">
        <v>42.853386289425742</v>
      </c>
      <c r="BN58">
        <v>-12.048165063515285</v>
      </c>
      <c r="BO58">
        <v>5.8552898144454252E-6</v>
      </c>
      <c r="BP58">
        <v>0.58235999999999999</v>
      </c>
      <c r="BQ58">
        <v>0.3</v>
      </c>
    </row>
    <row r="59" spans="1:69" x14ac:dyDescent="0.25">
      <c r="A59">
        <v>13</v>
      </c>
      <c r="B59">
        <v>65</v>
      </c>
      <c r="C59" t="s">
        <v>432</v>
      </c>
      <c r="D59">
        <v>0.40639999999999998</v>
      </c>
      <c r="E59">
        <v>406.4</v>
      </c>
      <c r="F59">
        <v>9.5299999999999985E-3</v>
      </c>
      <c r="G59">
        <v>9.5299999999999994</v>
      </c>
      <c r="H59">
        <v>42.644281217208821</v>
      </c>
      <c r="I59">
        <v>50</v>
      </c>
      <c r="J59" t="s">
        <v>119</v>
      </c>
      <c r="K59">
        <v>14</v>
      </c>
      <c r="L59">
        <v>15</v>
      </c>
      <c r="M59">
        <v>483000</v>
      </c>
      <c r="N59">
        <v>565000</v>
      </c>
      <c r="O59">
        <v>2.8799444073326219</v>
      </c>
      <c r="P59" t="s">
        <v>10</v>
      </c>
      <c r="Q59" t="s">
        <v>265</v>
      </c>
      <c r="R59">
        <v>17.5</v>
      </c>
      <c r="S59">
        <v>0</v>
      </c>
      <c r="T59">
        <v>37.5</v>
      </c>
      <c r="U59">
        <v>1.1000000000000001</v>
      </c>
      <c r="V59">
        <v>0.9</v>
      </c>
      <c r="W59">
        <v>0</v>
      </c>
      <c r="X59">
        <v>52.665659244779285</v>
      </c>
      <c r="Y59">
        <v>1</v>
      </c>
      <c r="Z59">
        <v>1</v>
      </c>
      <c r="AA59">
        <v>-1.68129</v>
      </c>
      <c r="AB59">
        <v>0.47346999999999995</v>
      </c>
      <c r="AC59">
        <v>-0.45306000000000002</v>
      </c>
      <c r="AD59">
        <v>1.61897</v>
      </c>
      <c r="AE59">
        <v>1.76433</v>
      </c>
      <c r="AF59">
        <v>-1.5299999999999999E-3</v>
      </c>
      <c r="AG59">
        <v>0.12918000000000002</v>
      </c>
      <c r="AH59">
        <v>-6.5656893101605426E-2</v>
      </c>
      <c r="AJ59">
        <v>0.10148557550114656</v>
      </c>
      <c r="AK59">
        <v>0.75</v>
      </c>
      <c r="AN59">
        <v>1</v>
      </c>
      <c r="AO59">
        <v>0</v>
      </c>
      <c r="AP59">
        <v>0</v>
      </c>
      <c r="AQ59">
        <v>-0.39518000000000003</v>
      </c>
      <c r="AR59">
        <v>0.31639</v>
      </c>
      <c r="AS59">
        <v>1.8033000000000001</v>
      </c>
      <c r="AT59">
        <v>-4.3600000000000002E-3</v>
      </c>
      <c r="AU59">
        <v>1.6449999999999999E-2</v>
      </c>
      <c r="AV59">
        <v>-0.28998999999999997</v>
      </c>
      <c r="AW59">
        <v>1.3599999999999999E-3</v>
      </c>
      <c r="AX59">
        <v>0.81777999999999995</v>
      </c>
      <c r="AY59">
        <v>-1.0159999999999999E-2</v>
      </c>
      <c r="AZ59">
        <v>3.5280000000000006E-2</v>
      </c>
      <c r="BA59">
        <v>0.27533000000000002</v>
      </c>
      <c r="BB59">
        <v>0.14014000000000001</v>
      </c>
      <c r="BK59">
        <v>35.736990388385642</v>
      </c>
      <c r="BL59">
        <v>0</v>
      </c>
      <c r="BM59">
        <v>35.736990388385642</v>
      </c>
      <c r="BN59">
        <v>-13.11548262158774</v>
      </c>
      <c r="BO59">
        <v>2.013808965210175E-6</v>
      </c>
      <c r="BP59">
        <v>0.62516000000000005</v>
      </c>
      <c r="BQ59">
        <v>0.3</v>
      </c>
    </row>
    <row r="60" spans="1:69" x14ac:dyDescent="0.25">
      <c r="A60">
        <v>14</v>
      </c>
      <c r="B60">
        <v>65</v>
      </c>
      <c r="C60" t="s">
        <v>432</v>
      </c>
      <c r="D60">
        <v>0.50800000000000001</v>
      </c>
      <c r="E60">
        <v>508</v>
      </c>
      <c r="F60">
        <v>1.1130000000000001E-2</v>
      </c>
      <c r="G60">
        <v>11.13</v>
      </c>
      <c r="H60">
        <v>45.642407906558844</v>
      </c>
      <c r="I60">
        <v>100</v>
      </c>
      <c r="J60" t="s">
        <v>120</v>
      </c>
      <c r="K60">
        <v>15</v>
      </c>
      <c r="L60">
        <v>20</v>
      </c>
      <c r="M60">
        <v>552000</v>
      </c>
      <c r="N60">
        <v>625000</v>
      </c>
      <c r="O60">
        <v>2.9888368774026359</v>
      </c>
      <c r="P60" t="s">
        <v>10</v>
      </c>
      <c r="Q60" t="s">
        <v>265</v>
      </c>
      <c r="R60">
        <v>17.5</v>
      </c>
      <c r="S60">
        <v>0</v>
      </c>
      <c r="T60">
        <v>37.5</v>
      </c>
      <c r="U60">
        <v>1.1000000000000001</v>
      </c>
      <c r="V60">
        <v>0.9</v>
      </c>
      <c r="W60">
        <v>0</v>
      </c>
      <c r="X60">
        <v>65.832074055974104</v>
      </c>
      <c r="Y60">
        <v>1</v>
      </c>
      <c r="Z60">
        <v>1</v>
      </c>
      <c r="AA60">
        <v>-1.68129</v>
      </c>
      <c r="AB60">
        <v>0.47346999999999995</v>
      </c>
      <c r="AC60">
        <v>-0.45306000000000002</v>
      </c>
      <c r="AD60">
        <v>1.61897</v>
      </c>
      <c r="AE60">
        <v>1.76433</v>
      </c>
      <c r="AF60">
        <v>-1.5299999999999999E-3</v>
      </c>
      <c r="AG60">
        <v>0.12918000000000002</v>
      </c>
      <c r="AH60">
        <v>-0.38428128856079979</v>
      </c>
      <c r="AJ60">
        <v>7.8376375445737612E-2</v>
      </c>
      <c r="AK60">
        <v>0.75</v>
      </c>
      <c r="AN60">
        <v>1</v>
      </c>
      <c r="AO60">
        <v>0</v>
      </c>
      <c r="AP60">
        <v>0</v>
      </c>
      <c r="AQ60">
        <v>-0.39518000000000003</v>
      </c>
      <c r="AR60">
        <v>0.31639</v>
      </c>
      <c r="AS60">
        <v>1.8033000000000001</v>
      </c>
      <c r="AT60">
        <v>-4.3600000000000002E-3</v>
      </c>
      <c r="AU60">
        <v>1.6449999999999999E-2</v>
      </c>
      <c r="AV60">
        <v>-0.28998999999999997</v>
      </c>
      <c r="AW60">
        <v>1.3599999999999999E-3</v>
      </c>
      <c r="AX60">
        <v>0.81777999999999995</v>
      </c>
      <c r="AY60">
        <v>-1.0159999999999999E-2</v>
      </c>
      <c r="AZ60">
        <v>3.5280000000000006E-2</v>
      </c>
      <c r="BA60">
        <v>0.27533000000000002</v>
      </c>
      <c r="BB60">
        <v>0.14014000000000001</v>
      </c>
      <c r="BK60">
        <v>38.405385956046466</v>
      </c>
      <c r="BL60">
        <v>0</v>
      </c>
      <c r="BM60">
        <v>38.405385956046466</v>
      </c>
      <c r="BN60">
        <v>-13.244921266231465</v>
      </c>
      <c r="BO60">
        <v>1.769309383677267E-6</v>
      </c>
      <c r="BP60">
        <v>0.62516000000000005</v>
      </c>
      <c r="BQ60">
        <v>0.3</v>
      </c>
    </row>
    <row r="61" spans="1:69" x14ac:dyDescent="0.25">
      <c r="A61">
        <v>15</v>
      </c>
      <c r="B61">
        <v>75</v>
      </c>
      <c r="C61" t="s">
        <v>432</v>
      </c>
      <c r="D61">
        <v>0.60960000000000003</v>
      </c>
      <c r="E61">
        <v>609.6</v>
      </c>
      <c r="F61">
        <v>9.5299999999999985E-3</v>
      </c>
      <c r="G61">
        <v>9.5299999999999994</v>
      </c>
      <c r="H61">
        <v>63.966421825813235</v>
      </c>
      <c r="I61">
        <v>15</v>
      </c>
      <c r="J61" t="s">
        <v>117</v>
      </c>
      <c r="K61">
        <v>8</v>
      </c>
      <c r="L61">
        <v>10</v>
      </c>
      <c r="M61">
        <v>359000</v>
      </c>
      <c r="N61">
        <v>455000</v>
      </c>
      <c r="O61">
        <v>1.9969902892117808</v>
      </c>
      <c r="P61" t="s">
        <v>10</v>
      </c>
      <c r="Q61" t="s">
        <v>269</v>
      </c>
      <c r="R61">
        <v>18</v>
      </c>
      <c r="S61">
        <v>0</v>
      </c>
      <c r="T61">
        <v>75</v>
      </c>
      <c r="U61">
        <v>0.72</v>
      </c>
      <c r="V61">
        <v>0.9</v>
      </c>
      <c r="W61">
        <v>0</v>
      </c>
      <c r="X61">
        <v>103.41620360793024</v>
      </c>
      <c r="Y61">
        <v>0</v>
      </c>
      <c r="Z61">
        <v>1</v>
      </c>
      <c r="AA61">
        <v>-1.6077900000000001</v>
      </c>
      <c r="AB61">
        <v>0.52186999999999995</v>
      </c>
      <c r="AC61">
        <v>-0.67156000000000005</v>
      </c>
      <c r="AD61">
        <v>2.1808700000000001</v>
      </c>
      <c r="AE61">
        <v>2.40733</v>
      </c>
      <c r="AF61">
        <v>-1.5299999999999999E-3</v>
      </c>
      <c r="AG61">
        <v>0.14358000000000001</v>
      </c>
      <c r="AH61">
        <v>0.64384318155430542</v>
      </c>
      <c r="AJ61">
        <v>0.25076862382905563</v>
      </c>
      <c r="AK61">
        <v>0.75</v>
      </c>
      <c r="AN61">
        <v>1</v>
      </c>
      <c r="AO61">
        <v>1</v>
      </c>
      <c r="AP61">
        <v>0</v>
      </c>
      <c r="AQ61">
        <v>-0.67388000000000003</v>
      </c>
      <c r="AR61">
        <v>0.35249000000000003</v>
      </c>
      <c r="AS61">
        <v>1.8827</v>
      </c>
      <c r="AT61">
        <v>-4.5599999999999998E-3</v>
      </c>
      <c r="AU61">
        <v>2.215E-2</v>
      </c>
      <c r="AV61">
        <v>-0.37439</v>
      </c>
      <c r="AW61">
        <v>1.56E-3</v>
      </c>
      <c r="AX61">
        <v>0.73787999999999998</v>
      </c>
      <c r="AY61">
        <v>-1.8259999999999998E-2</v>
      </c>
      <c r="AZ61">
        <v>8.7480000000000002E-2</v>
      </c>
      <c r="BA61">
        <v>0.18293000000000001</v>
      </c>
      <c r="BB61">
        <v>0.15234</v>
      </c>
      <c r="BK61">
        <v>62.589302246746726</v>
      </c>
      <c r="BL61">
        <v>0</v>
      </c>
      <c r="BM61">
        <v>62.589302246746726</v>
      </c>
      <c r="BN61">
        <v>-32.909353662011384</v>
      </c>
      <c r="BO61">
        <v>5.1009292698127449E-15</v>
      </c>
      <c r="BP61">
        <v>0.66796</v>
      </c>
      <c r="BQ61">
        <v>0.3</v>
      </c>
    </row>
    <row r="62" spans="1:69" x14ac:dyDescent="0.25">
      <c r="A62">
        <v>16</v>
      </c>
      <c r="B62">
        <v>75</v>
      </c>
      <c r="C62" t="s">
        <v>432</v>
      </c>
      <c r="D62">
        <v>0.76200000000000001</v>
      </c>
      <c r="E62">
        <v>762</v>
      </c>
      <c r="F62">
        <v>1.2699999999999999E-2</v>
      </c>
      <c r="G62">
        <v>12.7</v>
      </c>
      <c r="H62">
        <v>60</v>
      </c>
      <c r="I62">
        <v>30</v>
      </c>
      <c r="J62" t="s">
        <v>118</v>
      </c>
      <c r="K62">
        <v>8</v>
      </c>
      <c r="L62">
        <v>12</v>
      </c>
      <c r="M62">
        <v>414000</v>
      </c>
      <c r="N62">
        <v>517000</v>
      </c>
      <c r="O62">
        <v>2.5466769467238102</v>
      </c>
      <c r="P62" t="s">
        <v>10</v>
      </c>
      <c r="Q62" t="s">
        <v>269</v>
      </c>
      <c r="R62">
        <v>18</v>
      </c>
      <c r="S62">
        <v>0</v>
      </c>
      <c r="T62">
        <v>75</v>
      </c>
      <c r="U62">
        <v>0.72</v>
      </c>
      <c r="V62">
        <v>0.9</v>
      </c>
      <c r="W62">
        <v>0</v>
      </c>
      <c r="X62">
        <v>129.2702545099128</v>
      </c>
      <c r="Y62">
        <v>0</v>
      </c>
      <c r="Z62">
        <v>1</v>
      </c>
      <c r="AA62">
        <v>-1.6077900000000001</v>
      </c>
      <c r="AB62">
        <v>0.52186999999999995</v>
      </c>
      <c r="AC62">
        <v>-0.67156000000000005</v>
      </c>
      <c r="AD62">
        <v>2.1808700000000001</v>
      </c>
      <c r="AE62">
        <v>2.40733</v>
      </c>
      <c r="AF62">
        <v>-1.5299999999999999E-3</v>
      </c>
      <c r="AG62">
        <v>0.14358000000000001</v>
      </c>
      <c r="AH62">
        <v>0.18442188637096288</v>
      </c>
      <c r="AJ62">
        <v>0.33958849307099426</v>
      </c>
      <c r="AK62">
        <v>1.5</v>
      </c>
      <c r="AN62">
        <v>0</v>
      </c>
      <c r="AO62">
        <v>1</v>
      </c>
      <c r="AP62">
        <v>0</v>
      </c>
      <c r="AQ62">
        <v>-0.67388000000000003</v>
      </c>
      <c r="AR62">
        <v>0.35249000000000003</v>
      </c>
      <c r="AS62">
        <v>1.8827</v>
      </c>
      <c r="AT62">
        <v>-4.5599999999999998E-3</v>
      </c>
      <c r="AU62">
        <v>2.215E-2</v>
      </c>
      <c r="AV62">
        <v>-0.37439</v>
      </c>
      <c r="AW62">
        <v>1.56E-3</v>
      </c>
      <c r="AX62">
        <v>0.73787999999999998</v>
      </c>
      <c r="AY62">
        <v>-1.8259999999999998E-2</v>
      </c>
      <c r="AZ62">
        <v>8.7480000000000002E-2</v>
      </c>
      <c r="BA62">
        <v>0.18293000000000001</v>
      </c>
      <c r="BB62">
        <v>0.15234</v>
      </c>
      <c r="BK62">
        <v>0</v>
      </c>
      <c r="BL62">
        <v>-1.6254541902421795</v>
      </c>
      <c r="BM62">
        <v>-1.6254541902421795</v>
      </c>
      <c r="BN62">
        <v>0.66225609478652903</v>
      </c>
      <c r="BO62">
        <v>1.9391623370171547</v>
      </c>
      <c r="BP62">
        <v>0.66796</v>
      </c>
      <c r="BQ62">
        <v>0.3</v>
      </c>
    </row>
    <row r="63" spans="1:69" x14ac:dyDescent="0.25">
      <c r="A63">
        <v>17</v>
      </c>
      <c r="B63">
        <v>84.9</v>
      </c>
      <c r="C63" t="s">
        <v>432</v>
      </c>
      <c r="D63">
        <v>0.86360000000000003</v>
      </c>
      <c r="E63">
        <v>863.6</v>
      </c>
      <c r="F63">
        <v>1.1130000000000001E-2</v>
      </c>
      <c r="G63">
        <v>11.13</v>
      </c>
      <c r="H63">
        <v>77.592093441150041</v>
      </c>
      <c r="I63">
        <v>50</v>
      </c>
      <c r="J63" t="s">
        <v>119</v>
      </c>
      <c r="K63">
        <v>14</v>
      </c>
      <c r="L63">
        <v>15</v>
      </c>
      <c r="M63">
        <v>483000</v>
      </c>
      <c r="N63">
        <v>565000</v>
      </c>
      <c r="O63">
        <v>2.8799444073326219</v>
      </c>
      <c r="P63" t="s">
        <v>10</v>
      </c>
      <c r="Q63" t="s">
        <v>269</v>
      </c>
      <c r="R63">
        <v>18</v>
      </c>
      <c r="S63">
        <v>0</v>
      </c>
      <c r="T63">
        <v>75</v>
      </c>
      <c r="U63">
        <v>0.72</v>
      </c>
      <c r="V63">
        <v>0.9</v>
      </c>
      <c r="W63">
        <v>0</v>
      </c>
      <c r="X63">
        <v>146.50628844456784</v>
      </c>
      <c r="Y63">
        <v>0</v>
      </c>
      <c r="Z63">
        <v>1</v>
      </c>
      <c r="AA63">
        <v>-1.5350250000000001</v>
      </c>
      <c r="AB63">
        <v>0.56978600000000001</v>
      </c>
      <c r="AC63">
        <v>-0.88787500000000019</v>
      </c>
      <c r="AD63">
        <v>2.7371510000000003</v>
      </c>
      <c r="AE63">
        <v>3.0439000000000003</v>
      </c>
      <c r="AF63">
        <v>-1.5299999999999999E-3</v>
      </c>
      <c r="AG63">
        <v>0.15783600000000003</v>
      </c>
      <c r="AH63">
        <v>-0.39520332890947518</v>
      </c>
      <c r="AJ63">
        <v>0.27595632332275977</v>
      </c>
      <c r="AK63">
        <v>1.5</v>
      </c>
      <c r="AN63">
        <v>0</v>
      </c>
      <c r="AO63">
        <v>0</v>
      </c>
      <c r="AP63">
        <v>0</v>
      </c>
      <c r="AQ63">
        <v>-0.94979300000000011</v>
      </c>
      <c r="AR63">
        <v>0.38822900000000005</v>
      </c>
      <c r="AS63">
        <v>1.961306</v>
      </c>
      <c r="AT63">
        <v>-4.7580000000000001E-3</v>
      </c>
      <c r="AU63">
        <v>2.7793000000000002E-2</v>
      </c>
      <c r="AV63">
        <v>-0.45794600000000008</v>
      </c>
      <c r="AW63">
        <v>1.758E-3</v>
      </c>
      <c r="AX63">
        <v>0.65877899999999989</v>
      </c>
      <c r="AY63">
        <v>-2.6279000000000004E-2</v>
      </c>
      <c r="AZ63">
        <v>0.13915800000000003</v>
      </c>
      <c r="BA63">
        <v>9.1453999999999952E-2</v>
      </c>
      <c r="BB63">
        <v>0.16441800000000001</v>
      </c>
      <c r="BK63">
        <v>0</v>
      </c>
      <c r="BL63">
        <v>0.23909159079035291</v>
      </c>
      <c r="BM63">
        <v>0.23909159079035291</v>
      </c>
      <c r="BN63">
        <v>0.770536573923847</v>
      </c>
      <c r="BO63">
        <v>2.1609254390047696</v>
      </c>
      <c r="BP63">
        <v>0.71033199999999996</v>
      </c>
      <c r="BQ63">
        <v>0.3</v>
      </c>
    </row>
    <row r="64" spans="1:69" x14ac:dyDescent="0.25">
      <c r="A64">
        <v>18</v>
      </c>
      <c r="B64">
        <v>84.9</v>
      </c>
      <c r="C64" t="s">
        <v>432</v>
      </c>
      <c r="D64">
        <v>1.0668</v>
      </c>
      <c r="E64">
        <v>1066.8</v>
      </c>
      <c r="F64">
        <v>1.2699999999999999E-2</v>
      </c>
      <c r="G64">
        <v>12.7</v>
      </c>
      <c r="H64">
        <v>84</v>
      </c>
      <c r="I64">
        <v>100</v>
      </c>
      <c r="J64" t="s">
        <v>120</v>
      </c>
      <c r="K64">
        <v>15</v>
      </c>
      <c r="L64">
        <v>20</v>
      </c>
      <c r="M64">
        <v>552000</v>
      </c>
      <c r="N64">
        <v>625000</v>
      </c>
      <c r="O64">
        <v>2.9888368774026359</v>
      </c>
      <c r="P64" t="s">
        <v>10</v>
      </c>
      <c r="Q64" t="s">
        <v>266</v>
      </c>
      <c r="R64">
        <v>18.5</v>
      </c>
      <c r="S64">
        <v>0</v>
      </c>
      <c r="T64">
        <v>125</v>
      </c>
      <c r="U64">
        <v>0.4</v>
      </c>
      <c r="V64">
        <v>0.9</v>
      </c>
      <c r="W64">
        <v>0</v>
      </c>
      <c r="X64">
        <v>167.57255214247957</v>
      </c>
      <c r="Y64">
        <v>0</v>
      </c>
      <c r="Z64">
        <v>1</v>
      </c>
      <c r="AA64">
        <v>-1.5350250000000001</v>
      </c>
      <c r="AB64">
        <v>0.56978600000000001</v>
      </c>
      <c r="AC64">
        <v>-0.88787500000000019</v>
      </c>
      <c r="AD64">
        <v>2.7371510000000003</v>
      </c>
      <c r="AE64">
        <v>3.0439000000000003</v>
      </c>
      <c r="AF64">
        <v>-1.5299999999999999E-3</v>
      </c>
      <c r="AG64">
        <v>0.15783600000000003</v>
      </c>
      <c r="AH64">
        <v>-1.0204354788841776</v>
      </c>
      <c r="AJ64">
        <v>-2.8322293060942361E-2</v>
      </c>
      <c r="AK64">
        <v>1.5</v>
      </c>
      <c r="AN64">
        <v>0</v>
      </c>
      <c r="AO64">
        <v>0</v>
      </c>
      <c r="AP64">
        <v>0</v>
      </c>
      <c r="AQ64">
        <v>-0.94979300000000011</v>
      </c>
      <c r="AR64">
        <v>0.38822900000000005</v>
      </c>
      <c r="AS64">
        <v>1.961306</v>
      </c>
      <c r="AT64">
        <v>-4.7580000000000001E-3</v>
      </c>
      <c r="AU64">
        <v>2.7793000000000002E-2</v>
      </c>
      <c r="AV64">
        <v>-0.45794600000000008</v>
      </c>
      <c r="AW64">
        <v>1.758E-3</v>
      </c>
      <c r="AX64">
        <v>0.65877899999999989</v>
      </c>
      <c r="AY64">
        <v>-2.6279000000000004E-2</v>
      </c>
      <c r="AZ64">
        <v>0.13915800000000003</v>
      </c>
      <c r="BA64">
        <v>9.1453999999999952E-2</v>
      </c>
      <c r="BB64">
        <v>0.16441800000000001</v>
      </c>
      <c r="BK64">
        <v>0</v>
      </c>
      <c r="BL64">
        <v>0.24519368807179495</v>
      </c>
      <c r="BM64">
        <v>0.24519368807179495</v>
      </c>
      <c r="BN64">
        <v>0.87674050772987344</v>
      </c>
      <c r="BO64">
        <v>2.4030541906052498</v>
      </c>
      <c r="BP64">
        <v>0.71033199999999996</v>
      </c>
      <c r="BQ64">
        <v>0.3</v>
      </c>
    </row>
    <row r="65" spans="1:69" x14ac:dyDescent="0.25">
      <c r="A65">
        <v>19</v>
      </c>
      <c r="B65">
        <v>50</v>
      </c>
      <c r="C65" t="s">
        <v>432</v>
      </c>
      <c r="D65">
        <v>0.60960000000000003</v>
      </c>
      <c r="E65">
        <v>609.6</v>
      </c>
      <c r="F65">
        <v>1.1130000000000001E-2</v>
      </c>
      <c r="G65">
        <v>11.13</v>
      </c>
      <c r="H65">
        <v>54.770889487870619</v>
      </c>
      <c r="I65">
        <v>150</v>
      </c>
      <c r="J65" t="s">
        <v>187</v>
      </c>
      <c r="K65">
        <v>3</v>
      </c>
      <c r="L65">
        <v>9</v>
      </c>
      <c r="M65">
        <v>290000</v>
      </c>
      <c r="N65">
        <v>414000</v>
      </c>
      <c r="O65">
        <v>1.7363704307629526</v>
      </c>
      <c r="P65" t="s">
        <v>10</v>
      </c>
      <c r="Q65" t="s">
        <v>266</v>
      </c>
      <c r="R65">
        <v>18.5</v>
      </c>
      <c r="S65">
        <v>0</v>
      </c>
      <c r="T65">
        <v>125</v>
      </c>
      <c r="U65">
        <v>0.4</v>
      </c>
      <c r="V65">
        <v>0.9</v>
      </c>
      <c r="W65">
        <v>0</v>
      </c>
      <c r="X65">
        <v>95.755744081416907</v>
      </c>
      <c r="Y65">
        <v>0</v>
      </c>
      <c r="Z65">
        <v>1</v>
      </c>
      <c r="AA65">
        <v>-1.7915400000000001</v>
      </c>
      <c r="AB65">
        <v>0.40086999999999995</v>
      </c>
      <c r="AC65">
        <v>-0.12531000000000003</v>
      </c>
      <c r="AD65">
        <v>0.77612000000000014</v>
      </c>
      <c r="AE65">
        <v>0.79983000000000004</v>
      </c>
      <c r="AF65">
        <v>-1.5299999999999999E-3</v>
      </c>
      <c r="AG65">
        <v>0.10758000000000001</v>
      </c>
      <c r="AH65">
        <v>0.24114783038035603</v>
      </c>
      <c r="AJ65">
        <v>0.35013801373668363</v>
      </c>
      <c r="AK65">
        <v>7.5</v>
      </c>
      <c r="AN65">
        <v>0</v>
      </c>
      <c r="AO65">
        <v>0</v>
      </c>
      <c r="AP65">
        <v>0</v>
      </c>
      <c r="AQ65">
        <v>2.2869999999999946E-2</v>
      </c>
      <c r="AR65">
        <v>0.26224000000000003</v>
      </c>
      <c r="AS65">
        <v>1.6842000000000001</v>
      </c>
      <c r="AT65">
        <v>-4.0599999999999994E-3</v>
      </c>
      <c r="AU65">
        <v>7.9000000000000008E-3</v>
      </c>
      <c r="AV65">
        <v>-0.16339000000000001</v>
      </c>
      <c r="AW65">
        <v>1.06E-3</v>
      </c>
      <c r="AX65">
        <v>0.93762999999999996</v>
      </c>
      <c r="AY65">
        <v>1.9899999999999987E-3</v>
      </c>
      <c r="AZ65">
        <v>-4.3020000000000003E-2</v>
      </c>
      <c r="BA65">
        <v>0.41393000000000002</v>
      </c>
      <c r="BB65">
        <v>0.12184</v>
      </c>
      <c r="BK65">
        <v>0</v>
      </c>
      <c r="BL65">
        <v>0.48315094346463056</v>
      </c>
      <c r="BM65">
        <v>0.48315094346463056</v>
      </c>
      <c r="BN65">
        <v>1.8769911576466645</v>
      </c>
      <c r="BO65">
        <v>6.5338160343423519</v>
      </c>
      <c r="BP65">
        <v>0.56096000000000001</v>
      </c>
      <c r="BQ65">
        <v>0.3</v>
      </c>
    </row>
    <row r="66" spans="1:69" x14ac:dyDescent="0.25">
      <c r="A66">
        <v>20</v>
      </c>
      <c r="B66">
        <v>50</v>
      </c>
      <c r="C66" t="s">
        <v>432</v>
      </c>
      <c r="D66">
        <v>0.60960000000000003</v>
      </c>
      <c r="E66">
        <v>609.6</v>
      </c>
      <c r="F66">
        <v>1.1130000000000001E-2</v>
      </c>
      <c r="G66">
        <v>11.13</v>
      </c>
      <c r="H66">
        <v>54.770889487870619</v>
      </c>
      <c r="I66">
        <v>200</v>
      </c>
      <c r="J66" t="s">
        <v>186</v>
      </c>
      <c r="K66">
        <v>3</v>
      </c>
      <c r="L66">
        <v>8</v>
      </c>
      <c r="M66">
        <v>241000</v>
      </c>
      <c r="N66">
        <v>344000</v>
      </c>
      <c r="O66">
        <v>1.1599577949833839</v>
      </c>
      <c r="P66" t="s">
        <v>10</v>
      </c>
      <c r="Q66" t="s">
        <v>266</v>
      </c>
      <c r="R66">
        <v>18.5</v>
      </c>
      <c r="S66">
        <v>0</v>
      </c>
      <c r="T66">
        <v>125</v>
      </c>
      <c r="U66">
        <v>0.4</v>
      </c>
      <c r="V66">
        <v>0.9</v>
      </c>
      <c r="W66">
        <v>0</v>
      </c>
      <c r="X66">
        <v>95.755744081416907</v>
      </c>
      <c r="Y66">
        <v>0</v>
      </c>
      <c r="Z66">
        <v>1</v>
      </c>
      <c r="AA66">
        <v>-1.7915400000000001</v>
      </c>
      <c r="AB66">
        <v>0.40086999999999995</v>
      </c>
      <c r="AC66">
        <v>-0.12531000000000003</v>
      </c>
      <c r="AD66">
        <v>0.77612000000000014</v>
      </c>
      <c r="AE66">
        <v>0.79983000000000004</v>
      </c>
      <c r="AF66">
        <v>-1.5299999999999999E-3</v>
      </c>
      <c r="AG66">
        <v>0.10758000000000001</v>
      </c>
      <c r="AH66">
        <v>0.20509838988142337</v>
      </c>
      <c r="AJ66">
        <v>0.36282972444334716</v>
      </c>
      <c r="AK66">
        <v>3.5</v>
      </c>
      <c r="AN66">
        <v>0</v>
      </c>
      <c r="AO66">
        <v>0</v>
      </c>
      <c r="AP66">
        <v>0</v>
      </c>
      <c r="AQ66">
        <v>2.2869999999999946E-2</v>
      </c>
      <c r="AR66">
        <v>0.26224000000000003</v>
      </c>
      <c r="AS66">
        <v>1.6842000000000001</v>
      </c>
      <c r="AT66">
        <v>-4.0599999999999994E-3</v>
      </c>
      <c r="AU66">
        <v>7.9000000000000008E-3</v>
      </c>
      <c r="AV66">
        <v>-0.16339000000000001</v>
      </c>
      <c r="AW66">
        <v>1.06E-3</v>
      </c>
      <c r="AX66">
        <v>0.93762999999999996</v>
      </c>
      <c r="AY66">
        <v>1.9899999999999987E-3</v>
      </c>
      <c r="AZ66">
        <v>-4.3020000000000003E-2</v>
      </c>
      <c r="BA66">
        <v>0.41393000000000002</v>
      </c>
      <c r="BB66">
        <v>0.12184</v>
      </c>
      <c r="BK66">
        <v>0</v>
      </c>
      <c r="BL66">
        <v>0.43399906036087438</v>
      </c>
      <c r="BM66">
        <v>0.43399906036087438</v>
      </c>
      <c r="BN66">
        <v>1.4588885656641277</v>
      </c>
      <c r="BO66">
        <v>4.3011763956378672</v>
      </c>
      <c r="BP66">
        <v>0.56096000000000001</v>
      </c>
      <c r="BQ66">
        <v>0.3</v>
      </c>
    </row>
    <row r="67" spans="1:69" x14ac:dyDescent="0.25">
      <c r="A67">
        <v>21</v>
      </c>
      <c r="B67">
        <v>86</v>
      </c>
      <c r="C67" t="s">
        <v>433</v>
      </c>
      <c r="D67">
        <v>0.20319999999999999</v>
      </c>
      <c r="E67">
        <v>203.2</v>
      </c>
      <c r="F67">
        <v>5.5599999999999998E-3</v>
      </c>
      <c r="G67">
        <v>5.56</v>
      </c>
      <c r="H67">
        <v>36.546762589928058</v>
      </c>
      <c r="I67">
        <v>15</v>
      </c>
      <c r="J67" t="s">
        <v>117</v>
      </c>
      <c r="K67">
        <v>8</v>
      </c>
      <c r="L67">
        <v>10</v>
      </c>
      <c r="M67">
        <v>359000</v>
      </c>
      <c r="N67">
        <v>455000</v>
      </c>
      <c r="O67">
        <v>1.9969902892117808</v>
      </c>
      <c r="P67" t="s">
        <v>9</v>
      </c>
      <c r="Q67" t="s">
        <v>267</v>
      </c>
      <c r="R67">
        <v>18</v>
      </c>
      <c r="S67">
        <v>37</v>
      </c>
      <c r="T67">
        <v>0</v>
      </c>
      <c r="U67">
        <v>0</v>
      </c>
      <c r="V67">
        <v>0.9</v>
      </c>
      <c r="W67">
        <v>1</v>
      </c>
      <c r="X67">
        <v>7.5479720641402661</v>
      </c>
      <c r="AH67">
        <v>8.2856107139974745E-3</v>
      </c>
      <c r="AI67">
        <v>1.5646389426880153E-2</v>
      </c>
      <c r="AJ67">
        <v>1.0156463894268801</v>
      </c>
      <c r="AK67">
        <v>0.75</v>
      </c>
      <c r="AL67">
        <v>1</v>
      </c>
      <c r="AM67">
        <v>0</v>
      </c>
      <c r="AP67">
        <v>1</v>
      </c>
      <c r="AQ67">
        <v>-2.307229</v>
      </c>
      <c r="AR67">
        <v>0.5852366</v>
      </c>
      <c r="AS67">
        <v>0.201322</v>
      </c>
      <c r="BC67">
        <v>1.4274935</v>
      </c>
      <c r="BD67">
        <v>-7.1050000000000002E-3</v>
      </c>
      <c r="BE67">
        <v>5.1415999999999996E-3</v>
      </c>
      <c r="BF67">
        <v>-1.4290590000000001</v>
      </c>
      <c r="BG67">
        <v>4.9200300000000002E-2</v>
      </c>
      <c r="BH67">
        <v>0.14513599999999999</v>
      </c>
      <c r="BI67">
        <v>2.0170299999999999E-2</v>
      </c>
      <c r="BJ67">
        <v>-1.032025</v>
      </c>
      <c r="BK67">
        <v>-0.47373050310383741</v>
      </c>
      <c r="BL67">
        <v>0</v>
      </c>
      <c r="BM67">
        <v>-0.47373050310383741</v>
      </c>
      <c r="BN67">
        <v>-0.14957085894174343</v>
      </c>
      <c r="BO67">
        <v>0.86107742082312089</v>
      </c>
      <c r="BP67">
        <v>0.72299999999999998</v>
      </c>
      <c r="BQ67">
        <v>0.3</v>
      </c>
    </row>
    <row r="68" spans="1:69" x14ac:dyDescent="0.25">
      <c r="A68">
        <v>22</v>
      </c>
      <c r="B68">
        <v>87</v>
      </c>
      <c r="C68" t="s">
        <v>433</v>
      </c>
      <c r="D68">
        <v>0.30480000000000002</v>
      </c>
      <c r="E68">
        <v>304.8</v>
      </c>
      <c r="F68">
        <v>7.1399999999999996E-3</v>
      </c>
      <c r="G68">
        <v>7.14</v>
      </c>
      <c r="H68">
        <v>42.689075630252105</v>
      </c>
      <c r="I68">
        <v>30</v>
      </c>
      <c r="J68" t="s">
        <v>118</v>
      </c>
      <c r="K68">
        <v>8</v>
      </c>
      <c r="L68">
        <v>12</v>
      </c>
      <c r="M68">
        <v>414000</v>
      </c>
      <c r="N68">
        <v>517000</v>
      </c>
      <c r="O68">
        <v>2.5466769467238102</v>
      </c>
      <c r="P68" t="s">
        <v>9</v>
      </c>
      <c r="Q68" t="s">
        <v>267</v>
      </c>
      <c r="R68">
        <v>18</v>
      </c>
      <c r="S68">
        <v>37</v>
      </c>
      <c r="T68">
        <v>0</v>
      </c>
      <c r="U68">
        <v>0</v>
      </c>
      <c r="V68">
        <v>0.9</v>
      </c>
      <c r="W68">
        <v>2</v>
      </c>
      <c r="X68">
        <v>22.6439161924208</v>
      </c>
      <c r="AH68">
        <v>2.1276810678546657E-2</v>
      </c>
      <c r="AI68">
        <v>0.10176623528675607</v>
      </c>
      <c r="AJ68">
        <v>1.1017662352867561</v>
      </c>
      <c r="AK68">
        <v>0.75</v>
      </c>
      <c r="AL68">
        <v>1</v>
      </c>
      <c r="AM68">
        <v>0</v>
      </c>
      <c r="AP68">
        <v>1</v>
      </c>
      <c r="AQ68">
        <v>-2.307229</v>
      </c>
      <c r="AR68">
        <v>0.5852366</v>
      </c>
      <c r="AS68">
        <v>0.201322</v>
      </c>
      <c r="BC68">
        <v>1.4274935</v>
      </c>
      <c r="BD68">
        <v>-7.1050000000000002E-3</v>
      </c>
      <c r="BE68">
        <v>5.1415999999999996E-3</v>
      </c>
      <c r="BF68">
        <v>-1.4290590000000001</v>
      </c>
      <c r="BG68">
        <v>4.9200300000000002E-2</v>
      </c>
      <c r="BH68">
        <v>0.14513599999999999</v>
      </c>
      <c r="BI68">
        <v>2.0170299999999999E-2</v>
      </c>
      <c r="BJ68">
        <v>-1.032025</v>
      </c>
      <c r="BK68">
        <v>-0.57875859530607965</v>
      </c>
      <c r="BL68">
        <v>0</v>
      </c>
      <c r="BM68">
        <v>-0.57875859530607965</v>
      </c>
      <c r="BN68">
        <v>8.374965841113402E-2</v>
      </c>
      <c r="BO68">
        <v>1.0873566491419566</v>
      </c>
      <c r="BP68">
        <v>0.72299999999999998</v>
      </c>
      <c r="BQ68">
        <v>0.3</v>
      </c>
    </row>
    <row r="69" spans="1:69" x14ac:dyDescent="0.25">
      <c r="A69">
        <v>23</v>
      </c>
      <c r="B69">
        <v>88</v>
      </c>
      <c r="C69" t="s">
        <v>433</v>
      </c>
      <c r="D69">
        <v>0.40639999999999998</v>
      </c>
      <c r="E69">
        <v>406.4</v>
      </c>
      <c r="F69">
        <v>9.5299999999999985E-3</v>
      </c>
      <c r="G69">
        <v>9.5299999999999994</v>
      </c>
      <c r="H69">
        <v>42.644281217208821</v>
      </c>
      <c r="I69">
        <v>50</v>
      </c>
      <c r="J69" t="s">
        <v>119</v>
      </c>
      <c r="K69">
        <v>14</v>
      </c>
      <c r="L69">
        <v>15</v>
      </c>
      <c r="M69">
        <v>483000</v>
      </c>
      <c r="N69">
        <v>565000</v>
      </c>
      <c r="O69">
        <v>2.8799444073326219</v>
      </c>
      <c r="P69" t="s">
        <v>9</v>
      </c>
      <c r="Q69" t="s">
        <v>267</v>
      </c>
      <c r="R69">
        <v>18</v>
      </c>
      <c r="S69">
        <v>37</v>
      </c>
      <c r="T69">
        <v>0</v>
      </c>
      <c r="U69">
        <v>0</v>
      </c>
      <c r="V69">
        <v>0.9</v>
      </c>
      <c r="W69">
        <v>1</v>
      </c>
      <c r="X69">
        <v>15.095944128280532</v>
      </c>
      <c r="AH69">
        <v>1.5549115655496644E-2</v>
      </c>
      <c r="AI69">
        <v>0.10682672704917365</v>
      </c>
      <c r="AJ69">
        <v>1.1068267270491736</v>
      </c>
      <c r="AK69">
        <v>0.75</v>
      </c>
      <c r="AL69">
        <v>1</v>
      </c>
      <c r="AM69">
        <v>0</v>
      </c>
      <c r="AP69">
        <v>1</v>
      </c>
      <c r="AQ69">
        <v>-2.307229</v>
      </c>
      <c r="AR69">
        <v>0.5852366</v>
      </c>
      <c r="AS69">
        <v>0.201322</v>
      </c>
      <c r="BC69">
        <v>1.4274935</v>
      </c>
      <c r="BD69">
        <v>-7.1050000000000002E-3</v>
      </c>
      <c r="BE69">
        <v>5.1415999999999996E-3</v>
      </c>
      <c r="BF69">
        <v>-1.4290590000000001</v>
      </c>
      <c r="BG69">
        <v>4.9200300000000002E-2</v>
      </c>
      <c r="BH69">
        <v>0.14513599999999999</v>
      </c>
      <c r="BI69">
        <v>2.0170299999999999E-2</v>
      </c>
      <c r="BJ69">
        <v>-1.032025</v>
      </c>
      <c r="BK69">
        <v>-0.60734497651924468</v>
      </c>
      <c r="BL69">
        <v>0</v>
      </c>
      <c r="BM69">
        <v>-0.60734497651924468</v>
      </c>
      <c r="BN69">
        <v>-1.9933595677024019E-2</v>
      </c>
      <c r="BO69">
        <v>0.9802637648971958</v>
      </c>
      <c r="BP69">
        <v>0.72299999999999998</v>
      </c>
      <c r="BQ69">
        <v>0.3</v>
      </c>
    </row>
    <row r="70" spans="1:69" x14ac:dyDescent="0.25">
      <c r="A70">
        <v>24</v>
      </c>
      <c r="B70">
        <v>89</v>
      </c>
      <c r="C70" t="s">
        <v>433</v>
      </c>
      <c r="D70">
        <v>0.50800000000000001</v>
      </c>
      <c r="E70">
        <v>508</v>
      </c>
      <c r="F70">
        <v>1.1130000000000001E-2</v>
      </c>
      <c r="G70">
        <v>11.13</v>
      </c>
      <c r="H70">
        <v>45.642407906558844</v>
      </c>
      <c r="I70">
        <v>100</v>
      </c>
      <c r="J70" t="s">
        <v>120</v>
      </c>
      <c r="K70">
        <v>15</v>
      </c>
      <c r="L70">
        <v>20</v>
      </c>
      <c r="M70">
        <v>552000</v>
      </c>
      <c r="N70">
        <v>625000</v>
      </c>
      <c r="O70">
        <v>2.9888368774026359</v>
      </c>
      <c r="P70" t="s">
        <v>9</v>
      </c>
      <c r="Q70" t="s">
        <v>267</v>
      </c>
      <c r="R70">
        <v>18</v>
      </c>
      <c r="S70">
        <v>37</v>
      </c>
      <c r="T70">
        <v>0</v>
      </c>
      <c r="U70">
        <v>0</v>
      </c>
      <c r="V70">
        <v>0.9</v>
      </c>
      <c r="W70">
        <v>2</v>
      </c>
      <c r="X70">
        <v>37.739860320701332</v>
      </c>
      <c r="AH70">
        <v>3.4007223585342139E-2</v>
      </c>
      <c r="AI70">
        <v>0.21447307251904243</v>
      </c>
      <c r="AJ70">
        <v>1.7144730725190425</v>
      </c>
      <c r="AK70">
        <v>0.75</v>
      </c>
      <c r="AL70">
        <v>1</v>
      </c>
      <c r="AM70">
        <v>0</v>
      </c>
      <c r="AP70">
        <v>1</v>
      </c>
      <c r="AQ70">
        <v>-2.307229</v>
      </c>
      <c r="AR70">
        <v>0.5852366</v>
      </c>
      <c r="AS70">
        <v>0.201322</v>
      </c>
      <c r="BC70">
        <v>1.4274935</v>
      </c>
      <c r="BD70">
        <v>-7.1050000000000002E-3</v>
      </c>
      <c r="BE70">
        <v>5.1415999999999996E-3</v>
      </c>
      <c r="BF70">
        <v>-1.4290590000000001</v>
      </c>
      <c r="BG70">
        <v>4.9200300000000002E-2</v>
      </c>
      <c r="BH70">
        <v>0.14513599999999999</v>
      </c>
      <c r="BI70">
        <v>2.0170299999999999E-2</v>
      </c>
      <c r="BJ70">
        <v>-1.032025</v>
      </c>
      <c r="BK70">
        <v>-0.70001772829745168</v>
      </c>
      <c r="BL70">
        <v>0</v>
      </c>
      <c r="BM70">
        <v>-0.70001772829745168</v>
      </c>
      <c r="BN70">
        <v>0.13479469944695044</v>
      </c>
      <c r="BO70">
        <v>1.1443018344350007</v>
      </c>
      <c r="BP70">
        <v>0.72299999999999998</v>
      </c>
      <c r="BQ70">
        <v>0.3</v>
      </c>
    </row>
    <row r="71" spans="1:69" x14ac:dyDescent="0.25">
      <c r="A71">
        <v>25</v>
      </c>
      <c r="B71">
        <v>90</v>
      </c>
      <c r="C71" t="s">
        <v>433</v>
      </c>
      <c r="D71">
        <v>0.60960000000000003</v>
      </c>
      <c r="E71">
        <v>609.6</v>
      </c>
      <c r="F71">
        <v>9.5299999999999985E-3</v>
      </c>
      <c r="G71">
        <v>9.5299999999999994</v>
      </c>
      <c r="H71">
        <v>63.966421825813235</v>
      </c>
      <c r="I71">
        <v>15</v>
      </c>
      <c r="J71" t="s">
        <v>117</v>
      </c>
      <c r="K71">
        <v>8</v>
      </c>
      <c r="L71">
        <v>10</v>
      </c>
      <c r="M71">
        <v>359000</v>
      </c>
      <c r="N71">
        <v>455000</v>
      </c>
      <c r="O71">
        <v>1.9969902892117808</v>
      </c>
      <c r="P71" t="s">
        <v>9</v>
      </c>
      <c r="Q71" t="s">
        <v>268</v>
      </c>
      <c r="R71">
        <v>18.5</v>
      </c>
      <c r="S71">
        <v>40</v>
      </c>
      <c r="T71">
        <v>0</v>
      </c>
      <c r="U71">
        <v>0</v>
      </c>
      <c r="V71">
        <v>0.9</v>
      </c>
      <c r="W71">
        <v>1</v>
      </c>
      <c r="X71">
        <v>25.741129539100392</v>
      </c>
      <c r="AH71">
        <v>2.3022068268715178E-2</v>
      </c>
      <c r="AI71">
        <v>8.1563860325678486E-2</v>
      </c>
      <c r="AJ71">
        <v>1.0815638603256785</v>
      </c>
      <c r="AK71">
        <v>2.75</v>
      </c>
      <c r="AL71">
        <v>0</v>
      </c>
      <c r="AM71">
        <v>0</v>
      </c>
      <c r="AP71">
        <v>1</v>
      </c>
      <c r="AQ71">
        <v>-2.307229</v>
      </c>
      <c r="AR71">
        <v>0.5852366</v>
      </c>
      <c r="AS71">
        <v>0.201322</v>
      </c>
      <c r="BC71">
        <v>1.4274935</v>
      </c>
      <c r="BD71">
        <v>-7.1050000000000002E-3</v>
      </c>
      <c r="BE71">
        <v>5.1415999999999996E-3</v>
      </c>
      <c r="BF71">
        <v>-1.4290590000000001</v>
      </c>
      <c r="BG71">
        <v>4.9200300000000002E-2</v>
      </c>
      <c r="BH71">
        <v>0.14513599999999999</v>
      </c>
      <c r="BI71">
        <v>2.0170299999999999E-2</v>
      </c>
      <c r="BJ71">
        <v>-1.032025</v>
      </c>
      <c r="BK71">
        <v>0</v>
      </c>
      <c r="BL71">
        <v>0</v>
      </c>
      <c r="BM71">
        <v>0</v>
      </c>
      <c r="BN71">
        <v>0.78030645715329561</v>
      </c>
      <c r="BO71">
        <v>2.1821408957267043</v>
      </c>
      <c r="BP71">
        <v>0.72299999999999998</v>
      </c>
      <c r="BQ71">
        <v>0.3</v>
      </c>
    </row>
    <row r="72" spans="1:69" x14ac:dyDescent="0.25">
      <c r="A72">
        <v>26</v>
      </c>
      <c r="B72">
        <v>86</v>
      </c>
      <c r="C72" t="s">
        <v>433</v>
      </c>
      <c r="D72">
        <v>0.76200000000000001</v>
      </c>
      <c r="E72">
        <v>762</v>
      </c>
      <c r="F72">
        <v>1.2699999999999999E-2</v>
      </c>
      <c r="G72">
        <v>12.7</v>
      </c>
      <c r="H72">
        <v>60</v>
      </c>
      <c r="I72">
        <v>30</v>
      </c>
      <c r="J72" t="s">
        <v>118</v>
      </c>
      <c r="K72">
        <v>8</v>
      </c>
      <c r="L72">
        <v>12</v>
      </c>
      <c r="M72">
        <v>414000</v>
      </c>
      <c r="N72">
        <v>517000</v>
      </c>
      <c r="O72">
        <v>2.5466769467238102</v>
      </c>
      <c r="P72" t="s">
        <v>9</v>
      </c>
      <c r="Q72" t="s">
        <v>268</v>
      </c>
      <c r="R72">
        <v>18.5</v>
      </c>
      <c r="S72">
        <v>40</v>
      </c>
      <c r="T72">
        <v>0</v>
      </c>
      <c r="U72">
        <v>0</v>
      </c>
      <c r="V72">
        <v>0.9</v>
      </c>
      <c r="W72">
        <v>2</v>
      </c>
      <c r="X72">
        <v>64.352823847750969</v>
      </c>
      <c r="AH72">
        <v>5.5061025879364095E-2</v>
      </c>
      <c r="AI72">
        <v>0.24733311166742666</v>
      </c>
      <c r="AJ72">
        <v>1.2473331116674267</v>
      </c>
      <c r="AK72">
        <v>3.5</v>
      </c>
      <c r="AL72">
        <v>0</v>
      </c>
      <c r="AM72">
        <v>1</v>
      </c>
      <c r="AP72">
        <v>1</v>
      </c>
      <c r="AQ72">
        <v>-2.307229</v>
      </c>
      <c r="AR72">
        <v>0.5852366</v>
      </c>
      <c r="AS72">
        <v>0.201322</v>
      </c>
      <c r="BC72">
        <v>1.4274935</v>
      </c>
      <c r="BD72">
        <v>-7.1050000000000002E-3</v>
      </c>
      <c r="BE72">
        <v>5.1415999999999996E-3</v>
      </c>
      <c r="BF72">
        <v>-1.4290590000000001</v>
      </c>
      <c r="BG72">
        <v>4.9200300000000002E-2</v>
      </c>
      <c r="BH72">
        <v>0.14513599999999999</v>
      </c>
      <c r="BI72">
        <v>2.0170299999999999E-2</v>
      </c>
      <c r="BJ72">
        <v>-1.032025</v>
      </c>
      <c r="BK72">
        <v>0</v>
      </c>
      <c r="BL72">
        <v>3.440732629929924E-2</v>
      </c>
      <c r="BM72">
        <v>3.440732629929924E-2</v>
      </c>
      <c r="BN72">
        <v>1.0477384074527265</v>
      </c>
      <c r="BO72">
        <v>2.8511955782437828</v>
      </c>
      <c r="BP72">
        <v>0.72299999999999998</v>
      </c>
      <c r="BQ72">
        <v>0.3</v>
      </c>
    </row>
    <row r="73" spans="1:69" x14ac:dyDescent="0.25">
      <c r="A73">
        <v>27</v>
      </c>
      <c r="B73">
        <v>87</v>
      </c>
      <c r="C73" t="s">
        <v>433</v>
      </c>
      <c r="D73">
        <v>0.86360000000000003</v>
      </c>
      <c r="E73">
        <v>863.6</v>
      </c>
      <c r="F73">
        <v>1.1130000000000001E-2</v>
      </c>
      <c r="G73">
        <v>11.13</v>
      </c>
      <c r="H73">
        <v>77.592093441150041</v>
      </c>
      <c r="I73">
        <v>50</v>
      </c>
      <c r="J73" t="s">
        <v>119</v>
      </c>
      <c r="K73">
        <v>14</v>
      </c>
      <c r="L73">
        <v>15</v>
      </c>
      <c r="M73">
        <v>483000</v>
      </c>
      <c r="N73">
        <v>565000</v>
      </c>
      <c r="O73">
        <v>2.8799444073326219</v>
      </c>
      <c r="P73" t="s">
        <v>9</v>
      </c>
      <c r="Q73" t="s">
        <v>268</v>
      </c>
      <c r="R73">
        <v>18.5</v>
      </c>
      <c r="S73">
        <v>40</v>
      </c>
      <c r="T73">
        <v>0</v>
      </c>
      <c r="U73">
        <v>0</v>
      </c>
      <c r="V73">
        <v>0.9</v>
      </c>
      <c r="W73">
        <v>1</v>
      </c>
      <c r="X73">
        <v>36.46660018039222</v>
      </c>
      <c r="AH73">
        <v>3.2859347057707114E-2</v>
      </c>
      <c r="AI73">
        <v>0.19145887314252977</v>
      </c>
      <c r="AJ73">
        <v>1.1914588731425297</v>
      </c>
      <c r="AK73">
        <v>1.5</v>
      </c>
      <c r="AL73">
        <v>0</v>
      </c>
      <c r="AM73">
        <v>0</v>
      </c>
      <c r="AP73">
        <v>1</v>
      </c>
      <c r="AQ73">
        <v>-2.307229</v>
      </c>
      <c r="AR73">
        <v>0.5852366</v>
      </c>
      <c r="AS73">
        <v>0.201322</v>
      </c>
      <c r="BC73">
        <v>1.4274935</v>
      </c>
      <c r="BD73">
        <v>-7.1050000000000002E-3</v>
      </c>
      <c r="BE73">
        <v>5.1415999999999996E-3</v>
      </c>
      <c r="BF73">
        <v>-1.4290590000000001</v>
      </c>
      <c r="BG73">
        <v>4.9200300000000002E-2</v>
      </c>
      <c r="BH73">
        <v>0.14513599999999999</v>
      </c>
      <c r="BI73">
        <v>2.0170299999999999E-2</v>
      </c>
      <c r="BJ73">
        <v>-1.032025</v>
      </c>
      <c r="BK73">
        <v>0</v>
      </c>
      <c r="BL73">
        <v>0</v>
      </c>
      <c r="BM73">
        <v>0</v>
      </c>
      <c r="BN73">
        <v>0.963441685919739</v>
      </c>
      <c r="BO73">
        <v>2.6207005981990892</v>
      </c>
      <c r="BP73">
        <v>0.72299999999999998</v>
      </c>
      <c r="BQ73">
        <v>0.3</v>
      </c>
    </row>
    <row r="74" spans="1:69" x14ac:dyDescent="0.25">
      <c r="A74">
        <v>28</v>
      </c>
      <c r="B74">
        <v>88</v>
      </c>
      <c r="C74" t="s">
        <v>433</v>
      </c>
      <c r="D74">
        <v>1.0668</v>
      </c>
      <c r="E74">
        <v>1066.8</v>
      </c>
      <c r="F74">
        <v>1.2699999999999999E-2</v>
      </c>
      <c r="G74">
        <v>12.7</v>
      </c>
      <c r="H74">
        <v>84</v>
      </c>
      <c r="I74">
        <v>100</v>
      </c>
      <c r="J74" t="s">
        <v>120</v>
      </c>
      <c r="K74">
        <v>15</v>
      </c>
      <c r="L74">
        <v>20</v>
      </c>
      <c r="M74">
        <v>552000</v>
      </c>
      <c r="N74">
        <v>625000</v>
      </c>
      <c r="O74">
        <v>2.9888368774026359</v>
      </c>
      <c r="P74" t="s">
        <v>9</v>
      </c>
      <c r="Q74" t="s">
        <v>270</v>
      </c>
      <c r="R74">
        <v>19</v>
      </c>
      <c r="S74">
        <v>43</v>
      </c>
      <c r="T74">
        <v>0</v>
      </c>
      <c r="U74">
        <v>0</v>
      </c>
      <c r="V74">
        <v>0.9</v>
      </c>
      <c r="W74">
        <v>2</v>
      </c>
      <c r="X74">
        <v>102.03070645435936</v>
      </c>
      <c r="AH74">
        <v>8.6082808953605136E-2</v>
      </c>
      <c r="AI74">
        <v>0.46595416078021362</v>
      </c>
      <c r="AJ74">
        <v>1.9659541607802136</v>
      </c>
      <c r="AK74">
        <v>1.5</v>
      </c>
      <c r="AL74">
        <v>1</v>
      </c>
      <c r="AM74">
        <v>0</v>
      </c>
      <c r="AP74">
        <v>1</v>
      </c>
      <c r="AQ74">
        <v>-2.307229</v>
      </c>
      <c r="AR74">
        <v>0.5852366</v>
      </c>
      <c r="AS74">
        <v>0.201322</v>
      </c>
      <c r="BC74">
        <v>1.4274935</v>
      </c>
      <c r="BD74">
        <v>-7.1050000000000002E-3</v>
      </c>
      <c r="BE74">
        <v>5.1415999999999996E-3</v>
      </c>
      <c r="BF74">
        <v>-1.4290590000000001</v>
      </c>
      <c r="BG74">
        <v>4.9200300000000002E-2</v>
      </c>
      <c r="BH74">
        <v>0.14513599999999999</v>
      </c>
      <c r="BI74">
        <v>2.0170299999999999E-2</v>
      </c>
      <c r="BJ74">
        <v>-1.032025</v>
      </c>
      <c r="BK74">
        <v>-6.8622394401109219E-2</v>
      </c>
      <c r="BL74">
        <v>0</v>
      </c>
      <c r="BM74">
        <v>-6.8622394401109219E-2</v>
      </c>
      <c r="BN74">
        <v>1.1140829412852633</v>
      </c>
      <c r="BO74">
        <v>3.0467728280542432</v>
      </c>
      <c r="BP74">
        <v>0.72299999999999998</v>
      </c>
      <c r="BQ74">
        <v>0.3</v>
      </c>
    </row>
    <row r="75" spans="1:69" x14ac:dyDescent="0.25">
      <c r="A75">
        <v>29</v>
      </c>
      <c r="B75">
        <v>89</v>
      </c>
      <c r="C75" t="s">
        <v>433</v>
      </c>
      <c r="D75">
        <v>0.60960000000000003</v>
      </c>
      <c r="E75">
        <v>609.6</v>
      </c>
      <c r="F75">
        <v>1.1130000000000001E-2</v>
      </c>
      <c r="G75">
        <v>11.13</v>
      </c>
      <c r="H75">
        <v>54.770889487870619</v>
      </c>
      <c r="I75">
        <v>150</v>
      </c>
      <c r="J75" t="s">
        <v>187</v>
      </c>
      <c r="K75">
        <v>3</v>
      </c>
      <c r="L75">
        <v>9</v>
      </c>
      <c r="M75">
        <v>290000</v>
      </c>
      <c r="N75">
        <v>414000</v>
      </c>
      <c r="O75">
        <v>1.7363704307629526</v>
      </c>
      <c r="P75" t="s">
        <v>9</v>
      </c>
      <c r="Q75" t="s">
        <v>270</v>
      </c>
      <c r="R75">
        <v>19</v>
      </c>
      <c r="S75">
        <v>43</v>
      </c>
      <c r="T75">
        <v>0</v>
      </c>
      <c r="U75">
        <v>0</v>
      </c>
      <c r="V75">
        <v>0.9</v>
      </c>
      <c r="W75">
        <v>1</v>
      </c>
      <c r="X75">
        <v>29.151630415531248</v>
      </c>
      <c r="AH75">
        <v>2.5345463138869703E-2</v>
      </c>
      <c r="AI75">
        <v>0.20709526914689702</v>
      </c>
      <c r="AJ75">
        <v>1.707095269146897</v>
      </c>
      <c r="AK75">
        <v>1.5</v>
      </c>
      <c r="AL75">
        <v>0</v>
      </c>
      <c r="AM75">
        <v>0</v>
      </c>
      <c r="AP75">
        <v>1</v>
      </c>
      <c r="AQ75">
        <v>-2.307229</v>
      </c>
      <c r="AR75">
        <v>0.5852366</v>
      </c>
      <c r="AS75">
        <v>0.201322</v>
      </c>
      <c r="BC75">
        <v>1.4274935</v>
      </c>
      <c r="BD75">
        <v>-7.1050000000000002E-3</v>
      </c>
      <c r="BE75">
        <v>5.1415999999999996E-3</v>
      </c>
      <c r="BF75">
        <v>-1.4290590000000001</v>
      </c>
      <c r="BG75">
        <v>4.9200300000000002E-2</v>
      </c>
      <c r="BH75">
        <v>0.14513599999999999</v>
      </c>
      <c r="BI75">
        <v>2.0170299999999999E-2</v>
      </c>
      <c r="BJ75">
        <v>-1.032025</v>
      </c>
      <c r="BK75">
        <v>0</v>
      </c>
      <c r="BL75">
        <v>0</v>
      </c>
      <c r="BM75">
        <v>0</v>
      </c>
      <c r="BN75">
        <v>0.71452669621160059</v>
      </c>
      <c r="BO75">
        <v>2.0432193898872777</v>
      </c>
      <c r="BP75">
        <v>0.72299999999999998</v>
      </c>
      <c r="BQ75">
        <v>0.3</v>
      </c>
    </row>
    <row r="76" spans="1:69" x14ac:dyDescent="0.25">
      <c r="A76">
        <v>30</v>
      </c>
      <c r="B76">
        <v>90</v>
      </c>
      <c r="C76" t="s">
        <v>433</v>
      </c>
      <c r="D76">
        <v>0.60960000000000003</v>
      </c>
      <c r="E76">
        <v>609.6</v>
      </c>
      <c r="F76">
        <v>1.1130000000000001E-2</v>
      </c>
      <c r="G76">
        <v>11.13</v>
      </c>
      <c r="H76">
        <v>54.770889487870619</v>
      </c>
      <c r="I76">
        <v>200</v>
      </c>
      <c r="J76" t="s">
        <v>186</v>
      </c>
      <c r="K76">
        <v>3</v>
      </c>
      <c r="L76">
        <v>8</v>
      </c>
      <c r="M76">
        <v>241000</v>
      </c>
      <c r="N76">
        <v>344000</v>
      </c>
      <c r="O76">
        <v>1.1599577949833839</v>
      </c>
      <c r="P76" t="s">
        <v>9</v>
      </c>
      <c r="Q76" t="s">
        <v>270</v>
      </c>
      <c r="R76">
        <v>19</v>
      </c>
      <c r="S76">
        <v>43</v>
      </c>
      <c r="T76">
        <v>0</v>
      </c>
      <c r="U76">
        <v>0</v>
      </c>
      <c r="V76">
        <v>0.9</v>
      </c>
      <c r="W76">
        <v>2</v>
      </c>
      <c r="X76">
        <v>58.303260831062495</v>
      </c>
      <c r="AH76">
        <v>4.7691565842539682E-2</v>
      </c>
      <c r="AI76">
        <v>0.31151836593386051</v>
      </c>
      <c r="AJ76">
        <v>1.8115183659338605</v>
      </c>
      <c r="AK76">
        <v>2.75</v>
      </c>
      <c r="AL76">
        <v>0</v>
      </c>
      <c r="AM76">
        <v>0</v>
      </c>
      <c r="AP76">
        <v>1</v>
      </c>
      <c r="AQ76">
        <v>-2.307229</v>
      </c>
      <c r="AR76">
        <v>0.5852366</v>
      </c>
      <c r="AS76">
        <v>0.201322</v>
      </c>
      <c r="BC76">
        <v>1.4274935</v>
      </c>
      <c r="BD76">
        <v>-7.1050000000000002E-3</v>
      </c>
      <c r="BE76">
        <v>5.1415999999999996E-3</v>
      </c>
      <c r="BF76">
        <v>-1.4290590000000001</v>
      </c>
      <c r="BG76">
        <v>4.9200300000000002E-2</v>
      </c>
      <c r="BH76">
        <v>0.14513599999999999</v>
      </c>
      <c r="BI76">
        <v>2.0170299999999999E-2</v>
      </c>
      <c r="BJ76">
        <v>-1.032025</v>
      </c>
      <c r="BK76">
        <v>0</v>
      </c>
      <c r="BL76">
        <v>0</v>
      </c>
      <c r="BM76">
        <v>0</v>
      </c>
      <c r="BN76">
        <v>0.85407247289628985</v>
      </c>
      <c r="BO76">
        <v>2.3491944282446702</v>
      </c>
      <c r="BP76">
        <v>0.72299999999999998</v>
      </c>
      <c r="BQ76">
        <v>0.3</v>
      </c>
    </row>
    <row r="77" spans="1:69" x14ac:dyDescent="0.25">
      <c r="A77">
        <v>31</v>
      </c>
      <c r="B77">
        <v>86</v>
      </c>
      <c r="C77" t="s">
        <v>433</v>
      </c>
      <c r="D77">
        <v>0.20319999999999999</v>
      </c>
      <c r="E77">
        <v>203.2</v>
      </c>
      <c r="F77">
        <v>5.5599999999999998E-3</v>
      </c>
      <c r="G77">
        <v>5.56</v>
      </c>
      <c r="H77">
        <v>36.546762589928058</v>
      </c>
      <c r="I77">
        <v>15</v>
      </c>
      <c r="J77" t="s">
        <v>117</v>
      </c>
      <c r="K77">
        <v>8</v>
      </c>
      <c r="L77">
        <v>10</v>
      </c>
      <c r="M77">
        <v>359000</v>
      </c>
      <c r="N77">
        <v>455000</v>
      </c>
      <c r="O77">
        <v>1.9969902892117808</v>
      </c>
      <c r="P77" t="s">
        <v>10</v>
      </c>
      <c r="Q77" t="s">
        <v>265</v>
      </c>
      <c r="R77">
        <v>17.5</v>
      </c>
      <c r="S77">
        <v>0</v>
      </c>
      <c r="T77">
        <v>37.5</v>
      </c>
      <c r="U77">
        <v>1.1000000000000001</v>
      </c>
      <c r="V77">
        <v>0.9</v>
      </c>
      <c r="W77">
        <v>0</v>
      </c>
      <c r="X77">
        <v>26.332829622389642</v>
      </c>
      <c r="AH77">
        <v>2.350134533617947E-2</v>
      </c>
      <c r="AI77">
        <v>7.0401619555061065E-2</v>
      </c>
      <c r="AJ77">
        <v>1.070401619555061</v>
      </c>
      <c r="AK77">
        <v>0.75</v>
      </c>
      <c r="AL77">
        <v>1</v>
      </c>
      <c r="AM77">
        <v>0</v>
      </c>
      <c r="AP77">
        <v>0</v>
      </c>
      <c r="AQ77">
        <v>-2.307229</v>
      </c>
      <c r="AR77">
        <v>0.5852366</v>
      </c>
      <c r="AS77">
        <v>0.201322</v>
      </c>
      <c r="BC77">
        <v>1.4274935</v>
      </c>
      <c r="BD77">
        <v>-7.1050000000000002E-3</v>
      </c>
      <c r="BE77">
        <v>5.1415999999999996E-3</v>
      </c>
      <c r="BF77">
        <v>-1.4290590000000001</v>
      </c>
      <c r="BG77">
        <v>4.9200300000000002E-2</v>
      </c>
      <c r="BH77">
        <v>0.14513599999999999</v>
      </c>
      <c r="BI77">
        <v>2.0170299999999999E-2</v>
      </c>
      <c r="BJ77">
        <v>-1.032025</v>
      </c>
      <c r="BK77">
        <v>-0.51145365159113909</v>
      </c>
      <c r="BL77">
        <v>0</v>
      </c>
      <c r="BM77">
        <v>-0.51145365159113909</v>
      </c>
      <c r="BN77">
        <v>-0.58479113632895929</v>
      </c>
      <c r="BO77">
        <v>0.55722223314007857</v>
      </c>
      <c r="BP77">
        <v>0.72299999999999998</v>
      </c>
      <c r="BQ77">
        <v>0.3</v>
      </c>
    </row>
    <row r="78" spans="1:69" x14ac:dyDescent="0.25">
      <c r="A78">
        <v>32</v>
      </c>
      <c r="B78">
        <v>87</v>
      </c>
      <c r="C78" t="s">
        <v>433</v>
      </c>
      <c r="D78">
        <v>0.30480000000000002</v>
      </c>
      <c r="E78">
        <v>304.8</v>
      </c>
      <c r="F78">
        <v>7.1399999999999996E-3</v>
      </c>
      <c r="G78">
        <v>7.14</v>
      </c>
      <c r="H78">
        <v>42.689075630252105</v>
      </c>
      <c r="I78">
        <v>30</v>
      </c>
      <c r="J78" t="s">
        <v>118</v>
      </c>
      <c r="K78">
        <v>8</v>
      </c>
      <c r="L78">
        <v>12</v>
      </c>
      <c r="M78">
        <v>414000</v>
      </c>
      <c r="N78">
        <v>517000</v>
      </c>
      <c r="O78">
        <v>2.5466769467238102</v>
      </c>
      <c r="P78" t="s">
        <v>10</v>
      </c>
      <c r="Q78" t="s">
        <v>265</v>
      </c>
      <c r="R78">
        <v>17.5</v>
      </c>
      <c r="S78">
        <v>0</v>
      </c>
      <c r="T78">
        <v>37.5</v>
      </c>
      <c r="U78">
        <v>1.1000000000000001</v>
      </c>
      <c r="V78">
        <v>0.9</v>
      </c>
      <c r="W78">
        <v>0</v>
      </c>
      <c r="X78">
        <v>39.499244433584465</v>
      </c>
      <c r="AH78">
        <v>3.4929626553889231E-2</v>
      </c>
      <c r="AI78">
        <v>0.15301812852026347</v>
      </c>
      <c r="AJ78">
        <v>1.1530181285202634</v>
      </c>
      <c r="AK78">
        <v>0.75</v>
      </c>
      <c r="AL78">
        <v>1</v>
      </c>
      <c r="AM78">
        <v>0</v>
      </c>
      <c r="AP78">
        <v>0</v>
      </c>
      <c r="AQ78">
        <v>-2.307229</v>
      </c>
      <c r="AR78">
        <v>0.5852366</v>
      </c>
      <c r="AS78">
        <v>0.201322</v>
      </c>
      <c r="BC78">
        <v>1.4274935</v>
      </c>
      <c r="BD78">
        <v>-7.1050000000000002E-3</v>
      </c>
      <c r="BE78">
        <v>5.1415999999999996E-3</v>
      </c>
      <c r="BF78">
        <v>-1.4290590000000001</v>
      </c>
      <c r="BG78">
        <v>4.9200300000000002E-2</v>
      </c>
      <c r="BH78">
        <v>0.14513599999999999</v>
      </c>
      <c r="BI78">
        <v>2.0170299999999999E-2</v>
      </c>
      <c r="BJ78">
        <v>-1.032025</v>
      </c>
      <c r="BK78">
        <v>-0.60214698226649055</v>
      </c>
      <c r="BL78">
        <v>0</v>
      </c>
      <c r="BM78">
        <v>-0.60214698226649055</v>
      </c>
      <c r="BN78">
        <v>-0.56189437101015471</v>
      </c>
      <c r="BO78">
        <v>0.57012800624291049</v>
      </c>
      <c r="BP78">
        <v>0.72299999999999998</v>
      </c>
      <c r="BQ78">
        <v>0.3</v>
      </c>
    </row>
    <row r="79" spans="1:69" x14ac:dyDescent="0.25">
      <c r="A79">
        <v>33</v>
      </c>
      <c r="B79">
        <v>88</v>
      </c>
      <c r="C79" t="s">
        <v>433</v>
      </c>
      <c r="D79">
        <v>0.40639999999999998</v>
      </c>
      <c r="E79">
        <v>406.4</v>
      </c>
      <c r="F79">
        <v>9.5299999999999985E-3</v>
      </c>
      <c r="G79">
        <v>9.5299999999999994</v>
      </c>
      <c r="H79">
        <v>42.644281217208821</v>
      </c>
      <c r="I79">
        <v>50</v>
      </c>
      <c r="J79" t="s">
        <v>119</v>
      </c>
      <c r="K79">
        <v>14</v>
      </c>
      <c r="L79">
        <v>15</v>
      </c>
      <c r="M79">
        <v>483000</v>
      </c>
      <c r="N79">
        <v>565000</v>
      </c>
      <c r="O79">
        <v>2.8799444073326219</v>
      </c>
      <c r="P79" t="s">
        <v>10</v>
      </c>
      <c r="Q79" t="s">
        <v>265</v>
      </c>
      <c r="R79">
        <v>17.5</v>
      </c>
      <c r="S79">
        <v>0</v>
      </c>
      <c r="T79">
        <v>37.5</v>
      </c>
      <c r="U79">
        <v>1.1000000000000001</v>
      </c>
      <c r="V79">
        <v>0.9</v>
      </c>
      <c r="W79">
        <v>0</v>
      </c>
      <c r="X79">
        <v>52.665659244779285</v>
      </c>
      <c r="AH79">
        <v>4.5980584899860635E-2</v>
      </c>
      <c r="AI79">
        <v>0.22103278039106702</v>
      </c>
      <c r="AJ79">
        <v>1.221032780391067</v>
      </c>
      <c r="AK79">
        <v>0.75</v>
      </c>
      <c r="AL79">
        <v>1</v>
      </c>
      <c r="AM79">
        <v>0</v>
      </c>
      <c r="AP79">
        <v>0</v>
      </c>
      <c r="AQ79">
        <v>-2.307229</v>
      </c>
      <c r="AR79">
        <v>0.5852366</v>
      </c>
      <c r="AS79">
        <v>0.201322</v>
      </c>
      <c r="BC79">
        <v>1.4274935</v>
      </c>
      <c r="BD79">
        <v>-7.1050000000000002E-3</v>
      </c>
      <c r="BE79">
        <v>5.1415999999999996E-3</v>
      </c>
      <c r="BF79">
        <v>-1.4290590000000001</v>
      </c>
      <c r="BG79">
        <v>4.9200300000000002E-2</v>
      </c>
      <c r="BH79">
        <v>0.14513599999999999</v>
      </c>
      <c r="BI79">
        <v>2.0170299999999999E-2</v>
      </c>
      <c r="BJ79">
        <v>-1.032025</v>
      </c>
      <c r="BK79">
        <v>-0.6473721201748025</v>
      </c>
      <c r="BL79">
        <v>0</v>
      </c>
      <c r="BM79">
        <v>-0.6473721201748025</v>
      </c>
      <c r="BN79">
        <v>-0.59642764612512122</v>
      </c>
      <c r="BO79">
        <v>0.55077569153060479</v>
      </c>
      <c r="BP79">
        <v>0.72299999999999998</v>
      </c>
      <c r="BQ79">
        <v>0.3</v>
      </c>
    </row>
    <row r="80" spans="1:69" x14ac:dyDescent="0.25">
      <c r="A80">
        <v>34</v>
      </c>
      <c r="B80">
        <v>89</v>
      </c>
      <c r="C80" t="s">
        <v>433</v>
      </c>
      <c r="D80">
        <v>0.50800000000000001</v>
      </c>
      <c r="E80">
        <v>508</v>
      </c>
      <c r="F80">
        <v>1.1130000000000001E-2</v>
      </c>
      <c r="G80">
        <v>11.13</v>
      </c>
      <c r="H80">
        <v>45.642407906558844</v>
      </c>
      <c r="I80">
        <v>100</v>
      </c>
      <c r="J80" t="s">
        <v>120</v>
      </c>
      <c r="K80">
        <v>15</v>
      </c>
      <c r="L80">
        <v>20</v>
      </c>
      <c r="M80">
        <v>552000</v>
      </c>
      <c r="N80">
        <v>625000</v>
      </c>
      <c r="O80">
        <v>2.9888368774026359</v>
      </c>
      <c r="P80" t="s">
        <v>10</v>
      </c>
      <c r="Q80" t="s">
        <v>265</v>
      </c>
      <c r="R80">
        <v>17.5</v>
      </c>
      <c r="S80">
        <v>0</v>
      </c>
      <c r="T80">
        <v>37.5</v>
      </c>
      <c r="U80">
        <v>1.1000000000000001</v>
      </c>
      <c r="V80">
        <v>0.9</v>
      </c>
      <c r="W80">
        <v>0</v>
      </c>
      <c r="X80">
        <v>65.832074055974104</v>
      </c>
      <c r="AH80">
        <v>5.6761916710913081E-2</v>
      </c>
      <c r="AI80">
        <v>0.30141505236031529</v>
      </c>
      <c r="AJ80">
        <v>1.8014150523603152</v>
      </c>
      <c r="AK80">
        <v>0.75</v>
      </c>
      <c r="AL80">
        <v>1</v>
      </c>
      <c r="AM80">
        <v>0</v>
      </c>
      <c r="AP80">
        <v>0</v>
      </c>
      <c r="AQ80">
        <v>-2.307229</v>
      </c>
      <c r="AR80">
        <v>0.5852366</v>
      </c>
      <c r="AS80">
        <v>0.201322</v>
      </c>
      <c r="BC80">
        <v>1.4274935</v>
      </c>
      <c r="BD80">
        <v>-7.1050000000000002E-3</v>
      </c>
      <c r="BE80">
        <v>5.1415999999999996E-3</v>
      </c>
      <c r="BF80">
        <v>-1.4290590000000001</v>
      </c>
      <c r="BG80">
        <v>4.9200300000000002E-2</v>
      </c>
      <c r="BH80">
        <v>0.14513599999999999</v>
      </c>
      <c r="BI80">
        <v>2.0170299999999999E-2</v>
      </c>
      <c r="BJ80">
        <v>-1.032025</v>
      </c>
      <c r="BK80">
        <v>-0.70363623213972026</v>
      </c>
      <c r="BL80">
        <v>0</v>
      </c>
      <c r="BM80">
        <v>-0.70363623213972026</v>
      </c>
      <c r="BN80">
        <v>-0.59886235386354869</v>
      </c>
      <c r="BO80">
        <v>0.54943634481282166</v>
      </c>
      <c r="BP80">
        <v>0.72299999999999998</v>
      </c>
      <c r="BQ80">
        <v>0.3</v>
      </c>
    </row>
    <row r="81" spans="1:69" x14ac:dyDescent="0.25">
      <c r="A81">
        <v>35</v>
      </c>
      <c r="B81">
        <v>90</v>
      </c>
      <c r="C81" t="s">
        <v>433</v>
      </c>
      <c r="D81">
        <v>0.60960000000000003</v>
      </c>
      <c r="E81">
        <v>609.6</v>
      </c>
      <c r="F81">
        <v>9.5299999999999985E-3</v>
      </c>
      <c r="G81">
        <v>9.5299999999999994</v>
      </c>
      <c r="H81">
        <v>63.966421825813235</v>
      </c>
      <c r="I81">
        <v>15</v>
      </c>
      <c r="J81" t="s">
        <v>117</v>
      </c>
      <c r="K81">
        <v>8</v>
      </c>
      <c r="L81">
        <v>10</v>
      </c>
      <c r="M81">
        <v>359000</v>
      </c>
      <c r="N81">
        <v>455000</v>
      </c>
      <c r="O81">
        <v>1.9969902892117808</v>
      </c>
      <c r="P81" t="s">
        <v>10</v>
      </c>
      <c r="Q81" t="s">
        <v>269</v>
      </c>
      <c r="R81">
        <v>18</v>
      </c>
      <c r="S81">
        <v>0</v>
      </c>
      <c r="T81">
        <v>75</v>
      </c>
      <c r="U81">
        <v>0.72</v>
      </c>
      <c r="V81">
        <v>0.9</v>
      </c>
      <c r="W81">
        <v>0</v>
      </c>
      <c r="X81">
        <v>103.41620360793024</v>
      </c>
      <c r="AH81">
        <v>8.5938878264467361E-2</v>
      </c>
      <c r="AI81">
        <v>0.34319449854464201</v>
      </c>
      <c r="AJ81">
        <v>1.343194498544642</v>
      </c>
      <c r="AK81">
        <v>0.75</v>
      </c>
      <c r="AL81">
        <v>1</v>
      </c>
      <c r="AM81">
        <v>0</v>
      </c>
      <c r="AP81">
        <v>0</v>
      </c>
      <c r="AQ81">
        <v>-2.307229</v>
      </c>
      <c r="AR81">
        <v>0.5852366</v>
      </c>
      <c r="AS81">
        <v>0.201322</v>
      </c>
      <c r="BC81">
        <v>1.4274935</v>
      </c>
      <c r="BD81">
        <v>-7.1050000000000002E-3</v>
      </c>
      <c r="BE81">
        <v>5.1415999999999996E-3</v>
      </c>
      <c r="BF81">
        <v>-1.4290590000000001</v>
      </c>
      <c r="BG81">
        <v>4.9200300000000002E-2</v>
      </c>
      <c r="BH81">
        <v>0.14513599999999999</v>
      </c>
      <c r="BI81">
        <v>2.0170299999999999E-2</v>
      </c>
      <c r="BJ81">
        <v>-1.032025</v>
      </c>
      <c r="BK81">
        <v>-0.64451052521418639</v>
      </c>
      <c r="BL81">
        <v>0</v>
      </c>
      <c r="BM81">
        <v>-0.64451052521418639</v>
      </c>
      <c r="BN81">
        <v>-0.35698842861680458</v>
      </c>
      <c r="BO81">
        <v>0.69978059511718083</v>
      </c>
      <c r="BP81">
        <v>0.72299999999999998</v>
      </c>
      <c r="BQ81">
        <v>0.3</v>
      </c>
    </row>
    <row r="82" spans="1:69" x14ac:dyDescent="0.25">
      <c r="A82">
        <v>36</v>
      </c>
      <c r="B82">
        <v>86</v>
      </c>
      <c r="C82" t="s">
        <v>433</v>
      </c>
      <c r="D82">
        <v>0.76200000000000001</v>
      </c>
      <c r="E82">
        <v>762</v>
      </c>
      <c r="F82">
        <v>1.2699999999999999E-2</v>
      </c>
      <c r="G82">
        <v>12.7</v>
      </c>
      <c r="H82">
        <v>60</v>
      </c>
      <c r="I82">
        <v>30</v>
      </c>
      <c r="J82" t="s">
        <v>118</v>
      </c>
      <c r="K82">
        <v>8</v>
      </c>
      <c r="L82">
        <v>12</v>
      </c>
      <c r="M82">
        <v>414000</v>
      </c>
      <c r="N82">
        <v>517000</v>
      </c>
      <c r="O82">
        <v>2.5466769467238102</v>
      </c>
      <c r="P82" t="s">
        <v>10</v>
      </c>
      <c r="Q82" t="s">
        <v>269</v>
      </c>
      <c r="R82">
        <v>18</v>
      </c>
      <c r="S82">
        <v>0</v>
      </c>
      <c r="T82">
        <v>75</v>
      </c>
      <c r="U82">
        <v>0.72</v>
      </c>
      <c r="V82">
        <v>0.9</v>
      </c>
      <c r="W82">
        <v>0</v>
      </c>
      <c r="X82">
        <v>129.2702545099128</v>
      </c>
      <c r="AH82">
        <v>0.10764414471571518</v>
      </c>
      <c r="AI82">
        <v>0.46262651833971924</v>
      </c>
      <c r="AJ82">
        <v>1.4626265183397194</v>
      </c>
      <c r="AK82">
        <v>1.5</v>
      </c>
      <c r="AL82">
        <v>1</v>
      </c>
      <c r="AM82">
        <v>0</v>
      </c>
      <c r="AP82">
        <v>0</v>
      </c>
      <c r="AQ82">
        <v>-2.307229</v>
      </c>
      <c r="AR82">
        <v>0.5852366</v>
      </c>
      <c r="AS82">
        <v>0.201322</v>
      </c>
      <c r="BC82">
        <v>1.4274935</v>
      </c>
      <c r="BD82">
        <v>-7.1050000000000002E-3</v>
      </c>
      <c r="BE82">
        <v>5.1415999999999996E-3</v>
      </c>
      <c r="BF82">
        <v>-1.4290590000000001</v>
      </c>
      <c r="BG82">
        <v>4.9200300000000002E-2</v>
      </c>
      <c r="BH82">
        <v>0.14513599999999999</v>
      </c>
      <c r="BI82">
        <v>2.0170299999999999E-2</v>
      </c>
      <c r="BJ82">
        <v>-1.032025</v>
      </c>
      <c r="BK82">
        <v>-4.6730844270599627E-2</v>
      </c>
      <c r="BL82">
        <v>0</v>
      </c>
      <c r="BM82">
        <v>-4.6730844270599627E-2</v>
      </c>
      <c r="BN82">
        <v>1.8835024417450885E-2</v>
      </c>
      <c r="BO82">
        <v>1.0190135223999457</v>
      </c>
      <c r="BP82">
        <v>0.72299999999999998</v>
      </c>
      <c r="BQ82">
        <v>0.3</v>
      </c>
    </row>
    <row r="83" spans="1:69" x14ac:dyDescent="0.25">
      <c r="A83">
        <v>37</v>
      </c>
      <c r="B83">
        <v>87</v>
      </c>
      <c r="C83" t="s">
        <v>433</v>
      </c>
      <c r="D83">
        <v>0.86360000000000003</v>
      </c>
      <c r="E83">
        <v>863.6</v>
      </c>
      <c r="F83">
        <v>1.1130000000000001E-2</v>
      </c>
      <c r="G83">
        <v>11.13</v>
      </c>
      <c r="H83">
        <v>77.592093441150041</v>
      </c>
      <c r="I83">
        <v>50</v>
      </c>
      <c r="J83" t="s">
        <v>119</v>
      </c>
      <c r="K83">
        <v>14</v>
      </c>
      <c r="L83">
        <v>15</v>
      </c>
      <c r="M83">
        <v>483000</v>
      </c>
      <c r="N83">
        <v>565000</v>
      </c>
      <c r="O83">
        <v>2.8799444073326219</v>
      </c>
      <c r="P83" t="s">
        <v>10</v>
      </c>
      <c r="Q83" t="s">
        <v>269</v>
      </c>
      <c r="R83">
        <v>18</v>
      </c>
      <c r="S83">
        <v>0</v>
      </c>
      <c r="T83">
        <v>75</v>
      </c>
      <c r="U83">
        <v>0.72</v>
      </c>
      <c r="V83">
        <v>0.9</v>
      </c>
      <c r="W83">
        <v>0</v>
      </c>
      <c r="X83">
        <v>146.50628844456784</v>
      </c>
      <c r="AH83">
        <v>0.12199149455168937</v>
      </c>
      <c r="AI83">
        <v>0.57931434087634726</v>
      </c>
      <c r="AJ83">
        <v>1.5793143408763473</v>
      </c>
      <c r="AK83">
        <v>1.5</v>
      </c>
      <c r="AL83">
        <v>1</v>
      </c>
      <c r="AM83">
        <v>0</v>
      </c>
      <c r="AP83">
        <v>0</v>
      </c>
      <c r="AQ83">
        <v>-2.307229</v>
      </c>
      <c r="AR83">
        <v>0.5852366</v>
      </c>
      <c r="AS83">
        <v>0.201322</v>
      </c>
      <c r="BC83">
        <v>1.4274935</v>
      </c>
      <c r="BD83">
        <v>-7.1050000000000002E-3</v>
      </c>
      <c r="BE83">
        <v>5.1415999999999996E-3</v>
      </c>
      <c r="BF83">
        <v>-1.4290590000000001</v>
      </c>
      <c r="BG83">
        <v>4.9200300000000002E-2</v>
      </c>
      <c r="BH83">
        <v>0.14513599999999999</v>
      </c>
      <c r="BI83">
        <v>2.0170299999999999E-2</v>
      </c>
      <c r="BJ83">
        <v>-1.032025</v>
      </c>
      <c r="BK83">
        <v>-0.13656097636803749</v>
      </c>
      <c r="BL83">
        <v>0</v>
      </c>
      <c r="BM83">
        <v>-0.13656097636803749</v>
      </c>
      <c r="BN83">
        <v>3.4566429204756499E-2</v>
      </c>
      <c r="BO83">
        <v>1.0351707916646211</v>
      </c>
      <c r="BP83">
        <v>0.72299999999999998</v>
      </c>
      <c r="BQ83">
        <v>0.3</v>
      </c>
    </row>
    <row r="84" spans="1:69" x14ac:dyDescent="0.25">
      <c r="A84">
        <v>38</v>
      </c>
      <c r="B84">
        <v>88</v>
      </c>
      <c r="C84" t="s">
        <v>433</v>
      </c>
      <c r="D84">
        <v>1.0668</v>
      </c>
      <c r="E84">
        <v>1066.8</v>
      </c>
      <c r="F84">
        <v>1.2699999999999999E-2</v>
      </c>
      <c r="G84">
        <v>12.7</v>
      </c>
      <c r="H84">
        <v>84</v>
      </c>
      <c r="I84">
        <v>100</v>
      </c>
      <c r="J84" t="s">
        <v>120</v>
      </c>
      <c r="K84">
        <v>15</v>
      </c>
      <c r="L84">
        <v>20</v>
      </c>
      <c r="M84">
        <v>552000</v>
      </c>
      <c r="N84">
        <v>625000</v>
      </c>
      <c r="O84">
        <v>2.9888368774026359</v>
      </c>
      <c r="P84" t="s">
        <v>10</v>
      </c>
      <c r="Q84" t="s">
        <v>266</v>
      </c>
      <c r="R84">
        <v>18.5</v>
      </c>
      <c r="S84">
        <v>0</v>
      </c>
      <c r="T84">
        <v>125</v>
      </c>
      <c r="U84">
        <v>0.4</v>
      </c>
      <c r="V84">
        <v>0.9</v>
      </c>
      <c r="W84">
        <v>0</v>
      </c>
      <c r="X84">
        <v>167.57255214247957</v>
      </c>
      <c r="AH84">
        <v>0.13917170396098252</v>
      </c>
      <c r="AI84">
        <v>0.70118132861093019</v>
      </c>
      <c r="AJ84">
        <v>2.2011813286109301</v>
      </c>
      <c r="AK84">
        <v>1.5</v>
      </c>
      <c r="AL84">
        <v>1</v>
      </c>
      <c r="AM84">
        <v>0</v>
      </c>
      <c r="AP84">
        <v>0</v>
      </c>
      <c r="AQ84">
        <v>-2.307229</v>
      </c>
      <c r="AR84">
        <v>0.5852366</v>
      </c>
      <c r="AS84">
        <v>0.201322</v>
      </c>
      <c r="BC84">
        <v>1.4274935</v>
      </c>
      <c r="BD84">
        <v>-7.1050000000000002E-3</v>
      </c>
      <c r="BE84">
        <v>5.1415999999999996E-3</v>
      </c>
      <c r="BF84">
        <v>-1.4290590000000001</v>
      </c>
      <c r="BG84">
        <v>4.9200300000000002E-2</v>
      </c>
      <c r="BH84">
        <v>0.14513599999999999</v>
      </c>
      <c r="BI84">
        <v>2.0170299999999999E-2</v>
      </c>
      <c r="BJ84">
        <v>-1.032025</v>
      </c>
      <c r="BK84">
        <v>-0.19777054799268215</v>
      </c>
      <c r="BL84">
        <v>0</v>
      </c>
      <c r="BM84">
        <v>-0.19777054799268215</v>
      </c>
      <c r="BN84">
        <v>-1.0808663411078889E-2</v>
      </c>
      <c r="BO84">
        <v>0.98924954030109691</v>
      </c>
      <c r="BP84">
        <v>0.72299999999999998</v>
      </c>
      <c r="BQ84">
        <v>0.3</v>
      </c>
    </row>
    <row r="85" spans="1:69" x14ac:dyDescent="0.25">
      <c r="A85">
        <v>39</v>
      </c>
      <c r="B85">
        <v>89</v>
      </c>
      <c r="C85" t="s">
        <v>433</v>
      </c>
      <c r="D85">
        <v>0.60960000000000003</v>
      </c>
      <c r="E85">
        <v>609.6</v>
      </c>
      <c r="F85">
        <v>1.1130000000000001E-2</v>
      </c>
      <c r="G85">
        <v>11.13</v>
      </c>
      <c r="H85">
        <v>54.770889487870619</v>
      </c>
      <c r="I85">
        <v>150</v>
      </c>
      <c r="J85" t="s">
        <v>187</v>
      </c>
      <c r="K85">
        <v>3</v>
      </c>
      <c r="L85">
        <v>9</v>
      </c>
      <c r="M85">
        <v>290000</v>
      </c>
      <c r="N85">
        <v>414000</v>
      </c>
      <c r="O85">
        <v>1.7363704307629526</v>
      </c>
      <c r="P85" t="s">
        <v>10</v>
      </c>
      <c r="Q85" t="s">
        <v>266</v>
      </c>
      <c r="R85">
        <v>18.5</v>
      </c>
      <c r="S85">
        <v>0</v>
      </c>
      <c r="T85">
        <v>125</v>
      </c>
      <c r="U85">
        <v>0.4</v>
      </c>
      <c r="V85">
        <v>0.9</v>
      </c>
      <c r="W85">
        <v>0</v>
      </c>
      <c r="X85">
        <v>95.755744081416907</v>
      </c>
      <c r="AH85">
        <v>7.9294795208237082E-2</v>
      </c>
      <c r="AI85">
        <v>0.42306301468311602</v>
      </c>
      <c r="AJ85">
        <v>1.923063014683116</v>
      </c>
      <c r="AK85">
        <v>7.5</v>
      </c>
      <c r="AL85">
        <v>0</v>
      </c>
      <c r="AM85">
        <v>1</v>
      </c>
      <c r="AP85">
        <v>0</v>
      </c>
      <c r="AQ85">
        <v>-2.307229</v>
      </c>
      <c r="AR85">
        <v>0.5852366</v>
      </c>
      <c r="AS85">
        <v>0.201322</v>
      </c>
      <c r="BC85">
        <v>1.4274935</v>
      </c>
      <c r="BD85">
        <v>-7.1050000000000002E-3</v>
      </c>
      <c r="BE85">
        <v>5.1415999999999996E-3</v>
      </c>
      <c r="BF85">
        <v>-1.4290590000000001</v>
      </c>
      <c r="BG85">
        <v>4.9200300000000002E-2</v>
      </c>
      <c r="BH85">
        <v>0.14513599999999999</v>
      </c>
      <c r="BI85">
        <v>2.0170299999999999E-2</v>
      </c>
      <c r="BJ85">
        <v>-1.032025</v>
      </c>
      <c r="BK85">
        <v>0</v>
      </c>
      <c r="BL85">
        <v>2.3499863959925666</v>
      </c>
      <c r="BM85">
        <v>2.3499863959925666</v>
      </c>
      <c r="BN85">
        <v>17.660464038190291</v>
      </c>
      <c r="BO85">
        <v>100</v>
      </c>
      <c r="BP85">
        <v>0.72299999999999998</v>
      </c>
      <c r="BQ85">
        <v>0.3</v>
      </c>
    </row>
    <row r="86" spans="1:69" x14ac:dyDescent="0.25">
      <c r="A86">
        <v>40</v>
      </c>
      <c r="B86">
        <v>90</v>
      </c>
      <c r="C86" t="s">
        <v>433</v>
      </c>
      <c r="D86">
        <v>0.60960000000000003</v>
      </c>
      <c r="E86">
        <v>609.6</v>
      </c>
      <c r="F86">
        <v>1.1130000000000001E-2</v>
      </c>
      <c r="G86">
        <v>11.13</v>
      </c>
      <c r="H86">
        <v>54.770889487870619</v>
      </c>
      <c r="I86">
        <v>200</v>
      </c>
      <c r="J86" t="s">
        <v>186</v>
      </c>
      <c r="K86">
        <v>3</v>
      </c>
      <c r="L86">
        <v>8</v>
      </c>
      <c r="M86">
        <v>241000</v>
      </c>
      <c r="N86">
        <v>344000</v>
      </c>
      <c r="O86">
        <v>1.1599577949833839</v>
      </c>
      <c r="P86" t="s">
        <v>10</v>
      </c>
      <c r="Q86" t="s">
        <v>266</v>
      </c>
      <c r="R86">
        <v>18.5</v>
      </c>
      <c r="S86">
        <v>0</v>
      </c>
      <c r="T86">
        <v>125</v>
      </c>
      <c r="U86">
        <v>0.4</v>
      </c>
      <c r="V86">
        <v>0.9</v>
      </c>
      <c r="W86">
        <v>0</v>
      </c>
      <c r="X86">
        <v>95.755744081416907</v>
      </c>
      <c r="AH86">
        <v>7.8028077275326749E-2</v>
      </c>
      <c r="AI86">
        <v>0.43296023982302467</v>
      </c>
      <c r="AJ86">
        <v>1.9329602398230246</v>
      </c>
      <c r="AK86">
        <v>3.5</v>
      </c>
      <c r="AL86">
        <v>0</v>
      </c>
      <c r="AM86">
        <v>0</v>
      </c>
      <c r="AP86">
        <v>0</v>
      </c>
      <c r="AQ86">
        <v>-2.307229</v>
      </c>
      <c r="AR86">
        <v>0.5852366</v>
      </c>
      <c r="AS86">
        <v>0.201322</v>
      </c>
      <c r="BC86">
        <v>1.4274935</v>
      </c>
      <c r="BD86">
        <v>-7.1050000000000002E-3</v>
      </c>
      <c r="BE86">
        <v>5.1415999999999996E-3</v>
      </c>
      <c r="BF86">
        <v>-1.4290590000000001</v>
      </c>
      <c r="BG86">
        <v>4.9200300000000002E-2</v>
      </c>
      <c r="BH86">
        <v>0.14513599999999999</v>
      </c>
      <c r="BI86">
        <v>2.0170299999999999E-2</v>
      </c>
      <c r="BJ86">
        <v>-1.032025</v>
      </c>
      <c r="BK86">
        <v>0</v>
      </c>
      <c r="BL86">
        <v>0</v>
      </c>
      <c r="BM86">
        <v>0</v>
      </c>
      <c r="BN86">
        <v>3.5566068246042359E-2</v>
      </c>
      <c r="BO86">
        <v>1.0362061061865622</v>
      </c>
      <c r="BP86">
        <v>0.72299999999999998</v>
      </c>
      <c r="BQ86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C369-E4B9-43E6-A07A-C22089FD9792}">
  <dimension ref="A1:BE44"/>
  <sheetViews>
    <sheetView topLeftCell="Z1" zoomScale="70" zoomScaleNormal="70" workbookViewId="0">
      <selection activeCell="BD25" sqref="BD25:BD44"/>
    </sheetView>
  </sheetViews>
  <sheetFormatPr defaultRowHeight="15" x14ac:dyDescent="0.25"/>
  <cols>
    <col min="1" max="21" width="11.5703125" style="146" customWidth="1"/>
    <col min="22" max="34" width="11.5703125" customWidth="1"/>
    <col min="35" max="35" width="11.5703125" style="146" customWidth="1"/>
    <col min="36" max="46" width="11.5703125" customWidth="1"/>
    <col min="48" max="51" width="11.5703125" customWidth="1"/>
  </cols>
  <sheetData>
    <row r="1" spans="1:57" ht="15.75" x14ac:dyDescent="0.25">
      <c r="A1" s="146" t="s">
        <v>87</v>
      </c>
      <c r="V1" s="146"/>
      <c r="W1" s="146"/>
      <c r="X1" s="146"/>
      <c r="Y1" s="146"/>
      <c r="Z1" s="146"/>
      <c r="AA1" s="146"/>
      <c r="AG1" s="18"/>
      <c r="AH1" s="147"/>
      <c r="AI1" s="147"/>
      <c r="AO1" s="147"/>
      <c r="AP1" s="147"/>
      <c r="AQ1" s="147"/>
      <c r="AR1" s="147"/>
      <c r="AT1" s="140"/>
      <c r="AU1" s="18"/>
      <c r="AV1" s="18"/>
      <c r="AW1" s="18"/>
      <c r="AX1" s="147"/>
      <c r="BA1" s="147"/>
      <c r="BB1" s="17"/>
      <c r="BC1" s="141"/>
    </row>
    <row r="2" spans="1:57" ht="15.75" x14ac:dyDescent="0.25">
      <c r="A2" s="146" t="s">
        <v>38</v>
      </c>
      <c r="B2" s="146" t="s">
        <v>400</v>
      </c>
      <c r="C2" s="146" t="s">
        <v>288</v>
      </c>
      <c r="D2" s="146" t="s">
        <v>1</v>
      </c>
      <c r="E2" s="146" t="s">
        <v>289</v>
      </c>
      <c r="F2" s="146" t="s">
        <v>2</v>
      </c>
      <c r="G2" s="146" t="s">
        <v>124</v>
      </c>
      <c r="H2" s="146" t="s">
        <v>125</v>
      </c>
      <c r="I2" s="146" t="s">
        <v>15</v>
      </c>
      <c r="J2" s="146" t="s">
        <v>4</v>
      </c>
      <c r="K2" s="146" t="s">
        <v>5</v>
      </c>
      <c r="L2" s="146" t="s">
        <v>3</v>
      </c>
      <c r="M2" s="146" t="s">
        <v>16</v>
      </c>
      <c r="N2" s="18" t="s">
        <v>17</v>
      </c>
      <c r="O2" s="147" t="s">
        <v>0</v>
      </c>
      <c r="P2" s="147" t="s">
        <v>86</v>
      </c>
      <c r="Q2" t="s">
        <v>84</v>
      </c>
      <c r="R2" t="s">
        <v>85</v>
      </c>
      <c r="S2" t="s">
        <v>83</v>
      </c>
      <c r="T2" t="s">
        <v>82</v>
      </c>
      <c r="U2" t="s">
        <v>406</v>
      </c>
      <c r="V2" s="147" t="s">
        <v>287</v>
      </c>
      <c r="W2" s="147" t="s">
        <v>7</v>
      </c>
      <c r="X2" s="147" t="s">
        <v>429</v>
      </c>
      <c r="Y2" s="147" t="s">
        <v>430</v>
      </c>
      <c r="Z2" s="146" t="s">
        <v>14</v>
      </c>
      <c r="AA2" s="146" t="s">
        <v>12</v>
      </c>
      <c r="AB2" s="146" t="s">
        <v>13</v>
      </c>
      <c r="AC2" s="146" t="s">
        <v>425</v>
      </c>
      <c r="AD2" s="146" t="s">
        <v>426</v>
      </c>
      <c r="AE2" s="146" t="s">
        <v>427</v>
      </c>
      <c r="AF2" s="146" t="s">
        <v>428</v>
      </c>
      <c r="AG2" t="s">
        <v>11</v>
      </c>
      <c r="AH2" s="140" t="s">
        <v>271</v>
      </c>
      <c r="AI2" s="18" t="s">
        <v>6</v>
      </c>
      <c r="AJ2" s="18" t="s">
        <v>272</v>
      </c>
      <c r="AK2" s="18" t="s">
        <v>273</v>
      </c>
      <c r="AL2" s="147" t="s">
        <v>286</v>
      </c>
      <c r="AM2" s="146" t="s">
        <v>18</v>
      </c>
      <c r="AN2" s="146" t="s">
        <v>104</v>
      </c>
      <c r="AO2" s="146" t="s">
        <v>105</v>
      </c>
      <c r="AP2" s="146" t="s">
        <v>20</v>
      </c>
      <c r="AQ2" s="146" t="s">
        <v>21</v>
      </c>
      <c r="AR2" s="146" t="s">
        <v>22</v>
      </c>
      <c r="AS2" s="146" t="s">
        <v>23</v>
      </c>
      <c r="AT2" s="146" t="s">
        <v>24</v>
      </c>
      <c r="AU2" s="146" t="s">
        <v>25</v>
      </c>
      <c r="AV2" s="146" t="s">
        <v>26</v>
      </c>
      <c r="AW2" s="146" t="s">
        <v>27</v>
      </c>
      <c r="AX2" s="146" t="s">
        <v>28</v>
      </c>
      <c r="AY2" t="s">
        <v>404</v>
      </c>
      <c r="AZ2" t="s">
        <v>405</v>
      </c>
      <c r="BA2" s="147" t="s">
        <v>19</v>
      </c>
      <c r="BB2" s="17" t="s">
        <v>284</v>
      </c>
      <c r="BC2" s="141" t="s">
        <v>8</v>
      </c>
      <c r="BD2" t="s">
        <v>290</v>
      </c>
      <c r="BE2" t="s">
        <v>291</v>
      </c>
    </row>
    <row r="3" spans="1:57" ht="15.75" x14ac:dyDescent="0.25">
      <c r="A3" s="146">
        <v>1</v>
      </c>
      <c r="B3" s="146">
        <v>5</v>
      </c>
      <c r="C3">
        <v>0.20319999999999999</v>
      </c>
      <c r="D3">
        <f t="shared" ref="D3:D22" si="0">C3*1000</f>
        <v>203.2</v>
      </c>
      <c r="E3">
        <v>5.5599999999999998E-3</v>
      </c>
      <c r="F3">
        <f t="shared" ref="F3:F22" si="1">E3*1000</f>
        <v>5.56</v>
      </c>
      <c r="G3" s="4">
        <f t="shared" ref="G3:G22" si="2">C3/E3</f>
        <v>36.546762589928058</v>
      </c>
      <c r="H3" s="146">
        <v>15</v>
      </c>
      <c r="I3" s="146" t="s">
        <v>117</v>
      </c>
      <c r="J3" s="146">
        <f>IF(I3="Grade-B",3,IF(I3="X-42",3,IF(I3="X-52",8,IF(I3="X-60",8,IF(I3="X-70",14,IF(I3="X-80",15,8))))))</f>
        <v>8</v>
      </c>
      <c r="K3" s="146">
        <f>IF(I3="Grade-B",8,IF(I3="X-42",9,IF(I3="X-52",10,IF(I3="X-60",12,IF(I3="X-70",15,IF(I3="X-80",20,10))))))</f>
        <v>10</v>
      </c>
      <c r="L3" s="146">
        <f>IF(I3="Grade-B",241,IF(I3="X-42",290,IF(I3="X-52",359,IF(I3="X-60",414,IF(I3="X-70",483,IF(I3="X-80",552,359))))))*1000</f>
        <v>359000</v>
      </c>
      <c r="M3" s="146">
        <f>IF(I3="Grade-B",344,IF(I3="X-42",414,IF(I3="X-52",455,IF(I3="X-60",517,IF(I3="X-70",565,IF(I3="X-80",625,L3*1.2/1000))))))*1000</f>
        <v>455000</v>
      </c>
      <c r="N3" s="146">
        <f>M3/200000000*(1+J3/(1+K3)*(M3/L3)^K3)*100</f>
        <v>1.9969902892117808</v>
      </c>
      <c r="O3" t="s">
        <v>9</v>
      </c>
      <c r="P3" t="s">
        <v>267</v>
      </c>
      <c r="Q3">
        <f>IF(P3="medium dense",18,IF(P3="dense",18.5,IF(P3="very dense",19,IF(P3="soft",17.5,IF(P3="medium stiff",18,IF(P3="stiff",18.5,0))))))</f>
        <v>18</v>
      </c>
      <c r="R3">
        <f>IF(P3="medium dense",37,IF(P3="dense",40,IF(P3="very dense",43,0)))</f>
        <v>37</v>
      </c>
      <c r="S3">
        <f>IF(P3="soft",37.5,IF(P3="medium stiff",75,IF(P3="stiff",125,0)))</f>
        <v>0</v>
      </c>
      <c r="T3">
        <f>IF(P3="soft",1.1,IF(P3="medium stiff",0.72,IF(P3="stiff",0.4,0)))</f>
        <v>0</v>
      </c>
      <c r="U3">
        <v>0.9</v>
      </c>
      <c r="V3" s="146">
        <v>1</v>
      </c>
      <c r="W3">
        <f>IF(O3="clay",T3*S3,IF(O3="sand",V3*Q3*TAN(RADIANS(U3*R3))))*PI()*C3</f>
        <v>7.5479720641402661</v>
      </c>
      <c r="X3">
        <f>IF(W3&lt;70,1,0)</f>
        <v>1</v>
      </c>
      <c r="Y3">
        <f>IF(G3&lt;100,1,0)</f>
        <v>1</v>
      </c>
      <c r="Z3" s="146">
        <f>IF(AND(B3&gt;=5,B3&lt;45),-0.05402*(B3-45)-1.82829,IF(AND(B3&gt;=45,B3&lt;85),0.00735*(B3-75)-1.60779))</f>
        <v>0.33251000000000008</v>
      </c>
      <c r="AA3" s="146">
        <f>IF(AND(B3&gt;=5,B3&lt;45),0.01347*(B3-45)+0.37664,IF(AND(B3&gt;=45,B3&lt;85),0.00484*(B3-75)+0.52187))</f>
        <v>-0.16215999999999997</v>
      </c>
      <c r="AB3" s="146">
        <f>IF(AND(B3&gt;=5,B3&lt;45),-0.00301*(B3-45)-0.01591,IF(AND(B3&gt;=45,B3&lt;85),-0.02185*(B3-75)-0.67156))</f>
        <v>0.10449</v>
      </c>
      <c r="AC3" s="146">
        <f>IF(AND(B3&gt;=5,B3&lt;45),0.02182*(B3-45)+0.49488,IF(AND(B3&gt;=45,B3&lt;85),0.05619*(B3-75)+2.18087))</f>
        <v>-0.37792000000000003</v>
      </c>
      <c r="AD3" s="146">
        <f>IF(AND(B3&gt;=5,B3&lt;45),0.02436*(B3-45)+0.47831,IF(AND(B3&gt;=45,B3&lt;85),0.0643*(B3-75)+2.40733))</f>
        <v>-0.49608999999999992</v>
      </c>
      <c r="AE3" s="146">
        <f>IF(AND(B3&gt;=5,B3&lt;45),-0.00001*(B3-45)-0.00165,IF(AND(B3&gt;=45,B3&lt;85),-0.00153))</f>
        <v>-1.25E-3</v>
      </c>
      <c r="AF3" s="146">
        <f>IF(AND(B3&gt;=5,B3&lt;45),0.00228*(B3-45)+0.10021,IF(AND(B3&gt;=45,B3&lt;85),0.00144*(B3-75)+0.14358))</f>
        <v>9.0099999999999902E-3</v>
      </c>
      <c r="AG3">
        <f>AB3*LN(H3)+AC3*X3+AD3*(1-X3)+AE3*Y3*(G3-100)+AF3*(1-Y3)</f>
        <v>-1.563928772424017E-2</v>
      </c>
      <c r="AH3">
        <f>Z3+AG3*LN(N3)+AA3*LN(H3)</f>
        <v>-0.11744419621019414</v>
      </c>
      <c r="AI3" s="146">
        <v>0.75</v>
      </c>
      <c r="AJ3">
        <f>IF(AI3&lt;EXP(AH3),1,0)</f>
        <v>1</v>
      </c>
      <c r="AK3">
        <f>IF(H3&lt;50,1,0)</f>
        <v>1</v>
      </c>
      <c r="AL3">
        <f>IF(O3="sand",1,0)</f>
        <v>1</v>
      </c>
      <c r="AM3" s="146">
        <f>IF(AND(B3&gt;=5,B3&lt;45),-0.02174*(B3-45)+0.16235,IF(AND(B3&gt;=45,B3&lt;85),-0.02787*(B3-75)-0.67388))</f>
        <v>1.0319499999999999</v>
      </c>
      <c r="AN3" s="146">
        <f>IF(AND(B3&gt;=5,B3&lt;45),0.00203*(B3-45)+0.24407,IF(AND(B3&gt;=45,B3&lt;85),0.00361*(B3-75)+0.35249))</f>
        <v>0.16287000000000001</v>
      </c>
      <c r="AO3" s="146">
        <f>IF(AND(B3&gt;=5,B3&lt;45),-0.02801*(B3-45)+1.64437,IF(AND(B3&gt;=45,B3&lt;85),0.00794*(B3-75)+1.8827))</f>
        <v>2.7647700000000004</v>
      </c>
      <c r="AP3" s="146">
        <f>IF(AND(B3&gt;=5,B3&lt;45),-0.0001*(B3-45)-0.00387,IF(AND(B3&gt;=45,B3&lt;85),-0.00002*(B3-75)-0.00456))</f>
        <v>1.2999999999999991E-4</v>
      </c>
      <c r="AQ3" s="146">
        <f>IF(AND(B3&gt;=5,B3&lt;45),-0.00114*(B3-45)+0.00514,IF(AND(B3&gt;=45,B3&lt;85),0.00057*(B3-75)+0.02215))</f>
        <v>5.074E-2</v>
      </c>
      <c r="AR3" s="146">
        <f>IF(AND(B3&gt;=5,B3&lt;45),0.01436*(B3-45)-0.12124,IF(AND(B3&gt;=45,B3&lt;85),-0.00844*(B3-75)-0.37439))</f>
        <v>-0.69564000000000004</v>
      </c>
      <c r="AS3" s="146">
        <f>IF(AND(B3&gt;=5,B3&lt;45),0.00002*(B3-45)+0.00092,IF(AND(B3&gt;=45,B3&lt;85),0.00002*(B3-75)+0.00156))</f>
        <v>1.1999999999999999E-4</v>
      </c>
      <c r="AT3" s="146">
        <f>IF(AND(B3&gt;=5,B3&lt;45),0.01326*(B3-45)+0.97745,IF(AND(B3&gt;=45,B3&lt;85),-0.00799*(B3-75)+0.73788))</f>
        <v>0.44705000000000006</v>
      </c>
      <c r="AU3" s="146">
        <f>IF(AND(B3&gt;=5,B3&lt;45),0.00061*(B3-45)+0.00602,IF(AND(B3&gt;=45,B3&lt;85),-0.00081*(B3-75)-0.01826))</f>
        <v>-1.8379999999999997E-2</v>
      </c>
      <c r="AV3" s="146">
        <f>IF(AND(B3&gt;=5,B3&lt;45),-0.00728*(B3-45)-0.06927,IF(AND(B3&gt;=45,B3&lt;85),0.00522*(B3-75)+0.08748))</f>
        <v>0.22193000000000002</v>
      </c>
      <c r="AW3" s="146">
        <f>IF(AND(B3&gt;=5,B3&lt;45),0.0148*(B3-45)+0.46008,IF(AND(B3&gt;=45,B3&lt;85),-0.00924*(B3-75)+0.18293))</f>
        <v>-0.13192000000000009</v>
      </c>
      <c r="AX3" s="146">
        <f>IF(AND(B3&gt;=5,B3&lt;45),0.00272*(B3-45)+0.11565,IF(AND(B3&gt;=45,B3&lt;85),0.00122*(B3-75)+0.15234))</f>
        <v>6.849999999999995E-3</v>
      </c>
      <c r="AY3">
        <f>AJ3*(AP3+AQ3*W3+AR3*AK3*(H3-50)+AS3*(1-AK3)+AT3*G3)</f>
        <v>41.068744318361823</v>
      </c>
      <c r="AZ3">
        <f>(1-AJ3)*(AU3+AV3*AK3*(H3-50)+AW3*(1-AK3)+AX3*LN(N3))</f>
        <v>0</v>
      </c>
      <c r="BA3">
        <f>AY3+AZ3</f>
        <v>41.068744318361823</v>
      </c>
      <c r="BB3">
        <f>AM3+BA3*LN(AI3/EXP(AH3))+AN3*LN(G3)+AL3*AO3*LN(W3)</f>
        <v>0.21496830266459721</v>
      </c>
      <c r="BC3" s="142">
        <f>MIN(EXP(BB3),100)</f>
        <v>1.2398225972705117</v>
      </c>
      <c r="BD3" s="146">
        <f>IF(AND(B3&gt;=5,B3&lt;45),0.00302*(B3-45)+0.53947,IF(AND(B3&gt;=45,B3&lt;85),0.00428*(B3-75)+0.66796))</f>
        <v>0.41866999999999999</v>
      </c>
      <c r="BE3">
        <v>0.3</v>
      </c>
    </row>
    <row r="4" spans="1:57" ht="15.75" x14ac:dyDescent="0.25">
      <c r="A4" s="146">
        <v>2</v>
      </c>
      <c r="B4" s="146">
        <v>5</v>
      </c>
      <c r="C4">
        <v>0.30480000000000002</v>
      </c>
      <c r="D4">
        <f t="shared" si="0"/>
        <v>304.8</v>
      </c>
      <c r="E4">
        <v>7.1399999999999996E-3</v>
      </c>
      <c r="F4">
        <f t="shared" si="1"/>
        <v>7.14</v>
      </c>
      <c r="G4" s="4">
        <f t="shared" si="2"/>
        <v>42.689075630252105</v>
      </c>
      <c r="H4" s="146">
        <v>30</v>
      </c>
      <c r="I4" s="146" t="s">
        <v>118</v>
      </c>
      <c r="J4" s="146">
        <f t="shared" ref="J4:J22" si="3">IF(I4="Grade-B",3,IF(I4="X-42",3,IF(I4="X-52",8,IF(I4="X-60",8,IF(I4="X-70",14,IF(I4="X-80",15,8))))))</f>
        <v>8</v>
      </c>
      <c r="K4" s="146">
        <f t="shared" ref="K4:K22" si="4">IF(I4="Grade-B",8,IF(I4="X-42",9,IF(I4="X-52",10,IF(I4="X-60",12,IF(I4="X-70",15,IF(I4="X-80",20,10))))))</f>
        <v>12</v>
      </c>
      <c r="L4" s="146">
        <f t="shared" ref="L4:L22" si="5">IF(I4="Grade-B",241,IF(I4="X-42",290,IF(I4="X-52",359,IF(I4="X-60",414,IF(I4="X-70",483,IF(I4="X-80",552,359))))))*1000</f>
        <v>414000</v>
      </c>
      <c r="M4" s="146">
        <f t="shared" ref="M4:M22" si="6">IF(I4="Grade-B",344,IF(I4="X-42",414,IF(I4="X-52",455,IF(I4="X-60",517,IF(I4="X-70",565,IF(I4="X-80",625,L4*1.2/1000))))))*1000</f>
        <v>517000</v>
      </c>
      <c r="N4" s="146">
        <f t="shared" ref="N4:N22" si="7">M4/200000000*(1+J4/(1+K4)*(M4/L4)^K4)*100</f>
        <v>2.5466769467238102</v>
      </c>
      <c r="O4" t="s">
        <v>9</v>
      </c>
      <c r="P4" t="s">
        <v>267</v>
      </c>
      <c r="Q4">
        <f t="shared" ref="Q4:Q22" si="8">IF(P4="medium dense",18,IF(P4="dense",18.5,IF(P4="very dense",19,IF(P4="soft",17.5,IF(P4="medium stiff",18,IF(P4="stiff",18.5,0))))))</f>
        <v>18</v>
      </c>
      <c r="R4">
        <f t="shared" ref="R4:R22" si="9">IF(P4="medium dense",37,IF(P4="dense",40,IF(P4="very dense",43,0)))</f>
        <v>37</v>
      </c>
      <c r="S4">
        <f t="shared" ref="S4:S22" si="10">IF(P4="soft",37.5,IF(P4="medium stiff",75,IF(P4="stiff",125,0)))</f>
        <v>0</v>
      </c>
      <c r="T4">
        <f t="shared" ref="T4:T22" si="11">IF(P4="soft",1.1,IF(P4="medium stiff",0.72,IF(P4="stiff",0.4,0)))</f>
        <v>0</v>
      </c>
      <c r="U4">
        <v>0.9</v>
      </c>
      <c r="V4" s="146">
        <v>2</v>
      </c>
      <c r="W4">
        <f t="shared" ref="W4:W22" si="12">IF(O4="clay",T4*S4,IF(O4="sand",V4*Q4*TAN(RADIANS(U4*R4))))*PI()*C4</f>
        <v>22.6439161924208</v>
      </c>
      <c r="X4">
        <f t="shared" ref="X4:X22" si="13">IF(W4&lt;70,1,0)</f>
        <v>1</v>
      </c>
      <c r="Y4">
        <f t="shared" ref="Y4:Y22" si="14">IF(G4&lt;100,1,0)</f>
        <v>1</v>
      </c>
      <c r="Z4" s="146">
        <f t="shared" ref="Z4:Z22" si="15">IF(AND(B4&gt;=5,B4&lt;45),-0.05402*(B4-45)-1.82829,IF(AND(B4&gt;=45,B4&lt;85),0.00735*(B4-75)-1.60779))</f>
        <v>0.33251000000000008</v>
      </c>
      <c r="AA4" s="146">
        <f t="shared" ref="AA4:AA22" si="16">IF(AND(B4&gt;=5,B4&lt;45),0.01347*(B4-45)+0.37664,IF(AND(B4&gt;=45,B4&lt;85),0.00484*(B4-75)+0.52187))</f>
        <v>-0.16215999999999997</v>
      </c>
      <c r="AB4" s="146">
        <f t="shared" ref="AB4:AB22" si="17">IF(AND(B4&gt;=5,B4&lt;45),-0.00301*(B4-45)-0.01591,IF(AND(B4&gt;=45,B4&lt;85),-0.02185*(B4-75)-0.67156))</f>
        <v>0.10449</v>
      </c>
      <c r="AC4" s="146">
        <f t="shared" ref="AC4:AC22" si="18">IF(AND(B4&gt;=5,B4&lt;45),0.02182*(B4-45)+0.49488,IF(AND(B4&gt;=45,B4&lt;85),0.05619*(B4-75)+2.18087))</f>
        <v>-0.37792000000000003</v>
      </c>
      <c r="AD4" s="146">
        <f t="shared" ref="AD4:AD22" si="19">IF(AND(B4&gt;=5,B4&lt;45),0.02436*(B4-45)+0.47831,IF(AND(B4&gt;=45,B4&lt;85),0.0643*(B4-75)+2.40733))</f>
        <v>-0.49608999999999992</v>
      </c>
      <c r="AE4" s="146">
        <f t="shared" ref="AE4:AE22" si="20">IF(AND(B4&gt;=5,B4&lt;45),-0.00001*(B4-45)-0.00165,IF(AND(B4&gt;=45,B4&lt;85),-0.00153))</f>
        <v>-1.25E-3</v>
      </c>
      <c r="AF4" s="146">
        <f t="shared" ref="AF4:AF22" si="21">IF(AND(B4&gt;=5,B4&lt;45),0.00228*(B4-45)+0.10021,IF(AND(B4&gt;=45,B4&lt;85),0.00144*(B4-75)+0.14358))</f>
        <v>9.0099999999999902E-3</v>
      </c>
      <c r="AG4">
        <f>AB4*LN(H4)+AC4*X4+AD4*(1-X4)+AE4*Y4*(G4-100)+AF4*(1-Y4)</f>
        <v>4.9109769872063475E-2</v>
      </c>
      <c r="AH4">
        <f>Z4+AG4*LN(N4)+AA4*LN(H4)</f>
        <v>-0.17312087749533284</v>
      </c>
      <c r="AI4" s="146">
        <v>0.75</v>
      </c>
      <c r="AJ4">
        <f>IF(AI4&lt;EXP(AH4),1,0)</f>
        <v>1</v>
      </c>
      <c r="AK4">
        <f>IF(H4&lt;50,1,0)</f>
        <v>1</v>
      </c>
      <c r="AL4">
        <f>IF(O4="sand",1,0)</f>
        <v>1</v>
      </c>
      <c r="AM4" s="146">
        <f t="shared" ref="AM4:AM22" si="22">IF(AND(B4&gt;=5,B4&lt;45),-0.02174*(B4-45)+0.16235,IF(AND(B4&gt;=45,B4&lt;85),-0.02787*(B4-75)-0.67388))</f>
        <v>1.0319499999999999</v>
      </c>
      <c r="AN4" s="146">
        <f t="shared" ref="AN4:AN22" si="23">IF(AND(B4&gt;=5,B4&lt;45),0.00203*(B4-45)+0.24407,IF(AND(B4&gt;=45,B4&lt;85),0.00361*(B4-75)+0.35249))</f>
        <v>0.16287000000000001</v>
      </c>
      <c r="AO4" s="146">
        <f t="shared" ref="AO4:AO22" si="24">IF(AND(B4&gt;=5,B4&lt;45),-0.02801*(B4-45)+1.64437,IF(AND(B4&gt;=45,B4&lt;85),0.00794*(B4-75)+1.8827))</f>
        <v>2.7647700000000004</v>
      </c>
      <c r="AP4" s="146">
        <f t="shared" ref="AP4:AP22" si="25">IF(AND(B4&gt;=5,B4&lt;45),-0.0001*(B4-45)-0.00387,IF(AND(B4&gt;=45,B4&lt;85),-0.00002*(B4-75)-0.00456))</f>
        <v>1.2999999999999991E-4</v>
      </c>
      <c r="AQ4" s="146">
        <f t="shared" ref="AQ4:AQ22" si="26">IF(AND(B4&gt;=5,B4&lt;45),-0.00114*(B4-45)+0.00514,IF(AND(B4&gt;=45,B4&lt;85),0.00057*(B4-75)+0.02215))</f>
        <v>5.074E-2</v>
      </c>
      <c r="AR4" s="146">
        <f t="shared" ref="AR4:AR22" si="27">IF(AND(B4&gt;=5,B4&lt;45),0.01436*(B4-45)-0.12124,IF(AND(B4&gt;=45,B4&lt;85),-0.00844*(B4-75)-0.37439))</f>
        <v>-0.69564000000000004</v>
      </c>
      <c r="AS4" s="146">
        <f t="shared" ref="AS4:AS22" si="28">IF(AND(B4&gt;=5,B4&lt;45),0.00002*(B4-45)+0.00092,IF(AND(B4&gt;=45,B4&lt;85),0.00002*(B4-75)+0.00156))</f>
        <v>1.1999999999999999E-4</v>
      </c>
      <c r="AT4" s="146">
        <f t="shared" ref="AT4:AT22" si="29">IF(AND(B4&gt;=5,B4&lt;45),0.01326*(B4-45)+0.97745,IF(AND(B4&gt;=45,B4&lt;85),-0.00799*(B4-75)+0.73788))</f>
        <v>0.44705000000000006</v>
      </c>
      <c r="AU4" s="146">
        <f t="shared" ref="AU4:AU22" si="30">IF(AND(B4&gt;=5,B4&lt;45),0.00061*(B4-45)+0.00602,IF(AND(B4&gt;=45,B4&lt;85),-0.00081*(B4-75)-0.01826))</f>
        <v>-1.8379999999999997E-2</v>
      </c>
      <c r="AV4" s="146">
        <f t="shared" ref="AV4:AV22" si="31">IF(AND(B4&gt;=5,B4&lt;45),-0.00728*(B4-45)-0.06927,IF(AND(B4&gt;=45,B4&lt;85),0.00522*(B4-75)+0.08748))</f>
        <v>0.22193000000000002</v>
      </c>
      <c r="AW4" s="146">
        <f t="shared" ref="AW4:AW22" si="32">IF(AND(B4&gt;=5,B4&lt;45),0.0148*(B4-45)+0.46008,IF(AND(B4&gt;=45,B4&lt;85),-0.00924*(B4-75)+0.18293))</f>
        <v>-0.13192000000000009</v>
      </c>
      <c r="AX4" s="146">
        <f t="shared" ref="AX4:AX22" si="33">IF(AND(B4&gt;=5,B4&lt;45),0.00272*(B4-45)+0.11565,IF(AND(B4&gt;=45,B4&lt;85),0.00122*(B4-75)+0.15234))</f>
        <v>6.849999999999995E-3</v>
      </c>
      <c r="AY4">
        <f>AJ4*(AP4+AQ4*W4+AR4*AK4*(H4-50)+AS4*(1-AK4)+AT4*G4)</f>
        <v>34.14603356810764</v>
      </c>
      <c r="AZ4">
        <f>(1-AJ4)*(AU4+AV4*AK4*(H4-50)+AW4*(1-AK4)+AX4*LN(N4))</f>
        <v>0</v>
      </c>
      <c r="BA4">
        <f t="shared" ref="BA4:BA22" si="34">AY4+AZ4</f>
        <v>34.14603356810764</v>
      </c>
      <c r="BB4">
        <f>AM4+BA4*LN(AI4/EXP(AH4))+AN4*LN(G4)+AL4*AO4*LN(W4)</f>
        <v>6.357325930252701</v>
      </c>
      <c r="BC4" s="142">
        <f t="shared" ref="BC4:BC22" si="35">MIN(EXP(BB4),100)</f>
        <v>100</v>
      </c>
      <c r="BD4" s="146">
        <f t="shared" ref="BD4:BD22" si="36">IF(AND(B4&gt;=5,B4&lt;45),0.00302*(B4-45)+0.53947,IF(AND(B4&gt;=45,B4&lt;85),0.00428*(B4-75)+0.66796))</f>
        <v>0.41866999999999999</v>
      </c>
      <c r="BE4">
        <v>0.3</v>
      </c>
    </row>
    <row r="5" spans="1:57" ht="15.75" x14ac:dyDescent="0.25">
      <c r="A5" s="146">
        <v>3</v>
      </c>
      <c r="B5" s="146">
        <v>15</v>
      </c>
      <c r="C5">
        <v>0.40639999999999998</v>
      </c>
      <c r="D5">
        <f t="shared" si="0"/>
        <v>406.4</v>
      </c>
      <c r="E5">
        <v>9.5299999999999985E-3</v>
      </c>
      <c r="F5">
        <f t="shared" si="1"/>
        <v>9.5299999999999994</v>
      </c>
      <c r="G5" s="4">
        <f t="shared" si="2"/>
        <v>42.644281217208821</v>
      </c>
      <c r="H5" s="146">
        <v>50</v>
      </c>
      <c r="I5" s="146" t="s">
        <v>119</v>
      </c>
      <c r="J5" s="146">
        <f t="shared" si="3"/>
        <v>14</v>
      </c>
      <c r="K5" s="146">
        <f t="shared" si="4"/>
        <v>15</v>
      </c>
      <c r="L5" s="146">
        <f t="shared" si="5"/>
        <v>483000</v>
      </c>
      <c r="M5" s="146">
        <f t="shared" si="6"/>
        <v>565000</v>
      </c>
      <c r="N5" s="146">
        <f t="shared" si="7"/>
        <v>2.8799444073326219</v>
      </c>
      <c r="O5" t="s">
        <v>9</v>
      </c>
      <c r="P5" t="s">
        <v>267</v>
      </c>
      <c r="Q5">
        <f t="shared" si="8"/>
        <v>18</v>
      </c>
      <c r="R5">
        <f t="shared" si="9"/>
        <v>37</v>
      </c>
      <c r="S5">
        <f t="shared" si="10"/>
        <v>0</v>
      </c>
      <c r="T5">
        <f t="shared" si="11"/>
        <v>0</v>
      </c>
      <c r="U5">
        <v>0.9</v>
      </c>
      <c r="V5" s="146">
        <v>1</v>
      </c>
      <c r="W5">
        <f t="shared" si="12"/>
        <v>15.095944128280532</v>
      </c>
      <c r="X5">
        <f t="shared" si="13"/>
        <v>1</v>
      </c>
      <c r="Y5">
        <f t="shared" si="14"/>
        <v>1</v>
      </c>
      <c r="Z5" s="146">
        <f t="shared" si="15"/>
        <v>-0.20768999999999993</v>
      </c>
      <c r="AA5" s="146">
        <f t="shared" si="16"/>
        <v>-2.7459999999999984E-2</v>
      </c>
      <c r="AB5" s="146">
        <f t="shared" si="17"/>
        <v>7.4390000000000012E-2</v>
      </c>
      <c r="AC5" s="146">
        <f t="shared" si="18"/>
        <v>-0.15971999999999997</v>
      </c>
      <c r="AD5" s="146">
        <f t="shared" si="19"/>
        <v>-0.25248999999999999</v>
      </c>
      <c r="AE5" s="146">
        <f t="shared" si="20"/>
        <v>-1.3500000000000001E-3</v>
      </c>
      <c r="AF5" s="146">
        <f t="shared" si="21"/>
        <v>3.1809999999999991E-2</v>
      </c>
      <c r="AG5">
        <f>AB5*LN(H5)+AC5*X5+AD5*(1-X5)+AE5*Y5*(G5-100)+AF5*(1-Y5)</f>
        <v>0.20872561173056797</v>
      </c>
      <c r="AH5">
        <f>Z5+AG5*LN(N5)+AA5*LN(H5)</f>
        <v>-9.4330254571742558E-2</v>
      </c>
      <c r="AI5" s="146">
        <v>0.75</v>
      </c>
      <c r="AJ5">
        <f>IF(AI5&lt;EXP(AH5),1,0)</f>
        <v>1</v>
      </c>
      <c r="AK5">
        <f>IF(H5&lt;50,1,0)</f>
        <v>0</v>
      </c>
      <c r="AL5">
        <f>IF(O5="sand",1,0)</f>
        <v>1</v>
      </c>
      <c r="AM5" s="146">
        <f t="shared" si="22"/>
        <v>0.81455</v>
      </c>
      <c r="AN5" s="146">
        <f t="shared" si="23"/>
        <v>0.18317</v>
      </c>
      <c r="AO5" s="146">
        <f t="shared" si="24"/>
        <v>2.4846700000000004</v>
      </c>
      <c r="AP5" s="146">
        <f t="shared" si="25"/>
        <v>-8.7000000000000011E-4</v>
      </c>
      <c r="AQ5" s="146">
        <f t="shared" si="26"/>
        <v>3.934E-2</v>
      </c>
      <c r="AR5" s="146">
        <f t="shared" si="27"/>
        <v>-0.55203999999999998</v>
      </c>
      <c r="AS5" s="146">
        <f t="shared" si="28"/>
        <v>3.1999999999999997E-4</v>
      </c>
      <c r="AT5" s="146">
        <f t="shared" si="29"/>
        <v>0.57965</v>
      </c>
      <c r="AU5" s="146">
        <f t="shared" si="30"/>
        <v>-1.2279999999999999E-2</v>
      </c>
      <c r="AV5" s="146">
        <f t="shared" si="31"/>
        <v>0.14913000000000001</v>
      </c>
      <c r="AW5" s="146">
        <f t="shared" si="32"/>
        <v>1.6079999999999983E-2</v>
      </c>
      <c r="AX5" s="146">
        <f t="shared" si="33"/>
        <v>3.4049999999999997E-2</v>
      </c>
      <c r="AY5">
        <f>AJ5*(AP5+AQ5*W5+AR5*AK5*(H5-50)+AS5*(1-AK5)+AT5*G5)</f>
        <v>25.312082049561649</v>
      </c>
      <c r="AZ5">
        <f>(1-AJ5)*(AU5+AV5*AK5*(H5-50)+AW5*(1-AK5)+AX5*LN(N5))</f>
        <v>0</v>
      </c>
      <c r="BA5">
        <f t="shared" si="34"/>
        <v>25.312082049561649</v>
      </c>
      <c r="BB5">
        <f>AM5+BA5*LN(AI5/EXP(AH5))+AN5*LN(G5)+AL5*AO5*LN(W5)</f>
        <v>3.3522834801053834</v>
      </c>
      <c r="BC5" s="142">
        <f t="shared" si="35"/>
        <v>28.567893436223279</v>
      </c>
      <c r="BD5" s="146">
        <f t="shared" si="36"/>
        <v>0.44886999999999999</v>
      </c>
      <c r="BE5">
        <v>0.3</v>
      </c>
    </row>
    <row r="6" spans="1:57" ht="15.75" x14ac:dyDescent="0.25">
      <c r="A6" s="146">
        <v>4</v>
      </c>
      <c r="B6" s="146">
        <v>15</v>
      </c>
      <c r="C6">
        <v>0.50800000000000001</v>
      </c>
      <c r="D6">
        <f t="shared" si="0"/>
        <v>508</v>
      </c>
      <c r="E6">
        <v>1.1130000000000001E-2</v>
      </c>
      <c r="F6">
        <f t="shared" si="1"/>
        <v>11.13</v>
      </c>
      <c r="G6" s="4">
        <f t="shared" si="2"/>
        <v>45.642407906558844</v>
      </c>
      <c r="H6" s="146">
        <v>100</v>
      </c>
      <c r="I6" s="146" t="s">
        <v>120</v>
      </c>
      <c r="J6" s="146">
        <f t="shared" si="3"/>
        <v>15</v>
      </c>
      <c r="K6" s="146">
        <f t="shared" si="4"/>
        <v>20</v>
      </c>
      <c r="L6" s="146">
        <f t="shared" si="5"/>
        <v>552000</v>
      </c>
      <c r="M6" s="146">
        <f t="shared" si="6"/>
        <v>625000</v>
      </c>
      <c r="N6" s="146">
        <f t="shared" si="7"/>
        <v>2.9888368774026359</v>
      </c>
      <c r="O6" t="s">
        <v>9</v>
      </c>
      <c r="P6" t="s">
        <v>267</v>
      </c>
      <c r="Q6">
        <f t="shared" si="8"/>
        <v>18</v>
      </c>
      <c r="R6">
        <f t="shared" si="9"/>
        <v>37</v>
      </c>
      <c r="S6">
        <f t="shared" si="10"/>
        <v>0</v>
      </c>
      <c r="T6">
        <f t="shared" si="11"/>
        <v>0</v>
      </c>
      <c r="U6">
        <v>0.9</v>
      </c>
      <c r="V6" s="146">
        <v>2</v>
      </c>
      <c r="W6">
        <f t="shared" si="12"/>
        <v>37.739860320701332</v>
      </c>
      <c r="X6">
        <f t="shared" si="13"/>
        <v>1</v>
      </c>
      <c r="Y6">
        <f t="shared" si="14"/>
        <v>1</v>
      </c>
      <c r="Z6" s="146">
        <f t="shared" si="15"/>
        <v>-0.20768999999999993</v>
      </c>
      <c r="AA6" s="146">
        <f t="shared" si="16"/>
        <v>-2.7459999999999984E-2</v>
      </c>
      <c r="AB6" s="146">
        <f t="shared" si="17"/>
        <v>7.4390000000000012E-2</v>
      </c>
      <c r="AC6" s="146">
        <f t="shared" si="18"/>
        <v>-0.15971999999999997</v>
      </c>
      <c r="AD6" s="146">
        <f t="shared" si="19"/>
        <v>-0.25248999999999999</v>
      </c>
      <c r="AE6" s="146">
        <f t="shared" si="20"/>
        <v>-1.3500000000000001E-3</v>
      </c>
      <c r="AF6" s="146">
        <f t="shared" si="21"/>
        <v>3.1809999999999991E-2</v>
      </c>
      <c r="AG6">
        <f>AB6*LN(H6)+AC6*X6+AD6*(1-X6)+AE6*Y6*(G6-100)+AF6*(1-Y6)</f>
        <v>0.25624135946179982</v>
      </c>
      <c r="AH6">
        <f>Z6+AG6*LN(N6)+AA6*LN(H6)</f>
        <v>-5.359332989807794E-2</v>
      </c>
      <c r="AI6" s="146">
        <v>0.75</v>
      </c>
      <c r="AJ6">
        <f>IF(AI6&lt;EXP(AH6),1,0)</f>
        <v>1</v>
      </c>
      <c r="AK6">
        <f>IF(H6&lt;50,1,0)</f>
        <v>0</v>
      </c>
      <c r="AL6">
        <f>IF(O6="sand",1,0)</f>
        <v>1</v>
      </c>
      <c r="AM6" s="146">
        <f t="shared" si="22"/>
        <v>0.81455</v>
      </c>
      <c r="AN6" s="146">
        <f t="shared" si="23"/>
        <v>0.18317</v>
      </c>
      <c r="AO6" s="146">
        <f t="shared" si="24"/>
        <v>2.4846700000000004</v>
      </c>
      <c r="AP6" s="146">
        <f t="shared" si="25"/>
        <v>-8.7000000000000011E-4</v>
      </c>
      <c r="AQ6" s="146">
        <f t="shared" si="26"/>
        <v>3.934E-2</v>
      </c>
      <c r="AR6" s="146">
        <f t="shared" si="27"/>
        <v>-0.55203999999999998</v>
      </c>
      <c r="AS6" s="146">
        <f t="shared" si="28"/>
        <v>3.1999999999999997E-4</v>
      </c>
      <c r="AT6" s="146">
        <f t="shared" si="29"/>
        <v>0.57965</v>
      </c>
      <c r="AU6" s="146">
        <f t="shared" si="30"/>
        <v>-1.2279999999999999E-2</v>
      </c>
      <c r="AV6" s="146">
        <f t="shared" si="31"/>
        <v>0.14913000000000001</v>
      </c>
      <c r="AW6" s="146">
        <f t="shared" si="32"/>
        <v>1.6079999999999983E-2</v>
      </c>
      <c r="AX6" s="146">
        <f t="shared" si="33"/>
        <v>3.4049999999999997E-2</v>
      </c>
      <c r="AY6">
        <f>AJ6*(AP6+AQ6*W6+AR6*AK6*(H6-50)+AS6*(1-AK6)+AT6*G6)</f>
        <v>27.940757848053224</v>
      </c>
      <c r="AZ6">
        <f>(1-AJ6)*(AU6+AV6*AK6*(H6-50)+AW6*(1-AK6)+AX6*LN(N6))</f>
        <v>0</v>
      </c>
      <c r="BA6">
        <f t="shared" si="34"/>
        <v>27.940757848053224</v>
      </c>
      <c r="BB6">
        <f>AM6+BA6*LN(AI6/EXP(AH6))+AN6*LN(G6)+AL6*AO6*LN(W6)</f>
        <v>3.9949291023077054</v>
      </c>
      <c r="BC6" s="142">
        <f t="shared" si="35"/>
        <v>54.321989183611407</v>
      </c>
      <c r="BD6" s="146">
        <f t="shared" si="36"/>
        <v>0.44886999999999999</v>
      </c>
      <c r="BE6">
        <v>0.3</v>
      </c>
    </row>
    <row r="7" spans="1:57" ht="15.75" x14ac:dyDescent="0.25">
      <c r="A7" s="146">
        <v>5</v>
      </c>
      <c r="B7" s="146">
        <v>25</v>
      </c>
      <c r="C7">
        <v>0.60960000000000003</v>
      </c>
      <c r="D7">
        <f t="shared" si="0"/>
        <v>609.6</v>
      </c>
      <c r="E7">
        <v>9.5299999999999985E-3</v>
      </c>
      <c r="F7">
        <f t="shared" si="1"/>
        <v>9.5299999999999994</v>
      </c>
      <c r="G7" s="4">
        <f t="shared" si="2"/>
        <v>63.966421825813235</v>
      </c>
      <c r="H7" s="146">
        <v>15</v>
      </c>
      <c r="I7" s="146" t="s">
        <v>117</v>
      </c>
      <c r="J7" s="146">
        <f t="shared" si="3"/>
        <v>8</v>
      </c>
      <c r="K7" s="146">
        <f t="shared" si="4"/>
        <v>10</v>
      </c>
      <c r="L7" s="146">
        <f t="shared" si="5"/>
        <v>359000</v>
      </c>
      <c r="M7" s="146">
        <f t="shared" si="6"/>
        <v>455000</v>
      </c>
      <c r="N7" s="146">
        <f t="shared" si="7"/>
        <v>1.9969902892117808</v>
      </c>
      <c r="O7" t="s">
        <v>9</v>
      </c>
      <c r="P7" t="s">
        <v>268</v>
      </c>
      <c r="Q7">
        <f t="shared" si="8"/>
        <v>18.5</v>
      </c>
      <c r="R7">
        <f t="shared" si="9"/>
        <v>40</v>
      </c>
      <c r="S7">
        <f t="shared" si="10"/>
        <v>0</v>
      </c>
      <c r="T7">
        <f t="shared" si="11"/>
        <v>0</v>
      </c>
      <c r="U7">
        <v>0.9</v>
      </c>
      <c r="V7" s="146">
        <v>1</v>
      </c>
      <c r="W7">
        <f t="shared" si="12"/>
        <v>25.741129539100392</v>
      </c>
      <c r="X7">
        <f t="shared" si="13"/>
        <v>1</v>
      </c>
      <c r="Y7">
        <f t="shared" si="14"/>
        <v>1</v>
      </c>
      <c r="Z7" s="146">
        <f t="shared" si="15"/>
        <v>-0.74788999999999994</v>
      </c>
      <c r="AA7" s="146">
        <f t="shared" si="16"/>
        <v>0.10724</v>
      </c>
      <c r="AB7" s="146">
        <f t="shared" si="17"/>
        <v>4.4290000000000003E-2</v>
      </c>
      <c r="AC7" s="146">
        <f t="shared" si="18"/>
        <v>5.8479999999999976E-2</v>
      </c>
      <c r="AD7" s="146">
        <f t="shared" si="19"/>
        <v>-8.8899999999999535E-3</v>
      </c>
      <c r="AE7" s="146">
        <f t="shared" si="20"/>
        <v>-1.4499999999999999E-3</v>
      </c>
      <c r="AF7" s="146">
        <f t="shared" si="21"/>
        <v>5.4609999999999992E-2</v>
      </c>
      <c r="AG7">
        <f>AB7*LN(H7)+AC7*X7+AD7*(1-X7)+AE7*Y7*(G7-100)+AF7*(1-Y7)</f>
        <v>0.23066823175938767</v>
      </c>
      <c r="AH7">
        <f>Z7+AG7*LN(N7)+AA7*LN(H7)</f>
        <v>-0.29793904572462759</v>
      </c>
      <c r="AI7" s="146">
        <v>2.75</v>
      </c>
      <c r="AJ7">
        <f>IF(AI7&lt;EXP(AH7),1,0)</f>
        <v>0</v>
      </c>
      <c r="AK7">
        <f>IF(H7&lt;50,1,0)</f>
        <v>1</v>
      </c>
      <c r="AL7">
        <f>IF(O7="sand",1,0)</f>
        <v>1</v>
      </c>
      <c r="AM7" s="146">
        <f t="shared" si="22"/>
        <v>0.59714999999999996</v>
      </c>
      <c r="AN7" s="146">
        <f t="shared" si="23"/>
        <v>0.20347000000000001</v>
      </c>
      <c r="AO7" s="146">
        <f t="shared" si="24"/>
        <v>2.2045700000000004</v>
      </c>
      <c r="AP7" s="146">
        <f t="shared" si="25"/>
        <v>-1.8700000000000001E-3</v>
      </c>
      <c r="AQ7" s="146">
        <f t="shared" si="26"/>
        <v>2.794E-2</v>
      </c>
      <c r="AR7" s="146">
        <f t="shared" si="27"/>
        <v>-0.40844000000000003</v>
      </c>
      <c r="AS7" s="146">
        <f t="shared" si="28"/>
        <v>5.2000000000000006E-4</v>
      </c>
      <c r="AT7" s="146">
        <f t="shared" si="29"/>
        <v>0.71225000000000005</v>
      </c>
      <c r="AU7" s="146">
        <f t="shared" si="30"/>
        <v>-6.1799999999999989E-3</v>
      </c>
      <c r="AV7" s="146">
        <f t="shared" si="31"/>
        <v>7.6330000000000009E-2</v>
      </c>
      <c r="AW7" s="146">
        <f t="shared" si="32"/>
        <v>0.16407999999999995</v>
      </c>
      <c r="AX7" s="146">
        <f t="shared" si="33"/>
        <v>6.1249999999999999E-2</v>
      </c>
      <c r="AY7">
        <f>AJ7*(AP7+AQ7*W7+AR7*AK7*(H7-50)+AS7*(1-AK7)+AT7*G7)</f>
        <v>0</v>
      </c>
      <c r="AZ7">
        <f>(1-AJ7)*(AU7+AV7*AK7*(H7-50)+AW7*(1-AK7)+AX7*LN(N7))</f>
        <v>-2.6353669770063104</v>
      </c>
      <c r="BA7">
        <f t="shared" si="34"/>
        <v>-2.6353669770063104</v>
      </c>
      <c r="BB7">
        <f>AM7+BA7*LN(AI7/EXP(AH7))+AN7*LN(G7)+AL7*AO7*LN(W7)</f>
        <v>5.1527747579237175</v>
      </c>
      <c r="BC7" s="142">
        <f t="shared" si="35"/>
        <v>100</v>
      </c>
      <c r="BD7" s="146">
        <f t="shared" si="36"/>
        <v>0.47907</v>
      </c>
      <c r="BE7">
        <v>0.3</v>
      </c>
    </row>
    <row r="8" spans="1:57" ht="15.75" x14ac:dyDescent="0.25">
      <c r="A8" s="146">
        <v>6</v>
      </c>
      <c r="B8" s="146">
        <v>25</v>
      </c>
      <c r="C8">
        <v>0.76200000000000001</v>
      </c>
      <c r="D8">
        <f t="shared" si="0"/>
        <v>762</v>
      </c>
      <c r="E8">
        <v>1.2699999999999999E-2</v>
      </c>
      <c r="F8">
        <f t="shared" si="1"/>
        <v>12.7</v>
      </c>
      <c r="G8" s="4">
        <f t="shared" si="2"/>
        <v>60</v>
      </c>
      <c r="H8" s="146">
        <v>30</v>
      </c>
      <c r="I8" s="146" t="s">
        <v>118</v>
      </c>
      <c r="J8" s="146">
        <f t="shared" si="3"/>
        <v>8</v>
      </c>
      <c r="K8" s="146">
        <f t="shared" si="4"/>
        <v>12</v>
      </c>
      <c r="L8" s="146">
        <f t="shared" si="5"/>
        <v>414000</v>
      </c>
      <c r="M8" s="146">
        <f t="shared" si="6"/>
        <v>517000</v>
      </c>
      <c r="N8" s="146">
        <f t="shared" si="7"/>
        <v>2.5466769467238102</v>
      </c>
      <c r="O8" t="s">
        <v>9</v>
      </c>
      <c r="P8" t="s">
        <v>268</v>
      </c>
      <c r="Q8">
        <f t="shared" si="8"/>
        <v>18.5</v>
      </c>
      <c r="R8">
        <f t="shared" si="9"/>
        <v>40</v>
      </c>
      <c r="S8">
        <f t="shared" si="10"/>
        <v>0</v>
      </c>
      <c r="T8">
        <f t="shared" si="11"/>
        <v>0</v>
      </c>
      <c r="U8">
        <v>0.9</v>
      </c>
      <c r="V8" s="146">
        <v>2</v>
      </c>
      <c r="W8">
        <f t="shared" si="12"/>
        <v>64.352823847750969</v>
      </c>
      <c r="X8">
        <f t="shared" si="13"/>
        <v>1</v>
      </c>
      <c r="Y8">
        <f t="shared" si="14"/>
        <v>1</v>
      </c>
      <c r="Z8" s="146">
        <f t="shared" si="15"/>
        <v>-0.74788999999999994</v>
      </c>
      <c r="AA8" s="146">
        <f t="shared" si="16"/>
        <v>0.10724</v>
      </c>
      <c r="AB8" s="146">
        <f t="shared" si="17"/>
        <v>4.4290000000000003E-2</v>
      </c>
      <c r="AC8" s="146">
        <f t="shared" si="18"/>
        <v>5.8479999999999976E-2</v>
      </c>
      <c r="AD8" s="146">
        <f t="shared" si="19"/>
        <v>-8.8899999999999535E-3</v>
      </c>
      <c r="AE8" s="146">
        <f t="shared" si="20"/>
        <v>-1.4499999999999999E-3</v>
      </c>
      <c r="AF8" s="146">
        <f t="shared" si="21"/>
        <v>5.4609999999999992E-2</v>
      </c>
      <c r="AG8">
        <f>AB8*LN(H8)+AC8*X8+AD8*(1-X8)+AE8*Y8*(G8-100)+AF8*(1-Y8)</f>
        <v>0.26711903203381682</v>
      </c>
      <c r="AH8">
        <f>Z8+AG8*LN(N8)+AA8*LN(H8)</f>
        <v>-0.1334455661494785</v>
      </c>
      <c r="AI8" s="146">
        <v>3.5</v>
      </c>
      <c r="AJ8">
        <f>IF(AI8&lt;EXP(AH8),1,0)</f>
        <v>0</v>
      </c>
      <c r="AK8">
        <f>IF(H8&lt;50,1,0)</f>
        <v>1</v>
      </c>
      <c r="AL8">
        <f>IF(O8="sand",1,0)</f>
        <v>1</v>
      </c>
      <c r="AM8" s="146">
        <f t="shared" si="22"/>
        <v>0.59714999999999996</v>
      </c>
      <c r="AN8" s="146">
        <f t="shared" si="23"/>
        <v>0.20347000000000001</v>
      </c>
      <c r="AO8" s="146">
        <f t="shared" si="24"/>
        <v>2.2045700000000004</v>
      </c>
      <c r="AP8" s="146">
        <f t="shared" si="25"/>
        <v>-1.8700000000000001E-3</v>
      </c>
      <c r="AQ8" s="146">
        <f t="shared" si="26"/>
        <v>2.794E-2</v>
      </c>
      <c r="AR8" s="146">
        <f t="shared" si="27"/>
        <v>-0.40844000000000003</v>
      </c>
      <c r="AS8" s="146">
        <f t="shared" si="28"/>
        <v>5.2000000000000006E-4</v>
      </c>
      <c r="AT8" s="146">
        <f t="shared" si="29"/>
        <v>0.71225000000000005</v>
      </c>
      <c r="AU8" s="146">
        <f t="shared" si="30"/>
        <v>-6.1799999999999989E-3</v>
      </c>
      <c r="AV8" s="146">
        <f t="shared" si="31"/>
        <v>7.6330000000000009E-2</v>
      </c>
      <c r="AW8" s="146">
        <f t="shared" si="32"/>
        <v>0.16407999999999995</v>
      </c>
      <c r="AX8" s="146">
        <f t="shared" si="33"/>
        <v>6.1249999999999999E-2</v>
      </c>
      <c r="AY8">
        <f>AJ8*(AP8+AQ8*W8+AR8*AK8*(H8-50)+AS8*(1-AK8)+AT8*G8)</f>
        <v>0</v>
      </c>
      <c r="AZ8">
        <f>(1-AJ8)*(AU8+AV8*AK8*(H8-50)+AW8*(1-AK8)+AX8*LN(N8))</f>
        <v>-1.4755241522406035</v>
      </c>
      <c r="BA8">
        <f t="shared" si="34"/>
        <v>-1.4755241522406035</v>
      </c>
      <c r="BB8">
        <f>AM8+BA8*LN(AI8/EXP(AH8))+AN8*LN(G8)+AL8*AO8*LN(W8)</f>
        <v>8.5655111300705915</v>
      </c>
      <c r="BC8" s="142">
        <f t="shared" si="35"/>
        <v>100</v>
      </c>
      <c r="BD8" s="146">
        <f t="shared" si="36"/>
        <v>0.47907</v>
      </c>
      <c r="BE8">
        <v>0.3</v>
      </c>
    </row>
    <row r="9" spans="1:57" ht="15.75" x14ac:dyDescent="0.25">
      <c r="A9" s="146">
        <v>7</v>
      </c>
      <c r="B9" s="146">
        <v>35</v>
      </c>
      <c r="C9">
        <v>0.86360000000000003</v>
      </c>
      <c r="D9">
        <f t="shared" si="0"/>
        <v>863.6</v>
      </c>
      <c r="E9">
        <v>1.1130000000000001E-2</v>
      </c>
      <c r="F9">
        <f t="shared" si="1"/>
        <v>11.13</v>
      </c>
      <c r="G9" s="4">
        <f t="shared" si="2"/>
        <v>77.592093441150041</v>
      </c>
      <c r="H9" s="146">
        <v>50</v>
      </c>
      <c r="I9" s="146" t="s">
        <v>119</v>
      </c>
      <c r="J9" s="146">
        <f t="shared" si="3"/>
        <v>14</v>
      </c>
      <c r="K9" s="146">
        <f t="shared" si="4"/>
        <v>15</v>
      </c>
      <c r="L9" s="146">
        <f t="shared" si="5"/>
        <v>483000</v>
      </c>
      <c r="M9" s="146">
        <f t="shared" si="6"/>
        <v>565000</v>
      </c>
      <c r="N9" s="146">
        <f t="shared" si="7"/>
        <v>2.8799444073326219</v>
      </c>
      <c r="O9" t="s">
        <v>9</v>
      </c>
      <c r="P9" t="s">
        <v>268</v>
      </c>
      <c r="Q9">
        <f t="shared" si="8"/>
        <v>18.5</v>
      </c>
      <c r="R9">
        <f t="shared" si="9"/>
        <v>40</v>
      </c>
      <c r="S9">
        <f t="shared" si="10"/>
        <v>0</v>
      </c>
      <c r="T9">
        <f t="shared" si="11"/>
        <v>0</v>
      </c>
      <c r="U9">
        <v>0.9</v>
      </c>
      <c r="V9" s="146">
        <v>1</v>
      </c>
      <c r="W9">
        <f t="shared" si="12"/>
        <v>36.46660018039222</v>
      </c>
      <c r="X9">
        <f t="shared" si="13"/>
        <v>1</v>
      </c>
      <c r="Y9">
        <f t="shared" si="14"/>
        <v>1</v>
      </c>
      <c r="Z9" s="146">
        <f t="shared" si="15"/>
        <v>-1.28809</v>
      </c>
      <c r="AA9" s="146">
        <f t="shared" si="16"/>
        <v>0.24193999999999999</v>
      </c>
      <c r="AB9" s="146">
        <f t="shared" si="17"/>
        <v>1.4190000000000001E-2</v>
      </c>
      <c r="AC9" s="146">
        <f t="shared" si="18"/>
        <v>0.27667999999999998</v>
      </c>
      <c r="AD9" s="146">
        <f t="shared" si="19"/>
        <v>0.23471000000000003</v>
      </c>
      <c r="AE9" s="146">
        <f t="shared" si="20"/>
        <v>-1.5499999999999999E-3</v>
      </c>
      <c r="AF9" s="146">
        <f t="shared" si="21"/>
        <v>7.7409999999999993E-2</v>
      </c>
      <c r="AG9">
        <f>AB9*LN(H9)+AC9*X9+AD9*(1-X9)+AE9*Y9*(G9-100)+AF9*(1-Y9)</f>
        <v>0.36692386161324281</v>
      </c>
      <c r="AH9">
        <f>Z9+AG9*LN(N9)+AA9*LN(H9)</f>
        <v>4.650626263587565E-2</v>
      </c>
      <c r="AI9" s="146">
        <v>1.5</v>
      </c>
      <c r="AJ9">
        <f>IF(AI9&lt;EXP(AH9),1,0)</f>
        <v>0</v>
      </c>
      <c r="AK9">
        <f>IF(H9&lt;50,1,0)</f>
        <v>0</v>
      </c>
      <c r="AL9">
        <f>IF(O9="sand",1,0)</f>
        <v>1</v>
      </c>
      <c r="AM9" s="146">
        <f t="shared" si="22"/>
        <v>0.37974999999999998</v>
      </c>
      <c r="AN9" s="146">
        <f t="shared" si="23"/>
        <v>0.22377</v>
      </c>
      <c r="AO9" s="146">
        <f t="shared" si="24"/>
        <v>1.9244700000000001</v>
      </c>
      <c r="AP9" s="146">
        <f t="shared" si="25"/>
        <v>-2.8700000000000002E-3</v>
      </c>
      <c r="AQ9" s="146">
        <f t="shared" si="26"/>
        <v>1.6539999999999999E-2</v>
      </c>
      <c r="AR9" s="146">
        <f t="shared" si="27"/>
        <v>-0.26484000000000002</v>
      </c>
      <c r="AS9" s="146">
        <f t="shared" si="28"/>
        <v>7.2000000000000005E-4</v>
      </c>
      <c r="AT9" s="146">
        <f t="shared" si="29"/>
        <v>0.8448500000000001</v>
      </c>
      <c r="AU9" s="146">
        <f t="shared" si="30"/>
        <v>-7.9999999999999342E-5</v>
      </c>
      <c r="AV9" s="146">
        <f t="shared" si="31"/>
        <v>3.5300000000000054E-3</v>
      </c>
      <c r="AW9" s="146">
        <f t="shared" si="32"/>
        <v>0.31207999999999997</v>
      </c>
      <c r="AX9" s="146">
        <f t="shared" si="33"/>
        <v>8.8450000000000001E-2</v>
      </c>
      <c r="AY9">
        <f>AJ9*(AP9+AQ9*W9+AR9*AK9*(H9-50)+AS9*(1-AK9)+AT9*G9)</f>
        <v>0</v>
      </c>
      <c r="AZ9">
        <f>(1-AJ9)*(AU9+AV9*AK9*(H9-50)+AW9*(1-AK9)+AX9*LN(N9))</f>
        <v>0.40555984414970814</v>
      </c>
      <c r="BA9">
        <f t="shared" si="34"/>
        <v>0.40555984414970814</v>
      </c>
      <c r="BB9">
        <f>AM9+BA9*LN(AI9/EXP(AH9))+AN9*LN(G9)+AL9*AO9*LN(W9)</f>
        <v>8.4202144433962278</v>
      </c>
      <c r="BC9" s="142">
        <f t="shared" si="35"/>
        <v>100</v>
      </c>
      <c r="BD9" s="146">
        <f t="shared" si="36"/>
        <v>0.50927</v>
      </c>
      <c r="BE9">
        <v>0.3</v>
      </c>
    </row>
    <row r="10" spans="1:57" ht="15.75" x14ac:dyDescent="0.25">
      <c r="A10" s="146">
        <v>8</v>
      </c>
      <c r="B10" s="146">
        <v>35</v>
      </c>
      <c r="C10">
        <v>1.0668</v>
      </c>
      <c r="D10">
        <f t="shared" si="0"/>
        <v>1066.8</v>
      </c>
      <c r="E10">
        <v>1.2699999999999999E-2</v>
      </c>
      <c r="F10">
        <f t="shared" si="1"/>
        <v>12.7</v>
      </c>
      <c r="G10" s="4">
        <f t="shared" si="2"/>
        <v>84</v>
      </c>
      <c r="H10" s="146">
        <v>100</v>
      </c>
      <c r="I10" s="146" t="s">
        <v>120</v>
      </c>
      <c r="J10" s="146">
        <f t="shared" si="3"/>
        <v>15</v>
      </c>
      <c r="K10" s="146">
        <f t="shared" si="4"/>
        <v>20</v>
      </c>
      <c r="L10" s="146">
        <f t="shared" si="5"/>
        <v>552000</v>
      </c>
      <c r="M10" s="146">
        <f t="shared" si="6"/>
        <v>625000</v>
      </c>
      <c r="N10" s="146">
        <f t="shared" si="7"/>
        <v>2.9888368774026359</v>
      </c>
      <c r="O10" t="s">
        <v>9</v>
      </c>
      <c r="P10" t="s">
        <v>270</v>
      </c>
      <c r="Q10">
        <f t="shared" si="8"/>
        <v>19</v>
      </c>
      <c r="R10">
        <f t="shared" si="9"/>
        <v>43</v>
      </c>
      <c r="S10">
        <f t="shared" si="10"/>
        <v>0</v>
      </c>
      <c r="T10">
        <f t="shared" si="11"/>
        <v>0</v>
      </c>
      <c r="U10">
        <v>0.9</v>
      </c>
      <c r="V10" s="146">
        <v>2</v>
      </c>
      <c r="W10">
        <f t="shared" si="12"/>
        <v>102.03070645435936</v>
      </c>
      <c r="X10">
        <f t="shared" si="13"/>
        <v>0</v>
      </c>
      <c r="Y10">
        <f t="shared" si="14"/>
        <v>1</v>
      </c>
      <c r="Z10" s="146">
        <f t="shared" si="15"/>
        <v>-1.28809</v>
      </c>
      <c r="AA10" s="146">
        <f t="shared" si="16"/>
        <v>0.24193999999999999</v>
      </c>
      <c r="AB10" s="146">
        <f t="shared" si="17"/>
        <v>1.4190000000000001E-2</v>
      </c>
      <c r="AC10" s="146">
        <f t="shared" si="18"/>
        <v>0.27667999999999998</v>
      </c>
      <c r="AD10" s="146">
        <f t="shared" si="19"/>
        <v>0.23471000000000003</v>
      </c>
      <c r="AE10" s="146">
        <f t="shared" si="20"/>
        <v>-1.5499999999999999E-3</v>
      </c>
      <c r="AF10" s="146">
        <f t="shared" si="21"/>
        <v>7.7409999999999993E-2</v>
      </c>
      <c r="AG10">
        <f>AB10*LN(H10)+AC10*X10+AD10*(1-X10)+AE10*Y10*(G10-100)+AF10*(1-Y10)</f>
        <v>0.32485736493917106</v>
      </c>
      <c r="AH10">
        <f>Z10+AG10*LN(N10)+AA10*LN(H10)</f>
        <v>0.18176610584814756</v>
      </c>
      <c r="AI10" s="146">
        <v>1.5</v>
      </c>
      <c r="AJ10">
        <f>IF(AI10&lt;EXP(AH10),1,0)</f>
        <v>0</v>
      </c>
      <c r="AK10">
        <f>IF(H10&lt;50,1,0)</f>
        <v>0</v>
      </c>
      <c r="AL10">
        <f>IF(O10="sand",1,0)</f>
        <v>1</v>
      </c>
      <c r="AM10" s="146">
        <f t="shared" si="22"/>
        <v>0.37974999999999998</v>
      </c>
      <c r="AN10" s="146">
        <f t="shared" si="23"/>
        <v>0.22377</v>
      </c>
      <c r="AO10" s="146">
        <f t="shared" si="24"/>
        <v>1.9244700000000001</v>
      </c>
      <c r="AP10" s="146">
        <f t="shared" si="25"/>
        <v>-2.8700000000000002E-3</v>
      </c>
      <c r="AQ10" s="146">
        <f t="shared" si="26"/>
        <v>1.6539999999999999E-2</v>
      </c>
      <c r="AR10" s="146">
        <f t="shared" si="27"/>
        <v>-0.26484000000000002</v>
      </c>
      <c r="AS10" s="146">
        <f t="shared" si="28"/>
        <v>7.2000000000000005E-4</v>
      </c>
      <c r="AT10" s="146">
        <f t="shared" si="29"/>
        <v>0.8448500000000001</v>
      </c>
      <c r="AU10" s="146">
        <f t="shared" si="30"/>
        <v>-7.9999999999999342E-5</v>
      </c>
      <c r="AV10" s="146">
        <f t="shared" si="31"/>
        <v>3.5300000000000054E-3</v>
      </c>
      <c r="AW10" s="146">
        <f t="shared" si="32"/>
        <v>0.31207999999999997</v>
      </c>
      <c r="AX10" s="146">
        <f t="shared" si="33"/>
        <v>8.8450000000000001E-2</v>
      </c>
      <c r="AY10">
        <f>AJ10*(AP10+AQ10*W10+AR10*AK10*(H10-50)+AS10*(1-AK10)+AT10*G10)</f>
        <v>0</v>
      </c>
      <c r="AZ10">
        <f>(1-AJ10)*(AU10+AV10*AK10*(H10-50)+AW10*(1-AK10)+AX10*LN(N10))</f>
        <v>0.40884251699905277</v>
      </c>
      <c r="BA10">
        <f t="shared" si="34"/>
        <v>0.40884251699905277</v>
      </c>
      <c r="BB10">
        <f>AM10+BA10*LN(AI10/EXP(AH10))+AN10*LN(G10)+AL10*AO10*LN(W10)</f>
        <v>10.363892230517227</v>
      </c>
      <c r="BC10" s="142">
        <f t="shared" si="35"/>
        <v>100</v>
      </c>
      <c r="BD10" s="146">
        <f t="shared" si="36"/>
        <v>0.50927</v>
      </c>
      <c r="BE10">
        <v>0.3</v>
      </c>
    </row>
    <row r="11" spans="1:57" ht="15.75" x14ac:dyDescent="0.25">
      <c r="A11" s="146">
        <v>9</v>
      </c>
      <c r="B11" s="146">
        <v>45</v>
      </c>
      <c r="C11">
        <v>0.60960000000000003</v>
      </c>
      <c r="D11">
        <f t="shared" si="0"/>
        <v>609.6</v>
      </c>
      <c r="E11">
        <v>1.1130000000000001E-2</v>
      </c>
      <c r="F11">
        <f t="shared" si="1"/>
        <v>11.13</v>
      </c>
      <c r="G11" s="4">
        <f t="shared" si="2"/>
        <v>54.770889487870619</v>
      </c>
      <c r="H11" s="146">
        <v>150</v>
      </c>
      <c r="I11" s="146" t="s">
        <v>187</v>
      </c>
      <c r="J11" s="146">
        <f t="shared" si="3"/>
        <v>3</v>
      </c>
      <c r="K11" s="146">
        <f t="shared" si="4"/>
        <v>9</v>
      </c>
      <c r="L11" s="146">
        <f t="shared" si="5"/>
        <v>290000</v>
      </c>
      <c r="M11" s="146">
        <f t="shared" si="6"/>
        <v>414000</v>
      </c>
      <c r="N11" s="146">
        <f t="shared" si="7"/>
        <v>1.7363704307629526</v>
      </c>
      <c r="O11" t="s">
        <v>9</v>
      </c>
      <c r="P11" t="s">
        <v>270</v>
      </c>
      <c r="Q11">
        <f t="shared" si="8"/>
        <v>19</v>
      </c>
      <c r="R11">
        <f t="shared" si="9"/>
        <v>43</v>
      </c>
      <c r="S11">
        <f t="shared" si="10"/>
        <v>0</v>
      </c>
      <c r="T11">
        <f t="shared" si="11"/>
        <v>0</v>
      </c>
      <c r="U11">
        <v>0.9</v>
      </c>
      <c r="V11" s="146">
        <v>1</v>
      </c>
      <c r="W11">
        <f t="shared" si="12"/>
        <v>29.151630415531248</v>
      </c>
      <c r="X11">
        <f t="shared" si="13"/>
        <v>1</v>
      </c>
      <c r="Y11">
        <f t="shared" si="14"/>
        <v>1</v>
      </c>
      <c r="Z11" s="146">
        <f t="shared" si="15"/>
        <v>-1.82829</v>
      </c>
      <c r="AA11" s="146">
        <f t="shared" si="16"/>
        <v>0.37666999999999995</v>
      </c>
      <c r="AB11" s="146">
        <f t="shared" si="17"/>
        <v>-1.6059999999999963E-2</v>
      </c>
      <c r="AC11" s="146">
        <f t="shared" si="18"/>
        <v>0.49517000000000011</v>
      </c>
      <c r="AD11" s="146">
        <f t="shared" si="19"/>
        <v>0.47833000000000014</v>
      </c>
      <c r="AE11" s="146">
        <f t="shared" si="20"/>
        <v>-1.5299999999999999E-3</v>
      </c>
      <c r="AF11" s="146">
        <f t="shared" si="21"/>
        <v>0.10038000000000001</v>
      </c>
      <c r="AG11">
        <f>AB11*LN(H11)+AC11*X11+AD11*(1-X11)+AE11*Y11*(G11-100)+AF11*(1-Y11)</f>
        <v>0.48389973626037236</v>
      </c>
      <c r="AH11">
        <f>Z11+AG11*LN(N11)+AA11*LN(H11)</f>
        <v>0.32608040702065999</v>
      </c>
      <c r="AI11" s="146">
        <v>1.5</v>
      </c>
      <c r="AJ11">
        <f>IF(AI11&lt;EXP(AH11),1,0)</f>
        <v>0</v>
      </c>
      <c r="AK11">
        <f>IF(H11&lt;50,1,0)</f>
        <v>0</v>
      </c>
      <c r="AL11">
        <f>IF(O11="sand",1,0)</f>
        <v>1</v>
      </c>
      <c r="AM11" s="146">
        <f t="shared" si="22"/>
        <v>0.16221999999999992</v>
      </c>
      <c r="AN11" s="146">
        <f t="shared" si="23"/>
        <v>0.24419000000000002</v>
      </c>
      <c r="AO11" s="146">
        <f t="shared" si="24"/>
        <v>1.6445000000000001</v>
      </c>
      <c r="AP11" s="146">
        <f t="shared" si="25"/>
        <v>-3.96E-3</v>
      </c>
      <c r="AQ11" s="146">
        <f t="shared" si="26"/>
        <v>5.0499999999999989E-3</v>
      </c>
      <c r="AR11" s="146">
        <f t="shared" si="27"/>
        <v>-0.12119000000000002</v>
      </c>
      <c r="AS11" s="146">
        <f t="shared" si="28"/>
        <v>9.5999999999999992E-4</v>
      </c>
      <c r="AT11" s="146">
        <f t="shared" si="29"/>
        <v>0.97758</v>
      </c>
      <c r="AU11" s="146">
        <f t="shared" si="30"/>
        <v>6.0400000000000002E-3</v>
      </c>
      <c r="AV11" s="146">
        <f t="shared" si="31"/>
        <v>-6.9119999999999987E-2</v>
      </c>
      <c r="AW11" s="146">
        <f t="shared" si="32"/>
        <v>0.46013000000000004</v>
      </c>
      <c r="AX11" s="146">
        <f t="shared" si="33"/>
        <v>0.11574000000000001</v>
      </c>
      <c r="AY11">
        <f>AJ11*(AP11+AQ11*W11+AR11*AK11*(H11-50)+AS11*(1-AK11)+AT11*G11)</f>
        <v>0</v>
      </c>
      <c r="AZ11">
        <f>(1-AJ11)*(AU11+AV11*AK11*(H11-50)+AW11*(1-AK11)+AX11*LN(N11))</f>
        <v>0.53003498191559706</v>
      </c>
      <c r="BA11">
        <f t="shared" si="34"/>
        <v>0.53003498191559706</v>
      </c>
      <c r="BB11">
        <f>AM11+BA11*LN(AI11/EXP(AH11))+AN11*LN(G11)+AL11*AO11*LN(W11)</f>
        <v>6.7279221070890927</v>
      </c>
      <c r="BC11" s="142">
        <f t="shared" si="35"/>
        <v>100</v>
      </c>
      <c r="BD11" s="146">
        <f t="shared" si="36"/>
        <v>0.53956000000000004</v>
      </c>
      <c r="BE11">
        <v>0.3</v>
      </c>
    </row>
    <row r="12" spans="1:57" ht="15.75" x14ac:dyDescent="0.25">
      <c r="A12" s="146">
        <v>10</v>
      </c>
      <c r="B12" s="146">
        <v>45</v>
      </c>
      <c r="C12">
        <v>0.60960000000000003</v>
      </c>
      <c r="D12">
        <f t="shared" si="0"/>
        <v>609.6</v>
      </c>
      <c r="E12">
        <v>1.1130000000000001E-2</v>
      </c>
      <c r="F12">
        <f t="shared" si="1"/>
        <v>11.13</v>
      </c>
      <c r="G12" s="4">
        <f t="shared" si="2"/>
        <v>54.770889487870619</v>
      </c>
      <c r="H12" s="146">
        <v>200</v>
      </c>
      <c r="I12" s="146" t="s">
        <v>186</v>
      </c>
      <c r="J12" s="146">
        <f t="shared" si="3"/>
        <v>3</v>
      </c>
      <c r="K12" s="146">
        <f t="shared" si="4"/>
        <v>8</v>
      </c>
      <c r="L12" s="146">
        <f t="shared" si="5"/>
        <v>241000</v>
      </c>
      <c r="M12" s="146">
        <f t="shared" si="6"/>
        <v>344000</v>
      </c>
      <c r="N12" s="146">
        <f t="shared" si="7"/>
        <v>1.1599577949833839</v>
      </c>
      <c r="O12" t="s">
        <v>9</v>
      </c>
      <c r="P12" t="s">
        <v>270</v>
      </c>
      <c r="Q12">
        <f t="shared" si="8"/>
        <v>19</v>
      </c>
      <c r="R12">
        <f t="shared" si="9"/>
        <v>43</v>
      </c>
      <c r="S12">
        <f t="shared" si="10"/>
        <v>0</v>
      </c>
      <c r="T12">
        <f t="shared" si="11"/>
        <v>0</v>
      </c>
      <c r="U12">
        <v>0.9</v>
      </c>
      <c r="V12" s="146">
        <v>2</v>
      </c>
      <c r="W12">
        <f t="shared" si="12"/>
        <v>58.303260831062495</v>
      </c>
      <c r="X12">
        <f t="shared" si="13"/>
        <v>1</v>
      </c>
      <c r="Y12">
        <f t="shared" si="14"/>
        <v>1</v>
      </c>
      <c r="Z12" s="146">
        <f t="shared" si="15"/>
        <v>-1.82829</v>
      </c>
      <c r="AA12" s="146">
        <f t="shared" si="16"/>
        <v>0.37666999999999995</v>
      </c>
      <c r="AB12" s="146">
        <f t="shared" si="17"/>
        <v>-1.6059999999999963E-2</v>
      </c>
      <c r="AC12" s="146">
        <f t="shared" si="18"/>
        <v>0.49517000000000011</v>
      </c>
      <c r="AD12" s="146">
        <f t="shared" si="19"/>
        <v>0.47833000000000014</v>
      </c>
      <c r="AE12" s="146">
        <f t="shared" si="20"/>
        <v>-1.5299999999999999E-3</v>
      </c>
      <c r="AF12" s="146">
        <f t="shared" si="21"/>
        <v>0.10038000000000001</v>
      </c>
      <c r="AG12">
        <f>AB12*LN(H12)+AC12*X12+AD12*(1-X12)+AE12*Y12*(G12-100)+AF12*(1-Y12)</f>
        <v>0.47927956217679679</v>
      </c>
      <c r="AH12">
        <f>Z12+AG12*LN(N12)+AA12*LN(H12)</f>
        <v>0.23854443927911739</v>
      </c>
      <c r="AI12" s="146">
        <v>2.75</v>
      </c>
      <c r="AJ12">
        <f>IF(AI12&lt;EXP(AH12),1,0)</f>
        <v>0</v>
      </c>
      <c r="AK12">
        <f>IF(H12&lt;50,1,0)</f>
        <v>0</v>
      </c>
      <c r="AL12">
        <f>IF(O12="sand",1,0)</f>
        <v>1</v>
      </c>
      <c r="AM12" s="146">
        <f t="shared" si="22"/>
        <v>0.16221999999999992</v>
      </c>
      <c r="AN12" s="146">
        <f t="shared" si="23"/>
        <v>0.24419000000000002</v>
      </c>
      <c r="AO12" s="146">
        <f t="shared" si="24"/>
        <v>1.6445000000000001</v>
      </c>
      <c r="AP12" s="146">
        <f t="shared" si="25"/>
        <v>-3.96E-3</v>
      </c>
      <c r="AQ12" s="146">
        <f t="shared" si="26"/>
        <v>5.0499999999999989E-3</v>
      </c>
      <c r="AR12" s="146">
        <f t="shared" si="27"/>
        <v>-0.12119000000000002</v>
      </c>
      <c r="AS12" s="146">
        <f t="shared" si="28"/>
        <v>9.5999999999999992E-4</v>
      </c>
      <c r="AT12" s="146">
        <f t="shared" si="29"/>
        <v>0.97758</v>
      </c>
      <c r="AU12" s="146">
        <f t="shared" si="30"/>
        <v>6.0400000000000002E-3</v>
      </c>
      <c r="AV12" s="146">
        <f t="shared" si="31"/>
        <v>-6.9119999999999987E-2</v>
      </c>
      <c r="AW12" s="146">
        <f t="shared" si="32"/>
        <v>0.46013000000000004</v>
      </c>
      <c r="AX12" s="146">
        <f t="shared" si="33"/>
        <v>0.11574000000000001</v>
      </c>
      <c r="AY12">
        <f>AJ12*(AP12+AQ12*W12+AR12*AK12*(H12-50)+AS12*(1-AK12)+AT12*G12)</f>
        <v>0</v>
      </c>
      <c r="AZ12">
        <f>(1-AJ12)*(AU12+AV12*AK12*(H12-50)+AW12*(1-AK12)+AX12*LN(N12))</f>
        <v>0.48334392027386414</v>
      </c>
      <c r="BA12">
        <f t="shared" si="34"/>
        <v>0.48334392027386414</v>
      </c>
      <c r="BB12">
        <f>AM12+BA12*LN(AI12/EXP(AH12))+AN12*LN(G12)+AL12*AO12*LN(W12)</f>
        <v>8.1993781228772242</v>
      </c>
      <c r="BC12" s="142">
        <f t="shared" si="35"/>
        <v>100</v>
      </c>
      <c r="BD12" s="146">
        <f t="shared" si="36"/>
        <v>0.53956000000000004</v>
      </c>
      <c r="BE12">
        <v>0.3</v>
      </c>
    </row>
    <row r="13" spans="1:57" ht="15.75" x14ac:dyDescent="0.25">
      <c r="A13" s="146">
        <v>11</v>
      </c>
      <c r="B13" s="146">
        <v>55</v>
      </c>
      <c r="C13">
        <v>0.20319999999999999</v>
      </c>
      <c r="D13">
        <f t="shared" si="0"/>
        <v>203.2</v>
      </c>
      <c r="E13">
        <v>5.5599999999999998E-3</v>
      </c>
      <c r="F13">
        <f t="shared" si="1"/>
        <v>5.56</v>
      </c>
      <c r="G13" s="4">
        <f t="shared" si="2"/>
        <v>36.546762589928058</v>
      </c>
      <c r="H13" s="146">
        <v>15</v>
      </c>
      <c r="I13" s="146" t="s">
        <v>117</v>
      </c>
      <c r="J13" s="146">
        <f t="shared" si="3"/>
        <v>8</v>
      </c>
      <c r="K13" s="146">
        <f t="shared" si="4"/>
        <v>10</v>
      </c>
      <c r="L13" s="146">
        <f t="shared" si="5"/>
        <v>359000</v>
      </c>
      <c r="M13" s="146">
        <f t="shared" si="6"/>
        <v>455000</v>
      </c>
      <c r="N13" s="146">
        <f t="shared" si="7"/>
        <v>1.9969902892117808</v>
      </c>
      <c r="O13" t="s">
        <v>10</v>
      </c>
      <c r="P13" t="s">
        <v>265</v>
      </c>
      <c r="Q13">
        <f t="shared" si="8"/>
        <v>17.5</v>
      </c>
      <c r="R13">
        <f t="shared" si="9"/>
        <v>0</v>
      </c>
      <c r="S13">
        <f t="shared" si="10"/>
        <v>37.5</v>
      </c>
      <c r="T13">
        <f t="shared" si="11"/>
        <v>1.1000000000000001</v>
      </c>
      <c r="U13">
        <v>0.9</v>
      </c>
      <c r="V13" s="146">
        <v>0</v>
      </c>
      <c r="W13">
        <f t="shared" si="12"/>
        <v>26.332829622389642</v>
      </c>
      <c r="X13">
        <f t="shared" si="13"/>
        <v>1</v>
      </c>
      <c r="Y13">
        <f t="shared" si="14"/>
        <v>1</v>
      </c>
      <c r="Z13" s="146">
        <f t="shared" si="15"/>
        <v>-1.7547900000000001</v>
      </c>
      <c r="AA13" s="146">
        <f t="shared" si="16"/>
        <v>0.42506999999999995</v>
      </c>
      <c r="AB13" s="146">
        <f t="shared" si="17"/>
        <v>-0.23455999999999999</v>
      </c>
      <c r="AC13" s="146">
        <f t="shared" si="18"/>
        <v>1.0570700000000002</v>
      </c>
      <c r="AD13" s="146">
        <f t="shared" si="19"/>
        <v>1.1213299999999999</v>
      </c>
      <c r="AE13" s="146">
        <f t="shared" si="20"/>
        <v>-1.5299999999999999E-3</v>
      </c>
      <c r="AF13" s="146">
        <f t="shared" si="21"/>
        <v>0.11478000000000001</v>
      </c>
      <c r="AG13">
        <f>AB13*LN(H13)+AC13*X13+AD13*(1-X13)+AE13*Y13*(G13-100)+AF13*(1-Y13)</f>
        <v>0.5189531980668759</v>
      </c>
      <c r="AH13">
        <f>Z13+AG13*LN(N13)+AA13*LN(H13)</f>
        <v>-0.24474969265248792</v>
      </c>
      <c r="AI13" s="146">
        <v>0.75</v>
      </c>
      <c r="AJ13">
        <f>IF(AI13&lt;EXP(AH13),1,0)</f>
        <v>1</v>
      </c>
      <c r="AK13">
        <f>IF(H13&lt;50,1,0)</f>
        <v>1</v>
      </c>
      <c r="AL13">
        <f>IF(O13="sand",1,0)</f>
        <v>0</v>
      </c>
      <c r="AM13" s="146">
        <f t="shared" si="22"/>
        <v>-0.11648000000000003</v>
      </c>
      <c r="AN13" s="146">
        <f t="shared" si="23"/>
        <v>0.28029000000000004</v>
      </c>
      <c r="AO13" s="146">
        <f t="shared" si="24"/>
        <v>1.7239</v>
      </c>
      <c r="AP13" s="146">
        <f t="shared" si="25"/>
        <v>-4.1599999999999996E-3</v>
      </c>
      <c r="AQ13" s="146">
        <f t="shared" si="26"/>
        <v>1.0749999999999999E-2</v>
      </c>
      <c r="AR13" s="146">
        <f t="shared" si="27"/>
        <v>-0.20558999999999999</v>
      </c>
      <c r="AS13" s="146">
        <f t="shared" si="28"/>
        <v>1.16E-3</v>
      </c>
      <c r="AT13" s="146">
        <f t="shared" si="29"/>
        <v>0.89768000000000003</v>
      </c>
      <c r="AU13" s="146">
        <f t="shared" si="30"/>
        <v>-2.0599999999999993E-3</v>
      </c>
      <c r="AV13" s="146">
        <f t="shared" si="31"/>
        <v>-1.6919999999999991E-2</v>
      </c>
      <c r="AW13" s="146">
        <f t="shared" si="32"/>
        <v>0.36773</v>
      </c>
      <c r="AX13" s="146">
        <f t="shared" si="33"/>
        <v>0.12794</v>
      </c>
      <c r="AY13">
        <f>AJ13*(AP13+AQ13*W13+AR13*AK13*(H13-50)+AS13*(1-AK13)+AT13*G13)</f>
        <v>40.281865760167314</v>
      </c>
      <c r="AZ13">
        <f>(1-AJ13)*(AU13+AV13*AK13*(H13-50)+AW13*(1-AK13)+AX13*LN(N13))</f>
        <v>0</v>
      </c>
      <c r="BA13">
        <f t="shared" si="34"/>
        <v>40.281865760167314</v>
      </c>
      <c r="BB13">
        <f>AM13+BA13*LN(AI13/EXP(AH13))+AN13*LN(G13)+AL13*AO13*LN(W13)</f>
        <v>-0.8372268378997707</v>
      </c>
      <c r="BC13" s="142">
        <f t="shared" si="35"/>
        <v>0.43290938824584474</v>
      </c>
      <c r="BD13" s="146">
        <f t="shared" si="36"/>
        <v>0.58235999999999999</v>
      </c>
      <c r="BE13">
        <v>0.3</v>
      </c>
    </row>
    <row r="14" spans="1:57" ht="15.75" x14ac:dyDescent="0.25">
      <c r="A14" s="146">
        <v>12</v>
      </c>
      <c r="B14" s="146">
        <v>55</v>
      </c>
      <c r="C14">
        <v>0.30480000000000002</v>
      </c>
      <c r="D14">
        <f t="shared" si="0"/>
        <v>304.8</v>
      </c>
      <c r="E14">
        <v>7.1399999999999996E-3</v>
      </c>
      <c r="F14">
        <f t="shared" si="1"/>
        <v>7.14</v>
      </c>
      <c r="G14" s="4">
        <f t="shared" si="2"/>
        <v>42.689075630252105</v>
      </c>
      <c r="H14" s="146">
        <v>30</v>
      </c>
      <c r="I14" s="146" t="s">
        <v>118</v>
      </c>
      <c r="J14" s="146">
        <f t="shared" si="3"/>
        <v>8</v>
      </c>
      <c r="K14" s="146">
        <f t="shared" si="4"/>
        <v>12</v>
      </c>
      <c r="L14" s="146">
        <f t="shared" si="5"/>
        <v>414000</v>
      </c>
      <c r="M14" s="146">
        <f t="shared" si="6"/>
        <v>517000</v>
      </c>
      <c r="N14" s="146">
        <f t="shared" si="7"/>
        <v>2.5466769467238102</v>
      </c>
      <c r="O14" t="s">
        <v>10</v>
      </c>
      <c r="P14" t="s">
        <v>265</v>
      </c>
      <c r="Q14">
        <f t="shared" si="8"/>
        <v>17.5</v>
      </c>
      <c r="R14">
        <f t="shared" si="9"/>
        <v>0</v>
      </c>
      <c r="S14">
        <f t="shared" si="10"/>
        <v>37.5</v>
      </c>
      <c r="T14">
        <f t="shared" si="11"/>
        <v>1.1000000000000001</v>
      </c>
      <c r="U14">
        <v>0.9</v>
      </c>
      <c r="V14" s="146">
        <v>0</v>
      </c>
      <c r="W14">
        <f t="shared" si="12"/>
        <v>39.499244433584465</v>
      </c>
      <c r="X14">
        <f t="shared" si="13"/>
        <v>1</v>
      </c>
      <c r="Y14">
        <f t="shared" si="14"/>
        <v>1</v>
      </c>
      <c r="Z14" s="146">
        <f t="shared" si="15"/>
        <v>-1.7547900000000001</v>
      </c>
      <c r="AA14" s="146">
        <f t="shared" si="16"/>
        <v>0.42506999999999995</v>
      </c>
      <c r="AB14" s="146">
        <f t="shared" si="17"/>
        <v>-0.23455999999999999</v>
      </c>
      <c r="AC14" s="146">
        <f t="shared" si="18"/>
        <v>1.0570700000000002</v>
      </c>
      <c r="AD14" s="146">
        <f t="shared" si="19"/>
        <v>1.1213299999999999</v>
      </c>
      <c r="AE14" s="146">
        <f t="shared" si="20"/>
        <v>-1.5299999999999999E-3</v>
      </c>
      <c r="AF14" s="146">
        <f t="shared" si="21"/>
        <v>0.11478000000000001</v>
      </c>
      <c r="AG14">
        <f>AB14*LN(H14)+AC14*X14+AD14*(1-X14)+AE14*Y14*(G14-100)+AF14*(1-Y14)</f>
        <v>0.34697085644303927</v>
      </c>
      <c r="AH14">
        <f>Z14+AG14*LN(N14)+AA14*LN(H14)</f>
        <v>1.5301632793747411E-2</v>
      </c>
      <c r="AI14" s="146">
        <v>0.75</v>
      </c>
      <c r="AJ14">
        <f>IF(AI14&lt;EXP(AH14),1,0)</f>
        <v>1</v>
      </c>
      <c r="AK14">
        <f>IF(H14&lt;50,1,0)</f>
        <v>1</v>
      </c>
      <c r="AL14">
        <f>IF(O14="sand",1,0)</f>
        <v>0</v>
      </c>
      <c r="AM14" s="146">
        <f t="shared" si="22"/>
        <v>-0.11648000000000003</v>
      </c>
      <c r="AN14" s="146">
        <f t="shared" si="23"/>
        <v>0.28029000000000004</v>
      </c>
      <c r="AO14" s="146">
        <f t="shared" si="24"/>
        <v>1.7239</v>
      </c>
      <c r="AP14" s="146">
        <f t="shared" si="25"/>
        <v>-4.1599999999999996E-3</v>
      </c>
      <c r="AQ14" s="146">
        <f t="shared" si="26"/>
        <v>1.0749999999999999E-2</v>
      </c>
      <c r="AR14" s="146">
        <f t="shared" si="27"/>
        <v>-0.20558999999999999</v>
      </c>
      <c r="AS14" s="146">
        <f t="shared" si="28"/>
        <v>1.16E-3</v>
      </c>
      <c r="AT14" s="146">
        <f t="shared" si="29"/>
        <v>0.89768000000000003</v>
      </c>
      <c r="AU14" s="146">
        <f t="shared" si="30"/>
        <v>-2.0599999999999993E-3</v>
      </c>
      <c r="AV14" s="146">
        <f t="shared" si="31"/>
        <v>-1.6919999999999991E-2</v>
      </c>
      <c r="AW14" s="146">
        <f t="shared" si="32"/>
        <v>0.36773</v>
      </c>
      <c r="AX14" s="146">
        <f t="shared" si="33"/>
        <v>0.12794</v>
      </c>
      <c r="AY14">
        <f>AJ14*(AP14+AQ14*W14+AR14*AK14*(H14-50)+AS14*(1-AK14)+AT14*G14)</f>
        <v>42.853386289425742</v>
      </c>
      <c r="AZ14">
        <f>(1-AJ14)*(AU14+AV14*AK14*(H14-50)+AW14*(1-AK14)+AX14*LN(N14))</f>
        <v>0</v>
      </c>
      <c r="BA14">
        <f t="shared" si="34"/>
        <v>42.853386289425742</v>
      </c>
      <c r="BB14">
        <f>AM14+BA14*LN(AI14/EXP(AH14))+AN14*LN(G14)+AL14*AO14*LN(W14)</f>
        <v>-12.048165063515285</v>
      </c>
      <c r="BC14" s="142">
        <f t="shared" si="35"/>
        <v>5.8552898144454252E-6</v>
      </c>
      <c r="BD14" s="146">
        <f t="shared" si="36"/>
        <v>0.58235999999999999</v>
      </c>
      <c r="BE14">
        <v>0.3</v>
      </c>
    </row>
    <row r="15" spans="1:57" ht="15.75" x14ac:dyDescent="0.25">
      <c r="A15" s="146">
        <v>13</v>
      </c>
      <c r="B15" s="146">
        <v>65</v>
      </c>
      <c r="C15">
        <v>0.40639999999999998</v>
      </c>
      <c r="D15">
        <f t="shared" si="0"/>
        <v>406.4</v>
      </c>
      <c r="E15">
        <v>9.5299999999999985E-3</v>
      </c>
      <c r="F15">
        <f t="shared" si="1"/>
        <v>9.5299999999999994</v>
      </c>
      <c r="G15" s="4">
        <f t="shared" si="2"/>
        <v>42.644281217208821</v>
      </c>
      <c r="H15" s="146">
        <v>50</v>
      </c>
      <c r="I15" s="146" t="s">
        <v>119</v>
      </c>
      <c r="J15" s="146">
        <f t="shared" si="3"/>
        <v>14</v>
      </c>
      <c r="K15" s="146">
        <f t="shared" si="4"/>
        <v>15</v>
      </c>
      <c r="L15" s="146">
        <f t="shared" si="5"/>
        <v>483000</v>
      </c>
      <c r="M15" s="146">
        <f t="shared" si="6"/>
        <v>565000</v>
      </c>
      <c r="N15" s="146">
        <f t="shared" si="7"/>
        <v>2.8799444073326219</v>
      </c>
      <c r="O15" t="s">
        <v>10</v>
      </c>
      <c r="P15" t="s">
        <v>265</v>
      </c>
      <c r="Q15">
        <f t="shared" si="8"/>
        <v>17.5</v>
      </c>
      <c r="R15">
        <f t="shared" si="9"/>
        <v>0</v>
      </c>
      <c r="S15">
        <f t="shared" si="10"/>
        <v>37.5</v>
      </c>
      <c r="T15">
        <f t="shared" si="11"/>
        <v>1.1000000000000001</v>
      </c>
      <c r="U15">
        <v>0.9</v>
      </c>
      <c r="V15" s="146">
        <v>0</v>
      </c>
      <c r="W15">
        <f t="shared" si="12"/>
        <v>52.665659244779285</v>
      </c>
      <c r="X15">
        <f t="shared" si="13"/>
        <v>1</v>
      </c>
      <c r="Y15">
        <f t="shared" si="14"/>
        <v>1</v>
      </c>
      <c r="Z15" s="146">
        <f t="shared" si="15"/>
        <v>-1.68129</v>
      </c>
      <c r="AA15" s="146">
        <f t="shared" si="16"/>
        <v>0.47346999999999995</v>
      </c>
      <c r="AB15" s="146">
        <f t="shared" si="17"/>
        <v>-0.45306000000000002</v>
      </c>
      <c r="AC15" s="146">
        <f t="shared" si="18"/>
        <v>1.61897</v>
      </c>
      <c r="AD15" s="146">
        <f t="shared" si="19"/>
        <v>1.76433</v>
      </c>
      <c r="AE15" s="146">
        <f t="shared" si="20"/>
        <v>-1.5299999999999999E-3</v>
      </c>
      <c r="AF15" s="146">
        <f t="shared" si="21"/>
        <v>0.12918000000000002</v>
      </c>
      <c r="AG15">
        <f>AB15*LN(H15)+AC15*X15+AD15*(1-X15)+AE15*Y15*(G15-100)+AF15*(1-Y15)</f>
        <v>-6.5656893101605426E-2</v>
      </c>
      <c r="AH15">
        <f>Z15+AG15*LN(N15)+AA15*LN(H15)</f>
        <v>0.10148557550114656</v>
      </c>
      <c r="AI15" s="146">
        <v>0.75</v>
      </c>
      <c r="AJ15">
        <f>IF(AI15&lt;EXP(AH15),1,0)</f>
        <v>1</v>
      </c>
      <c r="AK15">
        <f>IF(H15&lt;50,1,0)</f>
        <v>0</v>
      </c>
      <c r="AL15">
        <f>IF(O15="sand",1,0)</f>
        <v>0</v>
      </c>
      <c r="AM15" s="146">
        <f t="shared" si="22"/>
        <v>-0.39518000000000003</v>
      </c>
      <c r="AN15" s="146">
        <f t="shared" si="23"/>
        <v>0.31639</v>
      </c>
      <c r="AO15" s="146">
        <f t="shared" si="24"/>
        <v>1.8033000000000001</v>
      </c>
      <c r="AP15" s="146">
        <f t="shared" si="25"/>
        <v>-4.3600000000000002E-3</v>
      </c>
      <c r="AQ15" s="146">
        <f t="shared" si="26"/>
        <v>1.6449999999999999E-2</v>
      </c>
      <c r="AR15" s="146">
        <f t="shared" si="27"/>
        <v>-0.28998999999999997</v>
      </c>
      <c r="AS15" s="146">
        <f t="shared" si="28"/>
        <v>1.3599999999999999E-3</v>
      </c>
      <c r="AT15" s="146">
        <f t="shared" si="29"/>
        <v>0.81777999999999995</v>
      </c>
      <c r="AU15" s="146">
        <f t="shared" si="30"/>
        <v>-1.0159999999999999E-2</v>
      </c>
      <c r="AV15" s="146">
        <f t="shared" si="31"/>
        <v>3.5280000000000006E-2</v>
      </c>
      <c r="AW15" s="146">
        <f t="shared" si="32"/>
        <v>0.27533000000000002</v>
      </c>
      <c r="AX15" s="146">
        <f t="shared" si="33"/>
        <v>0.14014000000000001</v>
      </c>
      <c r="AY15">
        <f>AJ15*(AP15+AQ15*W15+AR15*AK15*(H15-50)+AS15*(1-AK15)+AT15*G15)</f>
        <v>35.736990388385642</v>
      </c>
      <c r="AZ15">
        <f>(1-AJ15)*(AU15+AV15*AK15*(H15-50)+AW15*(1-AK15)+AX15*LN(N15))</f>
        <v>0</v>
      </c>
      <c r="BA15">
        <f t="shared" si="34"/>
        <v>35.736990388385642</v>
      </c>
      <c r="BB15">
        <f>AM15+BA15*LN(AI15/EXP(AH15))+AN15*LN(G15)+AL15*AO15*LN(W15)</f>
        <v>-13.11548262158774</v>
      </c>
      <c r="BC15" s="142">
        <f t="shared" si="35"/>
        <v>2.013808965210175E-6</v>
      </c>
      <c r="BD15" s="146">
        <f t="shared" si="36"/>
        <v>0.62516000000000005</v>
      </c>
      <c r="BE15">
        <v>0.3</v>
      </c>
    </row>
    <row r="16" spans="1:57" ht="15.75" x14ac:dyDescent="0.25">
      <c r="A16" s="146">
        <v>14</v>
      </c>
      <c r="B16" s="146">
        <v>65</v>
      </c>
      <c r="C16">
        <v>0.50800000000000001</v>
      </c>
      <c r="D16">
        <f t="shared" si="0"/>
        <v>508</v>
      </c>
      <c r="E16">
        <v>1.1130000000000001E-2</v>
      </c>
      <c r="F16">
        <f t="shared" si="1"/>
        <v>11.13</v>
      </c>
      <c r="G16" s="4">
        <f t="shared" si="2"/>
        <v>45.642407906558844</v>
      </c>
      <c r="H16" s="146">
        <v>100</v>
      </c>
      <c r="I16" s="146" t="s">
        <v>120</v>
      </c>
      <c r="J16" s="146">
        <f t="shared" si="3"/>
        <v>15</v>
      </c>
      <c r="K16" s="146">
        <f t="shared" si="4"/>
        <v>20</v>
      </c>
      <c r="L16" s="146">
        <f t="shared" si="5"/>
        <v>552000</v>
      </c>
      <c r="M16" s="146">
        <f t="shared" si="6"/>
        <v>625000</v>
      </c>
      <c r="N16" s="146">
        <f t="shared" si="7"/>
        <v>2.9888368774026359</v>
      </c>
      <c r="O16" t="s">
        <v>10</v>
      </c>
      <c r="P16" t="s">
        <v>265</v>
      </c>
      <c r="Q16">
        <f t="shared" si="8"/>
        <v>17.5</v>
      </c>
      <c r="R16">
        <f t="shared" si="9"/>
        <v>0</v>
      </c>
      <c r="S16">
        <f t="shared" si="10"/>
        <v>37.5</v>
      </c>
      <c r="T16">
        <f t="shared" si="11"/>
        <v>1.1000000000000001</v>
      </c>
      <c r="U16">
        <v>0.9</v>
      </c>
      <c r="V16" s="146">
        <v>0</v>
      </c>
      <c r="W16">
        <f t="shared" si="12"/>
        <v>65.832074055974104</v>
      </c>
      <c r="X16">
        <f t="shared" si="13"/>
        <v>1</v>
      </c>
      <c r="Y16">
        <f t="shared" si="14"/>
        <v>1</v>
      </c>
      <c r="Z16" s="146">
        <f t="shared" si="15"/>
        <v>-1.68129</v>
      </c>
      <c r="AA16" s="146">
        <f t="shared" si="16"/>
        <v>0.47346999999999995</v>
      </c>
      <c r="AB16" s="146">
        <f t="shared" si="17"/>
        <v>-0.45306000000000002</v>
      </c>
      <c r="AC16" s="146">
        <f t="shared" si="18"/>
        <v>1.61897</v>
      </c>
      <c r="AD16" s="146">
        <f t="shared" si="19"/>
        <v>1.76433</v>
      </c>
      <c r="AE16" s="146">
        <f t="shared" si="20"/>
        <v>-1.5299999999999999E-3</v>
      </c>
      <c r="AF16" s="146">
        <f t="shared" si="21"/>
        <v>0.12918000000000002</v>
      </c>
      <c r="AG16">
        <f>AB16*LN(H16)+AC16*X16+AD16*(1-X16)+AE16*Y16*(G16-100)+AF16*(1-Y16)</f>
        <v>-0.38428128856079979</v>
      </c>
      <c r="AH16">
        <f>Z16+AG16*LN(N16)+AA16*LN(H16)</f>
        <v>7.8376375445737612E-2</v>
      </c>
      <c r="AI16" s="146">
        <v>0.75</v>
      </c>
      <c r="AJ16">
        <f>IF(AI16&lt;EXP(AH16),1,0)</f>
        <v>1</v>
      </c>
      <c r="AK16">
        <f>IF(H16&lt;50,1,0)</f>
        <v>0</v>
      </c>
      <c r="AL16">
        <f>IF(O16="sand",1,0)</f>
        <v>0</v>
      </c>
      <c r="AM16" s="146">
        <f t="shared" si="22"/>
        <v>-0.39518000000000003</v>
      </c>
      <c r="AN16" s="146">
        <f t="shared" si="23"/>
        <v>0.31639</v>
      </c>
      <c r="AO16" s="146">
        <f t="shared" si="24"/>
        <v>1.8033000000000001</v>
      </c>
      <c r="AP16" s="146">
        <f t="shared" si="25"/>
        <v>-4.3600000000000002E-3</v>
      </c>
      <c r="AQ16" s="146">
        <f t="shared" si="26"/>
        <v>1.6449999999999999E-2</v>
      </c>
      <c r="AR16" s="146">
        <f t="shared" si="27"/>
        <v>-0.28998999999999997</v>
      </c>
      <c r="AS16" s="146">
        <f t="shared" si="28"/>
        <v>1.3599999999999999E-3</v>
      </c>
      <c r="AT16" s="146">
        <f t="shared" si="29"/>
        <v>0.81777999999999995</v>
      </c>
      <c r="AU16" s="146">
        <f t="shared" si="30"/>
        <v>-1.0159999999999999E-2</v>
      </c>
      <c r="AV16" s="146">
        <f t="shared" si="31"/>
        <v>3.5280000000000006E-2</v>
      </c>
      <c r="AW16" s="146">
        <f t="shared" si="32"/>
        <v>0.27533000000000002</v>
      </c>
      <c r="AX16" s="146">
        <f t="shared" si="33"/>
        <v>0.14014000000000001</v>
      </c>
      <c r="AY16">
        <f>AJ16*(AP16+AQ16*W16+AR16*AK16*(H16-50)+AS16*(1-AK16)+AT16*G16)</f>
        <v>38.405385956046466</v>
      </c>
      <c r="AZ16">
        <f>(1-AJ16)*(AU16+AV16*AK16*(H16-50)+AW16*(1-AK16)+AX16*LN(N16))</f>
        <v>0</v>
      </c>
      <c r="BA16">
        <f t="shared" si="34"/>
        <v>38.405385956046466</v>
      </c>
      <c r="BB16">
        <f>AM16+BA16*LN(AI16/EXP(AH16))+AN16*LN(G16)+AL16*AO16*LN(W16)</f>
        <v>-13.244921266231465</v>
      </c>
      <c r="BC16" s="142">
        <f t="shared" si="35"/>
        <v>1.769309383677267E-6</v>
      </c>
      <c r="BD16" s="146">
        <f t="shared" si="36"/>
        <v>0.62516000000000005</v>
      </c>
      <c r="BE16">
        <v>0.3</v>
      </c>
    </row>
    <row r="17" spans="1:57" ht="15.75" x14ac:dyDescent="0.25">
      <c r="A17" s="146">
        <v>15</v>
      </c>
      <c r="B17" s="146">
        <v>75</v>
      </c>
      <c r="C17">
        <v>0.60960000000000003</v>
      </c>
      <c r="D17">
        <f t="shared" si="0"/>
        <v>609.6</v>
      </c>
      <c r="E17">
        <v>9.5299999999999985E-3</v>
      </c>
      <c r="F17">
        <f t="shared" si="1"/>
        <v>9.5299999999999994</v>
      </c>
      <c r="G17" s="4">
        <f t="shared" si="2"/>
        <v>63.966421825813235</v>
      </c>
      <c r="H17" s="146">
        <v>15</v>
      </c>
      <c r="I17" s="146" t="s">
        <v>117</v>
      </c>
      <c r="J17" s="146">
        <f t="shared" si="3"/>
        <v>8</v>
      </c>
      <c r="K17" s="146">
        <f t="shared" si="4"/>
        <v>10</v>
      </c>
      <c r="L17" s="146">
        <f t="shared" si="5"/>
        <v>359000</v>
      </c>
      <c r="M17" s="146">
        <f t="shared" si="6"/>
        <v>455000</v>
      </c>
      <c r="N17" s="146">
        <f t="shared" si="7"/>
        <v>1.9969902892117808</v>
      </c>
      <c r="O17" t="s">
        <v>10</v>
      </c>
      <c r="P17" t="s">
        <v>269</v>
      </c>
      <c r="Q17">
        <f t="shared" si="8"/>
        <v>18</v>
      </c>
      <c r="R17">
        <f t="shared" si="9"/>
        <v>0</v>
      </c>
      <c r="S17">
        <f t="shared" si="10"/>
        <v>75</v>
      </c>
      <c r="T17">
        <f t="shared" si="11"/>
        <v>0.72</v>
      </c>
      <c r="U17">
        <v>0.9</v>
      </c>
      <c r="V17" s="146">
        <v>0</v>
      </c>
      <c r="W17">
        <f t="shared" si="12"/>
        <v>103.41620360793024</v>
      </c>
      <c r="X17">
        <f t="shared" si="13"/>
        <v>0</v>
      </c>
      <c r="Y17">
        <f t="shared" si="14"/>
        <v>1</v>
      </c>
      <c r="Z17" s="146">
        <f t="shared" si="15"/>
        <v>-1.6077900000000001</v>
      </c>
      <c r="AA17" s="146">
        <f t="shared" si="16"/>
        <v>0.52186999999999995</v>
      </c>
      <c r="AB17" s="146">
        <f t="shared" si="17"/>
        <v>-0.67156000000000005</v>
      </c>
      <c r="AC17" s="146">
        <f t="shared" si="18"/>
        <v>2.1808700000000001</v>
      </c>
      <c r="AD17" s="146">
        <f t="shared" si="19"/>
        <v>2.40733</v>
      </c>
      <c r="AE17" s="146">
        <f t="shared" si="20"/>
        <v>-1.5299999999999999E-3</v>
      </c>
      <c r="AF17" s="146">
        <f t="shared" si="21"/>
        <v>0.14358000000000001</v>
      </c>
      <c r="AG17">
        <f>AB17*LN(H17)+AC17*X17+AD17*(1-X17)+AE17*Y17*(G17-100)+AF17*(1-Y17)</f>
        <v>0.64384318155430542</v>
      </c>
      <c r="AH17">
        <f>Z17+AG17*LN(N17)+AA17*LN(H17)</f>
        <v>0.25076862382905563</v>
      </c>
      <c r="AI17" s="146">
        <v>0.75</v>
      </c>
      <c r="AJ17">
        <f>IF(AI17&lt;EXP(AH17),1,0)</f>
        <v>1</v>
      </c>
      <c r="AK17">
        <f>IF(H17&lt;50,1,0)</f>
        <v>1</v>
      </c>
      <c r="AL17">
        <f>IF(O17="sand",1,0)</f>
        <v>0</v>
      </c>
      <c r="AM17" s="146">
        <f t="shared" si="22"/>
        <v>-0.67388000000000003</v>
      </c>
      <c r="AN17" s="146">
        <f t="shared" si="23"/>
        <v>0.35249000000000003</v>
      </c>
      <c r="AO17" s="146">
        <f t="shared" si="24"/>
        <v>1.8827</v>
      </c>
      <c r="AP17" s="146">
        <f t="shared" si="25"/>
        <v>-4.5599999999999998E-3</v>
      </c>
      <c r="AQ17" s="146">
        <f t="shared" si="26"/>
        <v>2.215E-2</v>
      </c>
      <c r="AR17" s="146">
        <f t="shared" si="27"/>
        <v>-0.37439</v>
      </c>
      <c r="AS17" s="146">
        <f t="shared" si="28"/>
        <v>1.56E-3</v>
      </c>
      <c r="AT17" s="146">
        <f t="shared" si="29"/>
        <v>0.73787999999999998</v>
      </c>
      <c r="AU17" s="146">
        <f t="shared" si="30"/>
        <v>-1.8259999999999998E-2</v>
      </c>
      <c r="AV17" s="146">
        <f t="shared" si="31"/>
        <v>8.7480000000000002E-2</v>
      </c>
      <c r="AW17" s="146">
        <f t="shared" si="32"/>
        <v>0.18293000000000001</v>
      </c>
      <c r="AX17" s="146">
        <f t="shared" si="33"/>
        <v>0.15234</v>
      </c>
      <c r="AY17">
        <f>AJ17*(AP17+AQ17*W17+AR17*AK17*(H17-50)+AS17*(1-AK17)+AT17*G17)</f>
        <v>62.589302246746726</v>
      </c>
      <c r="AZ17">
        <f>(1-AJ17)*(AU17+AV17*AK17*(H17-50)+AW17*(1-AK17)+AX17*LN(N17))</f>
        <v>0</v>
      </c>
      <c r="BA17">
        <f t="shared" si="34"/>
        <v>62.589302246746726</v>
      </c>
      <c r="BB17">
        <f>AM17+BA17*LN(AI17/EXP(AH17))+AN17*LN(G17)+AL17*AO17*LN(W17)</f>
        <v>-32.909353662011384</v>
      </c>
      <c r="BC17" s="142">
        <f t="shared" si="35"/>
        <v>5.1009292698127449E-15</v>
      </c>
      <c r="BD17" s="146">
        <f t="shared" si="36"/>
        <v>0.66796</v>
      </c>
      <c r="BE17">
        <v>0.3</v>
      </c>
    </row>
    <row r="18" spans="1:57" ht="15.75" x14ac:dyDescent="0.25">
      <c r="A18" s="146">
        <v>16</v>
      </c>
      <c r="B18" s="146">
        <v>75</v>
      </c>
      <c r="C18">
        <v>0.76200000000000001</v>
      </c>
      <c r="D18">
        <f t="shared" si="0"/>
        <v>762</v>
      </c>
      <c r="E18">
        <v>1.2699999999999999E-2</v>
      </c>
      <c r="F18">
        <f t="shared" si="1"/>
        <v>12.7</v>
      </c>
      <c r="G18" s="4">
        <f t="shared" si="2"/>
        <v>60</v>
      </c>
      <c r="H18" s="146">
        <v>30</v>
      </c>
      <c r="I18" s="146" t="s">
        <v>118</v>
      </c>
      <c r="J18" s="146">
        <f t="shared" si="3"/>
        <v>8</v>
      </c>
      <c r="K18" s="146">
        <f t="shared" si="4"/>
        <v>12</v>
      </c>
      <c r="L18" s="146">
        <f t="shared" si="5"/>
        <v>414000</v>
      </c>
      <c r="M18" s="146">
        <f t="shared" si="6"/>
        <v>517000</v>
      </c>
      <c r="N18" s="146">
        <f t="shared" si="7"/>
        <v>2.5466769467238102</v>
      </c>
      <c r="O18" t="s">
        <v>10</v>
      </c>
      <c r="P18" t="s">
        <v>269</v>
      </c>
      <c r="Q18">
        <f t="shared" si="8"/>
        <v>18</v>
      </c>
      <c r="R18">
        <f t="shared" si="9"/>
        <v>0</v>
      </c>
      <c r="S18">
        <f t="shared" si="10"/>
        <v>75</v>
      </c>
      <c r="T18">
        <f t="shared" si="11"/>
        <v>0.72</v>
      </c>
      <c r="U18">
        <v>0.9</v>
      </c>
      <c r="V18" s="146">
        <v>0</v>
      </c>
      <c r="W18">
        <f t="shared" si="12"/>
        <v>129.2702545099128</v>
      </c>
      <c r="X18">
        <f t="shared" si="13"/>
        <v>0</v>
      </c>
      <c r="Y18">
        <f t="shared" si="14"/>
        <v>1</v>
      </c>
      <c r="Z18" s="146">
        <f t="shared" si="15"/>
        <v>-1.6077900000000001</v>
      </c>
      <c r="AA18" s="146">
        <f t="shared" si="16"/>
        <v>0.52186999999999995</v>
      </c>
      <c r="AB18" s="146">
        <f t="shared" si="17"/>
        <v>-0.67156000000000005</v>
      </c>
      <c r="AC18" s="146">
        <f t="shared" si="18"/>
        <v>2.1808700000000001</v>
      </c>
      <c r="AD18" s="146">
        <f t="shared" si="19"/>
        <v>2.40733</v>
      </c>
      <c r="AE18" s="146">
        <f t="shared" si="20"/>
        <v>-1.5299999999999999E-3</v>
      </c>
      <c r="AF18" s="146">
        <f t="shared" si="21"/>
        <v>0.14358000000000001</v>
      </c>
      <c r="AG18">
        <f>AB18*LN(H18)+AC18*X18+AD18*(1-X18)+AE18*Y18*(G18-100)+AF18*(1-Y18)</f>
        <v>0.18442188637096288</v>
      </c>
      <c r="AH18">
        <f>Z18+AG18*LN(N18)+AA18*LN(H18)</f>
        <v>0.33958849307099426</v>
      </c>
      <c r="AI18" s="146">
        <v>1.5</v>
      </c>
      <c r="AJ18">
        <f>IF(AI18&lt;EXP(AH18),1,0)</f>
        <v>0</v>
      </c>
      <c r="AK18">
        <f>IF(H18&lt;50,1,0)</f>
        <v>1</v>
      </c>
      <c r="AL18">
        <f>IF(O18="sand",1,0)</f>
        <v>0</v>
      </c>
      <c r="AM18" s="146">
        <f t="shared" si="22"/>
        <v>-0.67388000000000003</v>
      </c>
      <c r="AN18" s="146">
        <f t="shared" si="23"/>
        <v>0.35249000000000003</v>
      </c>
      <c r="AO18" s="146">
        <f t="shared" si="24"/>
        <v>1.8827</v>
      </c>
      <c r="AP18" s="146">
        <f t="shared" si="25"/>
        <v>-4.5599999999999998E-3</v>
      </c>
      <c r="AQ18" s="146">
        <f t="shared" si="26"/>
        <v>2.215E-2</v>
      </c>
      <c r="AR18" s="146">
        <f t="shared" si="27"/>
        <v>-0.37439</v>
      </c>
      <c r="AS18" s="146">
        <f t="shared" si="28"/>
        <v>1.56E-3</v>
      </c>
      <c r="AT18" s="146">
        <f t="shared" si="29"/>
        <v>0.73787999999999998</v>
      </c>
      <c r="AU18" s="146">
        <f t="shared" si="30"/>
        <v>-1.8259999999999998E-2</v>
      </c>
      <c r="AV18" s="146">
        <f t="shared" si="31"/>
        <v>8.7480000000000002E-2</v>
      </c>
      <c r="AW18" s="146">
        <f t="shared" si="32"/>
        <v>0.18293000000000001</v>
      </c>
      <c r="AX18" s="146">
        <f t="shared" si="33"/>
        <v>0.15234</v>
      </c>
      <c r="AY18">
        <f>AJ18*(AP18+AQ18*W18+AR18*AK18*(H18-50)+AS18*(1-AK18)+AT18*G18)</f>
        <v>0</v>
      </c>
      <c r="AZ18">
        <f>(1-AJ18)*(AU18+AV18*AK18*(H18-50)+AW18*(1-AK18)+AX18*LN(N18))</f>
        <v>-1.6254541902421795</v>
      </c>
      <c r="BA18">
        <f t="shared" si="34"/>
        <v>-1.6254541902421795</v>
      </c>
      <c r="BB18">
        <f>AM18+BA18*LN(AI18/EXP(AH18))+AN18*LN(G18)+AL18*AO18*LN(W18)</f>
        <v>0.66225609478652903</v>
      </c>
      <c r="BC18" s="142">
        <f t="shared" si="35"/>
        <v>1.9391623370171547</v>
      </c>
      <c r="BD18" s="146">
        <f t="shared" si="36"/>
        <v>0.66796</v>
      </c>
      <c r="BE18">
        <v>0.3</v>
      </c>
    </row>
    <row r="19" spans="1:57" ht="15.75" x14ac:dyDescent="0.25">
      <c r="A19" s="146">
        <v>17</v>
      </c>
      <c r="B19" s="146">
        <v>84.9</v>
      </c>
      <c r="C19">
        <v>0.86360000000000003</v>
      </c>
      <c r="D19">
        <f t="shared" si="0"/>
        <v>863.6</v>
      </c>
      <c r="E19">
        <v>1.1130000000000001E-2</v>
      </c>
      <c r="F19">
        <f t="shared" si="1"/>
        <v>11.13</v>
      </c>
      <c r="G19" s="4">
        <f t="shared" si="2"/>
        <v>77.592093441150041</v>
      </c>
      <c r="H19" s="146">
        <v>50</v>
      </c>
      <c r="I19" s="146" t="s">
        <v>119</v>
      </c>
      <c r="J19" s="146">
        <f t="shared" si="3"/>
        <v>14</v>
      </c>
      <c r="K19" s="146">
        <f t="shared" si="4"/>
        <v>15</v>
      </c>
      <c r="L19" s="146">
        <f t="shared" si="5"/>
        <v>483000</v>
      </c>
      <c r="M19" s="146">
        <f t="shared" si="6"/>
        <v>565000</v>
      </c>
      <c r="N19" s="146">
        <f t="shared" si="7"/>
        <v>2.8799444073326219</v>
      </c>
      <c r="O19" t="s">
        <v>10</v>
      </c>
      <c r="P19" t="s">
        <v>269</v>
      </c>
      <c r="Q19">
        <f t="shared" si="8"/>
        <v>18</v>
      </c>
      <c r="R19">
        <f t="shared" si="9"/>
        <v>0</v>
      </c>
      <c r="S19">
        <f t="shared" si="10"/>
        <v>75</v>
      </c>
      <c r="T19">
        <f t="shared" si="11"/>
        <v>0.72</v>
      </c>
      <c r="U19">
        <v>0.9</v>
      </c>
      <c r="V19" s="146">
        <v>0</v>
      </c>
      <c r="W19">
        <f t="shared" si="12"/>
        <v>146.50628844456784</v>
      </c>
      <c r="X19">
        <f t="shared" si="13"/>
        <v>0</v>
      </c>
      <c r="Y19">
        <f t="shared" si="14"/>
        <v>1</v>
      </c>
      <c r="Z19" s="146">
        <f t="shared" si="15"/>
        <v>-1.5350250000000001</v>
      </c>
      <c r="AA19" s="146">
        <f t="shared" si="16"/>
        <v>0.56978600000000001</v>
      </c>
      <c r="AB19" s="146">
        <f t="shared" si="17"/>
        <v>-0.88787500000000019</v>
      </c>
      <c r="AC19" s="146">
        <f t="shared" si="18"/>
        <v>2.7371510000000003</v>
      </c>
      <c r="AD19" s="146">
        <f t="shared" si="19"/>
        <v>3.0439000000000003</v>
      </c>
      <c r="AE19" s="146">
        <f t="shared" si="20"/>
        <v>-1.5299999999999999E-3</v>
      </c>
      <c r="AF19" s="146">
        <f t="shared" si="21"/>
        <v>0.15783600000000003</v>
      </c>
      <c r="AG19">
        <f>AB19*LN(H19)+AC19*X19+AD19*(1-X19)+AE19*Y19*(G19-100)+AF19*(1-Y19)</f>
        <v>-0.39520332890947518</v>
      </c>
      <c r="AH19">
        <f>Z19+AG19*LN(N19)+AA19*LN(H19)</f>
        <v>0.27595632332275977</v>
      </c>
      <c r="AI19" s="146">
        <v>1.5</v>
      </c>
      <c r="AJ19">
        <f>IF(AI19&lt;EXP(AH19),1,0)</f>
        <v>0</v>
      </c>
      <c r="AK19">
        <f>IF(H19&lt;50,1,0)</f>
        <v>0</v>
      </c>
      <c r="AL19">
        <f>IF(O19="sand",1,0)</f>
        <v>0</v>
      </c>
      <c r="AM19" s="146">
        <f t="shared" si="22"/>
        <v>-0.94979300000000011</v>
      </c>
      <c r="AN19" s="146">
        <f t="shared" si="23"/>
        <v>0.38822900000000005</v>
      </c>
      <c r="AO19" s="146">
        <f t="shared" si="24"/>
        <v>1.961306</v>
      </c>
      <c r="AP19" s="146">
        <f t="shared" si="25"/>
        <v>-4.7580000000000001E-3</v>
      </c>
      <c r="AQ19" s="146">
        <f t="shared" si="26"/>
        <v>2.7793000000000002E-2</v>
      </c>
      <c r="AR19" s="146">
        <f t="shared" si="27"/>
        <v>-0.45794600000000008</v>
      </c>
      <c r="AS19" s="146">
        <f t="shared" si="28"/>
        <v>1.758E-3</v>
      </c>
      <c r="AT19" s="146">
        <f t="shared" si="29"/>
        <v>0.65877899999999989</v>
      </c>
      <c r="AU19" s="146">
        <f t="shared" si="30"/>
        <v>-2.6279000000000004E-2</v>
      </c>
      <c r="AV19" s="146">
        <f t="shared" si="31"/>
        <v>0.13915800000000003</v>
      </c>
      <c r="AW19" s="146">
        <f t="shared" si="32"/>
        <v>9.1453999999999952E-2</v>
      </c>
      <c r="AX19" s="146">
        <f t="shared" si="33"/>
        <v>0.16441800000000001</v>
      </c>
      <c r="AY19">
        <f>AJ19*(AP19+AQ19*W19+AR19*AK19*(H19-50)+AS19*(1-AK19)+AT19*G19)</f>
        <v>0</v>
      </c>
      <c r="AZ19">
        <f>(1-AJ19)*(AU19+AV19*AK19*(H19-50)+AW19*(1-AK19)+AX19*LN(N19))</f>
        <v>0.23909159079035291</v>
      </c>
      <c r="BA19">
        <f t="shared" si="34"/>
        <v>0.23909159079035291</v>
      </c>
      <c r="BB19">
        <f>AM19+BA19*LN(AI19/EXP(AH19))+AN19*LN(G19)+AL19*AO19*LN(W19)</f>
        <v>0.770536573923847</v>
      </c>
      <c r="BC19" s="142">
        <f t="shared" si="35"/>
        <v>2.1609254390047696</v>
      </c>
      <c r="BD19" s="146">
        <f t="shared" si="36"/>
        <v>0.71033199999999996</v>
      </c>
      <c r="BE19">
        <v>0.3</v>
      </c>
    </row>
    <row r="20" spans="1:57" ht="15.75" x14ac:dyDescent="0.25">
      <c r="A20" s="146">
        <v>18</v>
      </c>
      <c r="B20" s="146">
        <v>84.9</v>
      </c>
      <c r="C20">
        <v>1.0668</v>
      </c>
      <c r="D20">
        <f t="shared" si="0"/>
        <v>1066.8</v>
      </c>
      <c r="E20">
        <v>1.2699999999999999E-2</v>
      </c>
      <c r="F20">
        <f t="shared" si="1"/>
        <v>12.7</v>
      </c>
      <c r="G20" s="4">
        <f t="shared" si="2"/>
        <v>84</v>
      </c>
      <c r="H20" s="146">
        <v>100</v>
      </c>
      <c r="I20" s="146" t="s">
        <v>120</v>
      </c>
      <c r="J20" s="146">
        <f t="shared" si="3"/>
        <v>15</v>
      </c>
      <c r="K20" s="146">
        <f t="shared" si="4"/>
        <v>20</v>
      </c>
      <c r="L20" s="146">
        <f t="shared" si="5"/>
        <v>552000</v>
      </c>
      <c r="M20" s="146">
        <f t="shared" si="6"/>
        <v>625000</v>
      </c>
      <c r="N20" s="146">
        <f t="shared" si="7"/>
        <v>2.9888368774026359</v>
      </c>
      <c r="O20" t="s">
        <v>10</v>
      </c>
      <c r="P20" t="s">
        <v>266</v>
      </c>
      <c r="Q20">
        <f t="shared" si="8"/>
        <v>18.5</v>
      </c>
      <c r="R20">
        <f t="shared" si="9"/>
        <v>0</v>
      </c>
      <c r="S20">
        <f t="shared" si="10"/>
        <v>125</v>
      </c>
      <c r="T20">
        <f t="shared" si="11"/>
        <v>0.4</v>
      </c>
      <c r="U20">
        <v>0.9</v>
      </c>
      <c r="V20" s="146">
        <v>0</v>
      </c>
      <c r="W20">
        <f t="shared" si="12"/>
        <v>167.57255214247957</v>
      </c>
      <c r="X20">
        <f t="shared" si="13"/>
        <v>0</v>
      </c>
      <c r="Y20">
        <f t="shared" si="14"/>
        <v>1</v>
      </c>
      <c r="Z20" s="146">
        <f t="shared" si="15"/>
        <v>-1.5350250000000001</v>
      </c>
      <c r="AA20" s="146">
        <f t="shared" si="16"/>
        <v>0.56978600000000001</v>
      </c>
      <c r="AB20" s="146">
        <f t="shared" si="17"/>
        <v>-0.88787500000000019</v>
      </c>
      <c r="AC20" s="146">
        <f t="shared" si="18"/>
        <v>2.7371510000000003</v>
      </c>
      <c r="AD20" s="146">
        <f t="shared" si="19"/>
        <v>3.0439000000000003</v>
      </c>
      <c r="AE20" s="146">
        <f t="shared" si="20"/>
        <v>-1.5299999999999999E-3</v>
      </c>
      <c r="AF20" s="146">
        <f t="shared" si="21"/>
        <v>0.15783600000000003</v>
      </c>
      <c r="AG20">
        <f>AB20*LN(H20)+AC20*X20+AD20*(1-X20)+AE20*Y20*(G20-100)+AF20*(1-Y20)</f>
        <v>-1.0204354788841776</v>
      </c>
      <c r="AH20">
        <f>Z20+AG20*LN(N20)+AA20*LN(H20)</f>
        <v>-2.8322293060942361E-2</v>
      </c>
      <c r="AI20" s="146">
        <v>1.5</v>
      </c>
      <c r="AJ20">
        <f>IF(AI20&lt;EXP(AH20),1,0)</f>
        <v>0</v>
      </c>
      <c r="AK20">
        <f>IF(H20&lt;50,1,0)</f>
        <v>0</v>
      </c>
      <c r="AL20">
        <f>IF(O20="sand",1,0)</f>
        <v>0</v>
      </c>
      <c r="AM20" s="146">
        <f t="shared" si="22"/>
        <v>-0.94979300000000011</v>
      </c>
      <c r="AN20" s="146">
        <f t="shared" si="23"/>
        <v>0.38822900000000005</v>
      </c>
      <c r="AO20" s="146">
        <f t="shared" si="24"/>
        <v>1.961306</v>
      </c>
      <c r="AP20" s="146">
        <f t="shared" si="25"/>
        <v>-4.7580000000000001E-3</v>
      </c>
      <c r="AQ20" s="146">
        <f t="shared" si="26"/>
        <v>2.7793000000000002E-2</v>
      </c>
      <c r="AR20" s="146">
        <f t="shared" si="27"/>
        <v>-0.45794600000000008</v>
      </c>
      <c r="AS20" s="146">
        <f t="shared" si="28"/>
        <v>1.758E-3</v>
      </c>
      <c r="AT20" s="146">
        <f t="shared" si="29"/>
        <v>0.65877899999999989</v>
      </c>
      <c r="AU20" s="146">
        <f t="shared" si="30"/>
        <v>-2.6279000000000004E-2</v>
      </c>
      <c r="AV20" s="146">
        <f t="shared" si="31"/>
        <v>0.13915800000000003</v>
      </c>
      <c r="AW20" s="146">
        <f t="shared" si="32"/>
        <v>9.1453999999999952E-2</v>
      </c>
      <c r="AX20" s="146">
        <f t="shared" si="33"/>
        <v>0.16441800000000001</v>
      </c>
      <c r="AY20">
        <f>AJ20*(AP20+AQ20*W20+AR20*AK20*(H20-50)+AS20*(1-AK20)+AT20*G20)</f>
        <v>0</v>
      </c>
      <c r="AZ20">
        <f>(1-AJ20)*(AU20+AV20*AK20*(H20-50)+AW20*(1-AK20)+AX20*LN(N20))</f>
        <v>0.24519368807179495</v>
      </c>
      <c r="BA20">
        <f t="shared" si="34"/>
        <v>0.24519368807179495</v>
      </c>
      <c r="BB20">
        <f>AM20+BA20*LN(AI20/EXP(AH20))+AN20*LN(G20)+AL20*AO20*LN(W20)</f>
        <v>0.87674050772987344</v>
      </c>
      <c r="BC20" s="142">
        <f t="shared" si="35"/>
        <v>2.4030541906052498</v>
      </c>
      <c r="BD20" s="146">
        <f t="shared" si="36"/>
        <v>0.71033199999999996</v>
      </c>
      <c r="BE20">
        <v>0.3</v>
      </c>
    </row>
    <row r="21" spans="1:57" ht="15.75" x14ac:dyDescent="0.25">
      <c r="A21" s="146">
        <v>19</v>
      </c>
      <c r="B21" s="146">
        <v>50</v>
      </c>
      <c r="C21">
        <v>0.60960000000000003</v>
      </c>
      <c r="D21">
        <f t="shared" si="0"/>
        <v>609.6</v>
      </c>
      <c r="E21">
        <v>1.1130000000000001E-2</v>
      </c>
      <c r="F21">
        <f t="shared" si="1"/>
        <v>11.13</v>
      </c>
      <c r="G21" s="4">
        <f t="shared" si="2"/>
        <v>54.770889487870619</v>
      </c>
      <c r="H21" s="146">
        <v>150</v>
      </c>
      <c r="I21" s="146" t="s">
        <v>187</v>
      </c>
      <c r="J21" s="146">
        <f t="shared" si="3"/>
        <v>3</v>
      </c>
      <c r="K21" s="146">
        <f t="shared" si="4"/>
        <v>9</v>
      </c>
      <c r="L21" s="146">
        <f t="shared" si="5"/>
        <v>290000</v>
      </c>
      <c r="M21" s="146">
        <f t="shared" si="6"/>
        <v>414000</v>
      </c>
      <c r="N21" s="146">
        <f t="shared" si="7"/>
        <v>1.7363704307629526</v>
      </c>
      <c r="O21" t="s">
        <v>10</v>
      </c>
      <c r="P21" t="s">
        <v>266</v>
      </c>
      <c r="Q21">
        <f t="shared" si="8"/>
        <v>18.5</v>
      </c>
      <c r="R21">
        <f t="shared" si="9"/>
        <v>0</v>
      </c>
      <c r="S21">
        <f t="shared" si="10"/>
        <v>125</v>
      </c>
      <c r="T21">
        <f t="shared" si="11"/>
        <v>0.4</v>
      </c>
      <c r="U21">
        <v>0.9</v>
      </c>
      <c r="V21" s="146">
        <v>0</v>
      </c>
      <c r="W21">
        <f t="shared" si="12"/>
        <v>95.755744081416907</v>
      </c>
      <c r="X21">
        <f t="shared" si="13"/>
        <v>0</v>
      </c>
      <c r="Y21">
        <f t="shared" si="14"/>
        <v>1</v>
      </c>
      <c r="Z21" s="146">
        <f t="shared" si="15"/>
        <v>-1.7915400000000001</v>
      </c>
      <c r="AA21" s="146">
        <f t="shared" si="16"/>
        <v>0.40086999999999995</v>
      </c>
      <c r="AB21" s="146">
        <f t="shared" si="17"/>
        <v>-0.12531000000000003</v>
      </c>
      <c r="AC21" s="146">
        <f t="shared" si="18"/>
        <v>0.77612000000000014</v>
      </c>
      <c r="AD21" s="146">
        <f t="shared" si="19"/>
        <v>0.79983000000000004</v>
      </c>
      <c r="AE21" s="146">
        <f t="shared" si="20"/>
        <v>-1.5299999999999999E-3</v>
      </c>
      <c r="AF21" s="146">
        <f t="shared" si="21"/>
        <v>0.10758000000000001</v>
      </c>
      <c r="AG21">
        <f>AB21*LN(H21)+AC21*X21+AD21*(1-X21)+AE21*Y21*(G21-100)+AF21*(1-Y21)</f>
        <v>0.24114783038035603</v>
      </c>
      <c r="AH21">
        <f>Z21+AG21*LN(N21)+AA21*LN(H21)</f>
        <v>0.35013801373668363</v>
      </c>
      <c r="AI21" s="146">
        <v>7.5</v>
      </c>
      <c r="AJ21">
        <f>IF(AI21&lt;EXP(AH21),1,0)</f>
        <v>0</v>
      </c>
      <c r="AK21">
        <f>IF(H21&lt;50,1,0)</f>
        <v>0</v>
      </c>
      <c r="AL21">
        <f>IF(O21="sand",1,0)</f>
        <v>0</v>
      </c>
      <c r="AM21" s="146">
        <f t="shared" si="22"/>
        <v>2.2869999999999946E-2</v>
      </c>
      <c r="AN21" s="146">
        <f t="shared" si="23"/>
        <v>0.26224000000000003</v>
      </c>
      <c r="AO21" s="146">
        <f t="shared" si="24"/>
        <v>1.6842000000000001</v>
      </c>
      <c r="AP21" s="146">
        <f t="shared" si="25"/>
        <v>-4.0599999999999994E-3</v>
      </c>
      <c r="AQ21" s="146">
        <f t="shared" si="26"/>
        <v>7.9000000000000008E-3</v>
      </c>
      <c r="AR21" s="146">
        <f t="shared" si="27"/>
        <v>-0.16339000000000001</v>
      </c>
      <c r="AS21" s="146">
        <f t="shared" si="28"/>
        <v>1.06E-3</v>
      </c>
      <c r="AT21" s="146">
        <f t="shared" si="29"/>
        <v>0.93762999999999996</v>
      </c>
      <c r="AU21" s="146">
        <f t="shared" si="30"/>
        <v>1.9899999999999987E-3</v>
      </c>
      <c r="AV21" s="146">
        <f t="shared" si="31"/>
        <v>-4.3020000000000003E-2</v>
      </c>
      <c r="AW21" s="146">
        <f t="shared" si="32"/>
        <v>0.41393000000000002</v>
      </c>
      <c r="AX21" s="146">
        <f t="shared" si="33"/>
        <v>0.12184</v>
      </c>
      <c r="AY21">
        <f>AJ21*(AP21+AQ21*W21+AR21*AK21*(H21-50)+AS21*(1-AK21)+AT21*G21)</f>
        <v>0</v>
      </c>
      <c r="AZ21">
        <f>(1-AJ21)*(AU21+AV21*AK21*(H21-50)+AW21*(1-AK21)+AX21*LN(N21))</f>
        <v>0.48315094346463056</v>
      </c>
      <c r="BA21">
        <f t="shared" si="34"/>
        <v>0.48315094346463056</v>
      </c>
      <c r="BB21">
        <f>AM21+BA21*LN(AI21/EXP(AH21))+AN21*LN(G21)+AL21*AO21*LN(W21)</f>
        <v>1.8769911576466645</v>
      </c>
      <c r="BC21" s="142">
        <f t="shared" si="35"/>
        <v>6.5338160343423519</v>
      </c>
      <c r="BD21" s="146">
        <f t="shared" si="36"/>
        <v>0.56096000000000001</v>
      </c>
      <c r="BE21">
        <v>0.3</v>
      </c>
    </row>
    <row r="22" spans="1:57" ht="15.75" x14ac:dyDescent="0.25">
      <c r="A22" s="146">
        <v>20</v>
      </c>
      <c r="B22" s="146">
        <v>50</v>
      </c>
      <c r="C22">
        <v>0.60960000000000003</v>
      </c>
      <c r="D22">
        <f t="shared" si="0"/>
        <v>609.6</v>
      </c>
      <c r="E22">
        <v>1.1130000000000001E-2</v>
      </c>
      <c r="F22">
        <f t="shared" si="1"/>
        <v>11.13</v>
      </c>
      <c r="G22" s="4">
        <f t="shared" si="2"/>
        <v>54.770889487870619</v>
      </c>
      <c r="H22" s="146">
        <v>200</v>
      </c>
      <c r="I22" s="146" t="s">
        <v>186</v>
      </c>
      <c r="J22" s="146">
        <f t="shared" si="3"/>
        <v>3</v>
      </c>
      <c r="K22" s="146">
        <f t="shared" si="4"/>
        <v>8</v>
      </c>
      <c r="L22" s="146">
        <f t="shared" si="5"/>
        <v>241000</v>
      </c>
      <c r="M22" s="146">
        <f t="shared" si="6"/>
        <v>344000</v>
      </c>
      <c r="N22" s="146">
        <f t="shared" si="7"/>
        <v>1.1599577949833839</v>
      </c>
      <c r="O22" t="s">
        <v>10</v>
      </c>
      <c r="P22" t="s">
        <v>266</v>
      </c>
      <c r="Q22">
        <f t="shared" si="8"/>
        <v>18.5</v>
      </c>
      <c r="R22">
        <f t="shared" si="9"/>
        <v>0</v>
      </c>
      <c r="S22">
        <f t="shared" si="10"/>
        <v>125</v>
      </c>
      <c r="T22">
        <f t="shared" si="11"/>
        <v>0.4</v>
      </c>
      <c r="U22">
        <v>0.9</v>
      </c>
      <c r="V22" s="146">
        <v>0</v>
      </c>
      <c r="W22">
        <f t="shared" si="12"/>
        <v>95.755744081416907</v>
      </c>
      <c r="X22">
        <f t="shared" si="13"/>
        <v>0</v>
      </c>
      <c r="Y22">
        <f t="shared" si="14"/>
        <v>1</v>
      </c>
      <c r="Z22" s="146">
        <f t="shared" si="15"/>
        <v>-1.7915400000000001</v>
      </c>
      <c r="AA22" s="146">
        <f t="shared" si="16"/>
        <v>0.40086999999999995</v>
      </c>
      <c r="AB22" s="146">
        <f t="shared" si="17"/>
        <v>-0.12531000000000003</v>
      </c>
      <c r="AC22" s="146">
        <f t="shared" si="18"/>
        <v>0.77612000000000014</v>
      </c>
      <c r="AD22" s="146">
        <f t="shared" si="19"/>
        <v>0.79983000000000004</v>
      </c>
      <c r="AE22" s="146">
        <f t="shared" si="20"/>
        <v>-1.5299999999999999E-3</v>
      </c>
      <c r="AF22" s="146">
        <f t="shared" si="21"/>
        <v>0.10758000000000001</v>
      </c>
      <c r="AG22">
        <f>AB22*LN(H22)+AC22*X22+AD22*(1-X22)+AE22*Y22*(G22-100)+AF22*(1-Y22)</f>
        <v>0.20509838988142337</v>
      </c>
      <c r="AH22">
        <f>Z22+AG22*LN(N22)+AA22*LN(H22)</f>
        <v>0.36282972444334716</v>
      </c>
      <c r="AI22" s="146">
        <v>3.5</v>
      </c>
      <c r="AJ22">
        <f>IF(AI22&lt;EXP(AH22),1,0)</f>
        <v>0</v>
      </c>
      <c r="AK22">
        <f>IF(H22&lt;50,1,0)</f>
        <v>0</v>
      </c>
      <c r="AL22">
        <f>IF(O22="sand",1,0)</f>
        <v>0</v>
      </c>
      <c r="AM22" s="146">
        <f t="shared" si="22"/>
        <v>2.2869999999999946E-2</v>
      </c>
      <c r="AN22" s="146">
        <f t="shared" si="23"/>
        <v>0.26224000000000003</v>
      </c>
      <c r="AO22" s="146">
        <f t="shared" si="24"/>
        <v>1.6842000000000001</v>
      </c>
      <c r="AP22" s="146">
        <f t="shared" si="25"/>
        <v>-4.0599999999999994E-3</v>
      </c>
      <c r="AQ22" s="146">
        <f t="shared" si="26"/>
        <v>7.9000000000000008E-3</v>
      </c>
      <c r="AR22" s="146">
        <f t="shared" si="27"/>
        <v>-0.16339000000000001</v>
      </c>
      <c r="AS22" s="146">
        <f t="shared" si="28"/>
        <v>1.06E-3</v>
      </c>
      <c r="AT22" s="146">
        <f t="shared" si="29"/>
        <v>0.93762999999999996</v>
      </c>
      <c r="AU22" s="146">
        <f t="shared" si="30"/>
        <v>1.9899999999999987E-3</v>
      </c>
      <c r="AV22" s="146">
        <f t="shared" si="31"/>
        <v>-4.3020000000000003E-2</v>
      </c>
      <c r="AW22" s="146">
        <f t="shared" si="32"/>
        <v>0.41393000000000002</v>
      </c>
      <c r="AX22" s="146">
        <f t="shared" si="33"/>
        <v>0.12184</v>
      </c>
      <c r="AY22">
        <f>AJ22*(AP22+AQ22*W22+AR22*AK22*(H22-50)+AS22*(1-AK22)+AT22*G22)</f>
        <v>0</v>
      </c>
      <c r="AZ22">
        <f>(1-AJ22)*(AU22+AV22*AK22*(H22-50)+AW22*(1-AK22)+AX22*LN(N22))</f>
        <v>0.43399906036087438</v>
      </c>
      <c r="BA22">
        <f t="shared" si="34"/>
        <v>0.43399906036087438</v>
      </c>
      <c r="BB22">
        <f>AM22+BA22*LN(AI22/EXP(AH22))+AN22*LN(G22)+AL22*AO22*LN(W22)</f>
        <v>1.4588885656641277</v>
      </c>
      <c r="BC22" s="142">
        <f t="shared" si="35"/>
        <v>4.3011763956378672</v>
      </c>
      <c r="BD22" s="146">
        <f t="shared" si="36"/>
        <v>0.56096000000000001</v>
      </c>
      <c r="BE22">
        <v>0.3</v>
      </c>
    </row>
    <row r="24" spans="1:57" x14ac:dyDescent="0.25">
      <c r="A24" s="146" t="s">
        <v>38</v>
      </c>
      <c r="B24" s="146" t="s">
        <v>400</v>
      </c>
      <c r="C24" s="146" t="s">
        <v>288</v>
      </c>
      <c r="D24" s="146" t="s">
        <v>1</v>
      </c>
      <c r="E24" s="146" t="s">
        <v>289</v>
      </c>
      <c r="F24" s="146" t="s">
        <v>2</v>
      </c>
      <c r="G24" s="146" t="s">
        <v>124</v>
      </c>
      <c r="H24" s="146" t="s">
        <v>125</v>
      </c>
      <c r="I24" s="146" t="s">
        <v>15</v>
      </c>
      <c r="J24" s="146" t="s">
        <v>4</v>
      </c>
      <c r="K24" s="146" t="s">
        <v>5</v>
      </c>
      <c r="L24" s="146" t="s">
        <v>3</v>
      </c>
      <c r="M24" s="146" t="s">
        <v>16</v>
      </c>
      <c r="N24" s="146" t="s">
        <v>17</v>
      </c>
      <c r="O24" s="146" t="s">
        <v>0</v>
      </c>
      <c r="P24" s="146" t="s">
        <v>86</v>
      </c>
      <c r="Q24" s="146" t="s">
        <v>84</v>
      </c>
      <c r="R24" s="146" t="s">
        <v>85</v>
      </c>
      <c r="S24" s="146" t="s">
        <v>83</v>
      </c>
      <c r="T24" s="146" t="s">
        <v>82</v>
      </c>
      <c r="U24" s="146" t="s">
        <v>406</v>
      </c>
      <c r="V24" t="s">
        <v>287</v>
      </c>
      <c r="W24" t="s">
        <v>7</v>
      </c>
      <c r="X24" t="s">
        <v>429</v>
      </c>
      <c r="Y24" t="s">
        <v>430</v>
      </c>
      <c r="Z24" t="s">
        <v>14</v>
      </c>
      <c r="AA24" t="s">
        <v>12</v>
      </c>
      <c r="AB24" t="s">
        <v>13</v>
      </c>
      <c r="AC24" t="s">
        <v>425</v>
      </c>
      <c r="AD24" t="s">
        <v>426</v>
      </c>
      <c r="AE24" t="s">
        <v>427</v>
      </c>
      <c r="AF24" t="s">
        <v>428</v>
      </c>
      <c r="AG24" t="s">
        <v>11</v>
      </c>
      <c r="AH24" t="s">
        <v>271</v>
      </c>
      <c r="AI24" s="146" t="s">
        <v>6</v>
      </c>
      <c r="AJ24" t="s">
        <v>272</v>
      </c>
      <c r="AK24" t="s">
        <v>273</v>
      </c>
      <c r="AL24" t="s">
        <v>286</v>
      </c>
      <c r="AM24" t="s">
        <v>18</v>
      </c>
      <c r="AN24" t="s">
        <v>104</v>
      </c>
      <c r="AO24" t="s">
        <v>105</v>
      </c>
      <c r="AP24" t="s">
        <v>20</v>
      </c>
      <c r="AQ24" t="s">
        <v>21</v>
      </c>
      <c r="AR24" t="s">
        <v>22</v>
      </c>
      <c r="AS24" t="s">
        <v>23</v>
      </c>
      <c r="AT24" t="s">
        <v>24</v>
      </c>
      <c r="AU24" t="s">
        <v>25</v>
      </c>
      <c r="AV24" t="s">
        <v>26</v>
      </c>
      <c r="AW24" t="s">
        <v>27</v>
      </c>
      <c r="AX24" t="s">
        <v>28</v>
      </c>
      <c r="AY24" t="s">
        <v>404</v>
      </c>
      <c r="AZ24" t="s">
        <v>405</v>
      </c>
      <c r="BA24" t="s">
        <v>19</v>
      </c>
      <c r="BB24" t="s">
        <v>284</v>
      </c>
      <c r="BC24" t="s">
        <v>8</v>
      </c>
      <c r="BD24" t="s">
        <v>290</v>
      </c>
      <c r="BE24" t="s">
        <v>291</v>
      </c>
    </row>
    <row r="25" spans="1:57" x14ac:dyDescent="0.25">
      <c r="A25" s="146">
        <v>1</v>
      </c>
      <c r="B25" s="146">
        <v>5</v>
      </c>
      <c r="C25" s="146">
        <v>0.20319999999999999</v>
      </c>
      <c r="D25" s="146">
        <v>203.2</v>
      </c>
      <c r="E25" s="146">
        <v>5.5599999999999998E-3</v>
      </c>
      <c r="F25" s="146">
        <v>5.56</v>
      </c>
      <c r="G25" s="146">
        <v>36.546762589928058</v>
      </c>
      <c r="H25" s="146">
        <v>15</v>
      </c>
      <c r="I25" s="146" t="s">
        <v>117</v>
      </c>
      <c r="J25" s="146">
        <v>8</v>
      </c>
      <c r="K25" s="146">
        <v>10</v>
      </c>
      <c r="L25" s="146">
        <v>359000</v>
      </c>
      <c r="M25" s="146">
        <v>455000</v>
      </c>
      <c r="N25" s="146">
        <v>1.9969902892117808</v>
      </c>
      <c r="O25" s="146" t="s">
        <v>9</v>
      </c>
      <c r="P25" s="146" t="s">
        <v>267</v>
      </c>
      <c r="Q25" s="146">
        <v>18</v>
      </c>
      <c r="R25" s="146">
        <v>37</v>
      </c>
      <c r="S25" s="146">
        <v>0</v>
      </c>
      <c r="T25" s="146">
        <v>0</v>
      </c>
      <c r="U25" s="146">
        <v>0.9</v>
      </c>
      <c r="V25">
        <v>1</v>
      </c>
      <c r="W25">
        <v>7.5479720641402661</v>
      </c>
      <c r="X25">
        <v>1</v>
      </c>
      <c r="Y25">
        <v>1</v>
      </c>
      <c r="Z25">
        <v>0.33251000000000008</v>
      </c>
      <c r="AA25">
        <v>-0.16215999999999997</v>
      </c>
      <c r="AB25">
        <v>0.10449</v>
      </c>
      <c r="AC25">
        <v>-0.37792000000000003</v>
      </c>
      <c r="AD25">
        <v>-0.49608999999999992</v>
      </c>
      <c r="AE25">
        <v>-1.25E-3</v>
      </c>
      <c r="AF25">
        <v>9.0099999999999902E-3</v>
      </c>
      <c r="AG25">
        <v>-1.563928772424017E-2</v>
      </c>
      <c r="AH25">
        <v>-0.11744419621019414</v>
      </c>
      <c r="AI25" s="146">
        <v>0.75</v>
      </c>
      <c r="AJ25">
        <v>1</v>
      </c>
      <c r="AK25">
        <v>1</v>
      </c>
      <c r="AL25">
        <v>1</v>
      </c>
      <c r="AM25">
        <v>1.0319499999999999</v>
      </c>
      <c r="AN25">
        <v>0.16287000000000001</v>
      </c>
      <c r="AO25">
        <v>2.7647700000000004</v>
      </c>
      <c r="AP25">
        <v>1.2999999999999991E-4</v>
      </c>
      <c r="AQ25">
        <v>5.074E-2</v>
      </c>
      <c r="AR25">
        <v>-0.69564000000000004</v>
      </c>
      <c r="AS25">
        <v>1.1999999999999999E-4</v>
      </c>
      <c r="AT25">
        <v>0.44705000000000006</v>
      </c>
      <c r="AU25">
        <v>-1.8379999999999997E-2</v>
      </c>
      <c r="AV25">
        <v>0.22193000000000002</v>
      </c>
      <c r="AW25">
        <v>-0.13192000000000009</v>
      </c>
      <c r="AX25">
        <v>6.849999999999995E-3</v>
      </c>
      <c r="AY25">
        <v>41.068744318361823</v>
      </c>
      <c r="AZ25">
        <v>0</v>
      </c>
      <c r="BA25">
        <v>41.068744318361823</v>
      </c>
      <c r="BB25">
        <v>0.21496830266459721</v>
      </c>
      <c r="BC25">
        <v>1.2398225972705117</v>
      </c>
      <c r="BD25">
        <v>0.41866999999999999</v>
      </c>
      <c r="BE25">
        <v>0.3</v>
      </c>
    </row>
    <row r="26" spans="1:57" x14ac:dyDescent="0.25">
      <c r="A26" s="146">
        <v>2</v>
      </c>
      <c r="B26" s="146">
        <v>5</v>
      </c>
      <c r="C26" s="146">
        <v>0.30480000000000002</v>
      </c>
      <c r="D26" s="146">
        <v>304.8</v>
      </c>
      <c r="E26" s="146">
        <v>7.1399999999999996E-3</v>
      </c>
      <c r="F26" s="146">
        <v>7.14</v>
      </c>
      <c r="G26" s="146">
        <v>42.689075630252105</v>
      </c>
      <c r="H26" s="146">
        <v>30</v>
      </c>
      <c r="I26" s="146" t="s">
        <v>118</v>
      </c>
      <c r="J26" s="146">
        <v>8</v>
      </c>
      <c r="K26" s="146">
        <v>12</v>
      </c>
      <c r="L26" s="146">
        <v>414000</v>
      </c>
      <c r="M26" s="146">
        <v>517000</v>
      </c>
      <c r="N26" s="146">
        <v>2.5466769467238102</v>
      </c>
      <c r="O26" s="146" t="s">
        <v>9</v>
      </c>
      <c r="P26" s="146" t="s">
        <v>267</v>
      </c>
      <c r="Q26" s="146">
        <v>18</v>
      </c>
      <c r="R26" s="146">
        <v>37</v>
      </c>
      <c r="S26" s="146">
        <v>0</v>
      </c>
      <c r="T26" s="146">
        <v>0</v>
      </c>
      <c r="U26" s="146">
        <v>0.9</v>
      </c>
      <c r="V26">
        <v>2</v>
      </c>
      <c r="W26">
        <v>22.6439161924208</v>
      </c>
      <c r="X26">
        <v>1</v>
      </c>
      <c r="Y26">
        <v>1</v>
      </c>
      <c r="Z26">
        <v>0.33251000000000008</v>
      </c>
      <c r="AA26">
        <v>-0.16215999999999997</v>
      </c>
      <c r="AB26">
        <v>0.10449</v>
      </c>
      <c r="AC26">
        <v>-0.37792000000000003</v>
      </c>
      <c r="AD26">
        <v>-0.49608999999999992</v>
      </c>
      <c r="AE26">
        <v>-1.25E-3</v>
      </c>
      <c r="AF26">
        <v>9.0099999999999902E-3</v>
      </c>
      <c r="AG26">
        <v>4.9109769872063475E-2</v>
      </c>
      <c r="AH26">
        <v>-0.17312087749533284</v>
      </c>
      <c r="AI26" s="146">
        <v>0.75</v>
      </c>
      <c r="AJ26">
        <v>1</v>
      </c>
      <c r="AK26">
        <v>1</v>
      </c>
      <c r="AL26">
        <v>1</v>
      </c>
      <c r="AM26">
        <v>1.0319499999999999</v>
      </c>
      <c r="AN26">
        <v>0.16287000000000001</v>
      </c>
      <c r="AO26">
        <v>2.7647700000000004</v>
      </c>
      <c r="AP26">
        <v>1.2999999999999991E-4</v>
      </c>
      <c r="AQ26">
        <v>5.074E-2</v>
      </c>
      <c r="AR26">
        <v>-0.69564000000000004</v>
      </c>
      <c r="AS26">
        <v>1.1999999999999999E-4</v>
      </c>
      <c r="AT26">
        <v>0.44705000000000006</v>
      </c>
      <c r="AU26">
        <v>-1.8379999999999997E-2</v>
      </c>
      <c r="AV26">
        <v>0.22193000000000002</v>
      </c>
      <c r="AW26">
        <v>-0.13192000000000009</v>
      </c>
      <c r="AX26">
        <v>6.849999999999995E-3</v>
      </c>
      <c r="AY26">
        <v>34.14603356810764</v>
      </c>
      <c r="AZ26">
        <v>0</v>
      </c>
      <c r="BA26">
        <v>34.14603356810764</v>
      </c>
      <c r="BB26">
        <v>6.357325930252701</v>
      </c>
      <c r="BC26">
        <v>100</v>
      </c>
      <c r="BD26">
        <v>0.41866999999999999</v>
      </c>
      <c r="BE26">
        <v>0.3</v>
      </c>
    </row>
    <row r="27" spans="1:57" x14ac:dyDescent="0.25">
      <c r="A27" s="146">
        <v>3</v>
      </c>
      <c r="B27" s="146">
        <v>15</v>
      </c>
      <c r="C27" s="146">
        <v>0.40639999999999998</v>
      </c>
      <c r="D27" s="146">
        <v>406.4</v>
      </c>
      <c r="E27" s="146">
        <v>9.5299999999999985E-3</v>
      </c>
      <c r="F27" s="146">
        <v>9.5299999999999994</v>
      </c>
      <c r="G27" s="146">
        <v>42.644281217208821</v>
      </c>
      <c r="H27" s="146">
        <v>50</v>
      </c>
      <c r="I27" s="146" t="s">
        <v>119</v>
      </c>
      <c r="J27" s="146">
        <v>14</v>
      </c>
      <c r="K27" s="146">
        <v>15</v>
      </c>
      <c r="L27" s="146">
        <v>483000</v>
      </c>
      <c r="M27" s="146">
        <v>565000</v>
      </c>
      <c r="N27" s="146">
        <v>2.8799444073326219</v>
      </c>
      <c r="O27" s="146" t="s">
        <v>9</v>
      </c>
      <c r="P27" s="146" t="s">
        <v>267</v>
      </c>
      <c r="Q27" s="146">
        <v>18</v>
      </c>
      <c r="R27" s="146">
        <v>37</v>
      </c>
      <c r="S27" s="146">
        <v>0</v>
      </c>
      <c r="T27" s="146">
        <v>0</v>
      </c>
      <c r="U27" s="146">
        <v>0.9</v>
      </c>
      <c r="V27">
        <v>1</v>
      </c>
      <c r="W27">
        <v>15.095944128280532</v>
      </c>
      <c r="X27">
        <v>1</v>
      </c>
      <c r="Y27">
        <v>1</v>
      </c>
      <c r="Z27">
        <v>-0.20768999999999993</v>
      </c>
      <c r="AA27">
        <v>-2.7459999999999984E-2</v>
      </c>
      <c r="AB27">
        <v>7.4390000000000012E-2</v>
      </c>
      <c r="AC27">
        <v>-0.15971999999999997</v>
      </c>
      <c r="AD27">
        <v>-0.25248999999999999</v>
      </c>
      <c r="AE27">
        <v>-1.3500000000000001E-3</v>
      </c>
      <c r="AF27">
        <v>3.1809999999999991E-2</v>
      </c>
      <c r="AG27">
        <v>0.20872561173056797</v>
      </c>
      <c r="AH27">
        <v>-9.4330254571742558E-2</v>
      </c>
      <c r="AI27" s="146">
        <v>0.75</v>
      </c>
      <c r="AJ27">
        <v>1</v>
      </c>
      <c r="AK27">
        <v>0</v>
      </c>
      <c r="AL27">
        <v>1</v>
      </c>
      <c r="AM27">
        <v>0.81455</v>
      </c>
      <c r="AN27">
        <v>0.18317</v>
      </c>
      <c r="AO27">
        <v>2.4846700000000004</v>
      </c>
      <c r="AP27">
        <v>-8.7000000000000011E-4</v>
      </c>
      <c r="AQ27">
        <v>3.934E-2</v>
      </c>
      <c r="AR27">
        <v>-0.55203999999999998</v>
      </c>
      <c r="AS27">
        <v>3.1999999999999997E-4</v>
      </c>
      <c r="AT27">
        <v>0.57965</v>
      </c>
      <c r="AU27">
        <v>-1.2279999999999999E-2</v>
      </c>
      <c r="AV27">
        <v>0.14913000000000001</v>
      </c>
      <c r="AW27">
        <v>1.6079999999999983E-2</v>
      </c>
      <c r="AX27">
        <v>3.4049999999999997E-2</v>
      </c>
      <c r="AY27">
        <v>25.312082049561649</v>
      </c>
      <c r="AZ27">
        <v>0</v>
      </c>
      <c r="BA27">
        <v>25.312082049561649</v>
      </c>
      <c r="BB27">
        <v>3.3522834801053834</v>
      </c>
      <c r="BC27">
        <v>28.567893436223279</v>
      </c>
      <c r="BD27">
        <v>0.44886999999999999</v>
      </c>
      <c r="BE27">
        <v>0.3</v>
      </c>
    </row>
    <row r="28" spans="1:57" x14ac:dyDescent="0.25">
      <c r="A28" s="146">
        <v>4</v>
      </c>
      <c r="B28" s="146">
        <v>15</v>
      </c>
      <c r="C28" s="146">
        <v>0.50800000000000001</v>
      </c>
      <c r="D28" s="146">
        <v>508</v>
      </c>
      <c r="E28" s="146">
        <v>1.1130000000000001E-2</v>
      </c>
      <c r="F28" s="146">
        <v>11.13</v>
      </c>
      <c r="G28" s="146">
        <v>45.642407906558844</v>
      </c>
      <c r="H28" s="146">
        <v>100</v>
      </c>
      <c r="I28" s="146" t="s">
        <v>120</v>
      </c>
      <c r="J28" s="146">
        <v>15</v>
      </c>
      <c r="K28" s="146">
        <v>20</v>
      </c>
      <c r="L28" s="146">
        <v>552000</v>
      </c>
      <c r="M28" s="146">
        <v>625000</v>
      </c>
      <c r="N28" s="146">
        <v>2.9888368774026359</v>
      </c>
      <c r="O28" s="146" t="s">
        <v>9</v>
      </c>
      <c r="P28" s="146" t="s">
        <v>267</v>
      </c>
      <c r="Q28" s="146">
        <v>18</v>
      </c>
      <c r="R28" s="146">
        <v>37</v>
      </c>
      <c r="S28" s="146">
        <v>0</v>
      </c>
      <c r="T28" s="146">
        <v>0</v>
      </c>
      <c r="U28" s="146">
        <v>0.9</v>
      </c>
      <c r="V28">
        <v>2</v>
      </c>
      <c r="W28">
        <v>37.739860320701332</v>
      </c>
      <c r="X28">
        <v>1</v>
      </c>
      <c r="Y28">
        <v>1</v>
      </c>
      <c r="Z28">
        <v>-0.20768999999999993</v>
      </c>
      <c r="AA28">
        <v>-2.7459999999999984E-2</v>
      </c>
      <c r="AB28">
        <v>7.4390000000000012E-2</v>
      </c>
      <c r="AC28">
        <v>-0.15971999999999997</v>
      </c>
      <c r="AD28">
        <v>-0.25248999999999999</v>
      </c>
      <c r="AE28">
        <v>-1.3500000000000001E-3</v>
      </c>
      <c r="AF28">
        <v>3.1809999999999991E-2</v>
      </c>
      <c r="AG28">
        <v>0.25624135946179982</v>
      </c>
      <c r="AH28">
        <v>-5.359332989807794E-2</v>
      </c>
      <c r="AI28" s="146">
        <v>0.75</v>
      </c>
      <c r="AJ28">
        <v>1</v>
      </c>
      <c r="AK28">
        <v>0</v>
      </c>
      <c r="AL28">
        <v>1</v>
      </c>
      <c r="AM28">
        <v>0.81455</v>
      </c>
      <c r="AN28">
        <v>0.18317</v>
      </c>
      <c r="AO28">
        <v>2.4846700000000004</v>
      </c>
      <c r="AP28">
        <v>-8.7000000000000011E-4</v>
      </c>
      <c r="AQ28">
        <v>3.934E-2</v>
      </c>
      <c r="AR28">
        <v>-0.55203999999999998</v>
      </c>
      <c r="AS28">
        <v>3.1999999999999997E-4</v>
      </c>
      <c r="AT28">
        <v>0.57965</v>
      </c>
      <c r="AU28">
        <v>-1.2279999999999999E-2</v>
      </c>
      <c r="AV28">
        <v>0.14913000000000001</v>
      </c>
      <c r="AW28">
        <v>1.6079999999999983E-2</v>
      </c>
      <c r="AX28">
        <v>3.4049999999999997E-2</v>
      </c>
      <c r="AY28">
        <v>27.940757848053224</v>
      </c>
      <c r="AZ28">
        <v>0</v>
      </c>
      <c r="BA28">
        <v>27.940757848053224</v>
      </c>
      <c r="BB28">
        <v>3.9949291023077054</v>
      </c>
      <c r="BC28">
        <v>54.321989183611407</v>
      </c>
      <c r="BD28">
        <v>0.44886999999999999</v>
      </c>
      <c r="BE28">
        <v>0.3</v>
      </c>
    </row>
    <row r="29" spans="1:57" x14ac:dyDescent="0.25">
      <c r="A29" s="146">
        <v>5</v>
      </c>
      <c r="B29" s="146">
        <v>25</v>
      </c>
      <c r="C29" s="146">
        <v>0.60960000000000003</v>
      </c>
      <c r="D29" s="146">
        <v>609.6</v>
      </c>
      <c r="E29" s="146">
        <v>9.5299999999999985E-3</v>
      </c>
      <c r="F29" s="146">
        <v>9.5299999999999994</v>
      </c>
      <c r="G29" s="146">
        <v>63.966421825813235</v>
      </c>
      <c r="H29" s="146">
        <v>15</v>
      </c>
      <c r="I29" s="146" t="s">
        <v>117</v>
      </c>
      <c r="J29" s="146">
        <v>8</v>
      </c>
      <c r="K29" s="146">
        <v>10</v>
      </c>
      <c r="L29" s="146">
        <v>359000</v>
      </c>
      <c r="M29" s="146">
        <v>455000</v>
      </c>
      <c r="N29" s="146">
        <v>1.9969902892117808</v>
      </c>
      <c r="O29" s="146" t="s">
        <v>9</v>
      </c>
      <c r="P29" s="146" t="s">
        <v>268</v>
      </c>
      <c r="Q29" s="146">
        <v>18.5</v>
      </c>
      <c r="R29" s="146">
        <v>40</v>
      </c>
      <c r="S29" s="146">
        <v>0</v>
      </c>
      <c r="T29" s="146">
        <v>0</v>
      </c>
      <c r="U29" s="146">
        <v>0.9</v>
      </c>
      <c r="V29">
        <v>1</v>
      </c>
      <c r="W29">
        <v>25.741129539100392</v>
      </c>
      <c r="X29">
        <v>1</v>
      </c>
      <c r="Y29">
        <v>1</v>
      </c>
      <c r="Z29">
        <v>-0.74788999999999994</v>
      </c>
      <c r="AA29">
        <v>0.10724</v>
      </c>
      <c r="AB29">
        <v>4.4290000000000003E-2</v>
      </c>
      <c r="AC29">
        <v>5.8479999999999976E-2</v>
      </c>
      <c r="AD29">
        <v>-8.8899999999999535E-3</v>
      </c>
      <c r="AE29">
        <v>-1.4499999999999999E-3</v>
      </c>
      <c r="AF29">
        <v>5.4609999999999992E-2</v>
      </c>
      <c r="AG29">
        <v>0.23066823175938767</v>
      </c>
      <c r="AH29">
        <v>-0.29793904572462759</v>
      </c>
      <c r="AI29" s="146">
        <v>2.75</v>
      </c>
      <c r="AJ29">
        <v>0</v>
      </c>
      <c r="AK29">
        <v>1</v>
      </c>
      <c r="AL29">
        <v>1</v>
      </c>
      <c r="AM29">
        <v>0.59714999999999996</v>
      </c>
      <c r="AN29">
        <v>0.20347000000000001</v>
      </c>
      <c r="AO29">
        <v>2.2045700000000004</v>
      </c>
      <c r="AP29">
        <v>-1.8700000000000001E-3</v>
      </c>
      <c r="AQ29">
        <v>2.794E-2</v>
      </c>
      <c r="AR29">
        <v>-0.40844000000000003</v>
      </c>
      <c r="AS29">
        <v>5.2000000000000006E-4</v>
      </c>
      <c r="AT29">
        <v>0.71225000000000005</v>
      </c>
      <c r="AU29">
        <v>-6.1799999999999989E-3</v>
      </c>
      <c r="AV29">
        <v>7.6330000000000009E-2</v>
      </c>
      <c r="AW29">
        <v>0.16407999999999995</v>
      </c>
      <c r="AX29">
        <v>6.1249999999999999E-2</v>
      </c>
      <c r="AY29">
        <v>0</v>
      </c>
      <c r="AZ29">
        <v>-2.6353669770063104</v>
      </c>
      <c r="BA29">
        <v>-2.6353669770063104</v>
      </c>
      <c r="BB29">
        <v>5.1527747579237175</v>
      </c>
      <c r="BC29">
        <v>100</v>
      </c>
      <c r="BD29">
        <v>0.47907</v>
      </c>
      <c r="BE29">
        <v>0.3</v>
      </c>
    </row>
    <row r="30" spans="1:57" x14ac:dyDescent="0.25">
      <c r="A30" s="146">
        <v>6</v>
      </c>
      <c r="B30" s="146">
        <v>25</v>
      </c>
      <c r="C30" s="146">
        <v>0.76200000000000001</v>
      </c>
      <c r="D30" s="146">
        <v>762</v>
      </c>
      <c r="E30" s="146">
        <v>1.2699999999999999E-2</v>
      </c>
      <c r="F30" s="146">
        <v>12.7</v>
      </c>
      <c r="G30" s="146">
        <v>60</v>
      </c>
      <c r="H30" s="146">
        <v>30</v>
      </c>
      <c r="I30" s="146" t="s">
        <v>118</v>
      </c>
      <c r="J30" s="146">
        <v>8</v>
      </c>
      <c r="K30" s="146">
        <v>12</v>
      </c>
      <c r="L30" s="146">
        <v>414000</v>
      </c>
      <c r="M30" s="146">
        <v>517000</v>
      </c>
      <c r="N30" s="146">
        <v>2.5466769467238102</v>
      </c>
      <c r="O30" s="146" t="s">
        <v>9</v>
      </c>
      <c r="P30" s="146" t="s">
        <v>268</v>
      </c>
      <c r="Q30" s="146">
        <v>18.5</v>
      </c>
      <c r="R30" s="146">
        <v>40</v>
      </c>
      <c r="S30" s="146">
        <v>0</v>
      </c>
      <c r="T30" s="146">
        <v>0</v>
      </c>
      <c r="U30" s="146">
        <v>0.9</v>
      </c>
      <c r="V30">
        <v>2</v>
      </c>
      <c r="W30">
        <v>64.352823847750969</v>
      </c>
      <c r="X30">
        <v>1</v>
      </c>
      <c r="Y30">
        <v>1</v>
      </c>
      <c r="Z30">
        <v>-0.74788999999999994</v>
      </c>
      <c r="AA30">
        <v>0.10724</v>
      </c>
      <c r="AB30">
        <v>4.4290000000000003E-2</v>
      </c>
      <c r="AC30">
        <v>5.8479999999999976E-2</v>
      </c>
      <c r="AD30">
        <v>-8.8899999999999535E-3</v>
      </c>
      <c r="AE30">
        <v>-1.4499999999999999E-3</v>
      </c>
      <c r="AF30">
        <v>5.4609999999999992E-2</v>
      </c>
      <c r="AG30">
        <v>0.26711903203381682</v>
      </c>
      <c r="AH30">
        <v>-0.1334455661494785</v>
      </c>
      <c r="AI30" s="146">
        <v>3.5</v>
      </c>
      <c r="AJ30">
        <v>0</v>
      </c>
      <c r="AK30">
        <v>1</v>
      </c>
      <c r="AL30">
        <v>1</v>
      </c>
      <c r="AM30">
        <v>0.59714999999999996</v>
      </c>
      <c r="AN30">
        <v>0.20347000000000001</v>
      </c>
      <c r="AO30">
        <v>2.2045700000000004</v>
      </c>
      <c r="AP30">
        <v>-1.8700000000000001E-3</v>
      </c>
      <c r="AQ30">
        <v>2.794E-2</v>
      </c>
      <c r="AR30">
        <v>-0.40844000000000003</v>
      </c>
      <c r="AS30">
        <v>5.2000000000000006E-4</v>
      </c>
      <c r="AT30">
        <v>0.71225000000000005</v>
      </c>
      <c r="AU30">
        <v>-6.1799999999999989E-3</v>
      </c>
      <c r="AV30">
        <v>7.6330000000000009E-2</v>
      </c>
      <c r="AW30">
        <v>0.16407999999999995</v>
      </c>
      <c r="AX30">
        <v>6.1249999999999999E-2</v>
      </c>
      <c r="AY30">
        <v>0</v>
      </c>
      <c r="AZ30">
        <v>-1.4755241522406035</v>
      </c>
      <c r="BA30">
        <v>-1.4755241522406035</v>
      </c>
      <c r="BB30">
        <v>8.5655111300705915</v>
      </c>
      <c r="BC30">
        <v>100</v>
      </c>
      <c r="BD30">
        <v>0.47907</v>
      </c>
      <c r="BE30">
        <v>0.3</v>
      </c>
    </row>
    <row r="31" spans="1:57" x14ac:dyDescent="0.25">
      <c r="A31" s="146">
        <v>7</v>
      </c>
      <c r="B31" s="146">
        <v>35</v>
      </c>
      <c r="C31" s="146">
        <v>0.86360000000000003</v>
      </c>
      <c r="D31" s="146">
        <v>863.6</v>
      </c>
      <c r="E31" s="146">
        <v>1.1130000000000001E-2</v>
      </c>
      <c r="F31" s="146">
        <v>11.13</v>
      </c>
      <c r="G31" s="146">
        <v>77.592093441150041</v>
      </c>
      <c r="H31" s="146">
        <v>50</v>
      </c>
      <c r="I31" s="146" t="s">
        <v>119</v>
      </c>
      <c r="J31" s="146">
        <v>14</v>
      </c>
      <c r="K31" s="146">
        <v>15</v>
      </c>
      <c r="L31" s="146">
        <v>483000</v>
      </c>
      <c r="M31" s="146">
        <v>565000</v>
      </c>
      <c r="N31" s="146">
        <v>2.8799444073326219</v>
      </c>
      <c r="O31" s="146" t="s">
        <v>9</v>
      </c>
      <c r="P31" s="146" t="s">
        <v>268</v>
      </c>
      <c r="Q31" s="146">
        <v>18.5</v>
      </c>
      <c r="R31" s="146">
        <v>40</v>
      </c>
      <c r="S31" s="146">
        <v>0</v>
      </c>
      <c r="T31" s="146">
        <v>0</v>
      </c>
      <c r="U31" s="146">
        <v>0.9</v>
      </c>
      <c r="V31">
        <v>1</v>
      </c>
      <c r="W31">
        <v>36.46660018039222</v>
      </c>
      <c r="X31">
        <v>1</v>
      </c>
      <c r="Y31">
        <v>1</v>
      </c>
      <c r="Z31">
        <v>-1.28809</v>
      </c>
      <c r="AA31">
        <v>0.24193999999999999</v>
      </c>
      <c r="AB31">
        <v>1.4190000000000001E-2</v>
      </c>
      <c r="AC31">
        <v>0.27667999999999998</v>
      </c>
      <c r="AD31">
        <v>0.23471000000000003</v>
      </c>
      <c r="AE31">
        <v>-1.5499999999999999E-3</v>
      </c>
      <c r="AF31">
        <v>7.7409999999999993E-2</v>
      </c>
      <c r="AG31">
        <v>0.36692386161324281</v>
      </c>
      <c r="AH31">
        <v>4.650626263587565E-2</v>
      </c>
      <c r="AI31" s="146">
        <v>1.5</v>
      </c>
      <c r="AJ31">
        <v>0</v>
      </c>
      <c r="AK31">
        <v>0</v>
      </c>
      <c r="AL31">
        <v>1</v>
      </c>
      <c r="AM31">
        <v>0.37974999999999998</v>
      </c>
      <c r="AN31">
        <v>0.22377</v>
      </c>
      <c r="AO31">
        <v>1.9244700000000001</v>
      </c>
      <c r="AP31">
        <v>-2.8700000000000002E-3</v>
      </c>
      <c r="AQ31">
        <v>1.6539999999999999E-2</v>
      </c>
      <c r="AR31">
        <v>-0.26484000000000002</v>
      </c>
      <c r="AS31">
        <v>7.2000000000000005E-4</v>
      </c>
      <c r="AT31">
        <v>0.8448500000000001</v>
      </c>
      <c r="AU31">
        <v>-7.9999999999999342E-5</v>
      </c>
      <c r="AV31">
        <v>3.5300000000000054E-3</v>
      </c>
      <c r="AW31">
        <v>0.31207999999999997</v>
      </c>
      <c r="AX31">
        <v>8.8450000000000001E-2</v>
      </c>
      <c r="AY31">
        <v>0</v>
      </c>
      <c r="AZ31">
        <v>0.40555984414970814</v>
      </c>
      <c r="BA31">
        <v>0.40555984414970814</v>
      </c>
      <c r="BB31">
        <v>8.4202144433962278</v>
      </c>
      <c r="BC31">
        <v>100</v>
      </c>
      <c r="BD31">
        <v>0.50927</v>
      </c>
      <c r="BE31">
        <v>0.3</v>
      </c>
    </row>
    <row r="32" spans="1:57" x14ac:dyDescent="0.25">
      <c r="A32" s="146">
        <v>8</v>
      </c>
      <c r="B32" s="146">
        <v>35</v>
      </c>
      <c r="C32" s="146">
        <v>1.0668</v>
      </c>
      <c r="D32" s="146">
        <v>1066.8</v>
      </c>
      <c r="E32" s="146">
        <v>1.2699999999999999E-2</v>
      </c>
      <c r="F32" s="146">
        <v>12.7</v>
      </c>
      <c r="G32" s="146">
        <v>84</v>
      </c>
      <c r="H32" s="146">
        <v>100</v>
      </c>
      <c r="I32" s="146" t="s">
        <v>120</v>
      </c>
      <c r="J32" s="146">
        <v>15</v>
      </c>
      <c r="K32" s="146">
        <v>20</v>
      </c>
      <c r="L32" s="146">
        <v>552000</v>
      </c>
      <c r="M32" s="146">
        <v>625000</v>
      </c>
      <c r="N32" s="146">
        <v>2.9888368774026359</v>
      </c>
      <c r="O32" s="146" t="s">
        <v>9</v>
      </c>
      <c r="P32" s="146" t="s">
        <v>270</v>
      </c>
      <c r="Q32" s="146">
        <v>19</v>
      </c>
      <c r="R32" s="146">
        <v>43</v>
      </c>
      <c r="S32" s="146">
        <v>0</v>
      </c>
      <c r="T32" s="146">
        <v>0</v>
      </c>
      <c r="U32" s="146">
        <v>0.9</v>
      </c>
      <c r="V32">
        <v>2</v>
      </c>
      <c r="W32">
        <v>102.03070645435936</v>
      </c>
      <c r="X32">
        <v>0</v>
      </c>
      <c r="Y32">
        <v>1</v>
      </c>
      <c r="Z32">
        <v>-1.28809</v>
      </c>
      <c r="AA32">
        <v>0.24193999999999999</v>
      </c>
      <c r="AB32">
        <v>1.4190000000000001E-2</v>
      </c>
      <c r="AC32">
        <v>0.27667999999999998</v>
      </c>
      <c r="AD32">
        <v>0.23471000000000003</v>
      </c>
      <c r="AE32">
        <v>-1.5499999999999999E-3</v>
      </c>
      <c r="AF32">
        <v>7.7409999999999993E-2</v>
      </c>
      <c r="AG32">
        <v>0.32485736493917106</v>
      </c>
      <c r="AH32">
        <v>0.18176610584814756</v>
      </c>
      <c r="AI32" s="146">
        <v>1.5</v>
      </c>
      <c r="AJ32">
        <v>0</v>
      </c>
      <c r="AK32">
        <v>0</v>
      </c>
      <c r="AL32">
        <v>1</v>
      </c>
      <c r="AM32">
        <v>0.37974999999999998</v>
      </c>
      <c r="AN32">
        <v>0.22377</v>
      </c>
      <c r="AO32">
        <v>1.9244700000000001</v>
      </c>
      <c r="AP32">
        <v>-2.8700000000000002E-3</v>
      </c>
      <c r="AQ32">
        <v>1.6539999999999999E-2</v>
      </c>
      <c r="AR32">
        <v>-0.26484000000000002</v>
      </c>
      <c r="AS32">
        <v>7.2000000000000005E-4</v>
      </c>
      <c r="AT32">
        <v>0.8448500000000001</v>
      </c>
      <c r="AU32">
        <v>-7.9999999999999342E-5</v>
      </c>
      <c r="AV32">
        <v>3.5300000000000054E-3</v>
      </c>
      <c r="AW32">
        <v>0.31207999999999997</v>
      </c>
      <c r="AX32">
        <v>8.8450000000000001E-2</v>
      </c>
      <c r="AY32">
        <v>0</v>
      </c>
      <c r="AZ32">
        <v>0.40884251699905277</v>
      </c>
      <c r="BA32">
        <v>0.40884251699905277</v>
      </c>
      <c r="BB32">
        <v>10.363892230517227</v>
      </c>
      <c r="BC32">
        <v>100</v>
      </c>
      <c r="BD32">
        <v>0.50927</v>
      </c>
      <c r="BE32">
        <v>0.3</v>
      </c>
    </row>
    <row r="33" spans="1:57" x14ac:dyDescent="0.25">
      <c r="A33" s="146">
        <v>9</v>
      </c>
      <c r="B33" s="146">
        <v>45</v>
      </c>
      <c r="C33" s="146">
        <v>0.60960000000000003</v>
      </c>
      <c r="D33" s="146">
        <v>609.6</v>
      </c>
      <c r="E33" s="146">
        <v>1.1130000000000001E-2</v>
      </c>
      <c r="F33" s="146">
        <v>11.13</v>
      </c>
      <c r="G33" s="146">
        <v>54.770889487870619</v>
      </c>
      <c r="H33" s="146">
        <v>150</v>
      </c>
      <c r="I33" s="146" t="s">
        <v>187</v>
      </c>
      <c r="J33" s="146">
        <v>3</v>
      </c>
      <c r="K33" s="146">
        <v>9</v>
      </c>
      <c r="L33" s="146">
        <v>290000</v>
      </c>
      <c r="M33" s="146">
        <v>414000</v>
      </c>
      <c r="N33" s="146">
        <v>1.7363704307629526</v>
      </c>
      <c r="O33" s="146" t="s">
        <v>9</v>
      </c>
      <c r="P33" s="146" t="s">
        <v>270</v>
      </c>
      <c r="Q33" s="146">
        <v>19</v>
      </c>
      <c r="R33" s="146">
        <v>43</v>
      </c>
      <c r="S33" s="146">
        <v>0</v>
      </c>
      <c r="T33" s="146">
        <v>0</v>
      </c>
      <c r="U33" s="146">
        <v>0.9</v>
      </c>
      <c r="V33">
        <v>1</v>
      </c>
      <c r="W33">
        <v>29.151630415531248</v>
      </c>
      <c r="X33">
        <v>1</v>
      </c>
      <c r="Y33">
        <v>1</v>
      </c>
      <c r="Z33">
        <v>-1.82829</v>
      </c>
      <c r="AA33">
        <v>0.37666999999999995</v>
      </c>
      <c r="AB33">
        <v>-1.6059999999999963E-2</v>
      </c>
      <c r="AC33">
        <v>0.49517000000000011</v>
      </c>
      <c r="AD33">
        <v>0.47833000000000014</v>
      </c>
      <c r="AE33">
        <v>-1.5299999999999999E-3</v>
      </c>
      <c r="AF33">
        <v>0.10038000000000001</v>
      </c>
      <c r="AG33">
        <v>0.48389973626037236</v>
      </c>
      <c r="AH33">
        <v>0.32608040702065999</v>
      </c>
      <c r="AI33" s="146">
        <v>1.5</v>
      </c>
      <c r="AJ33">
        <v>0</v>
      </c>
      <c r="AK33">
        <v>0</v>
      </c>
      <c r="AL33">
        <v>1</v>
      </c>
      <c r="AM33">
        <v>0.16221999999999992</v>
      </c>
      <c r="AN33">
        <v>0.24419000000000002</v>
      </c>
      <c r="AO33">
        <v>1.6445000000000001</v>
      </c>
      <c r="AP33">
        <v>-3.96E-3</v>
      </c>
      <c r="AQ33">
        <v>5.0499999999999989E-3</v>
      </c>
      <c r="AR33">
        <v>-0.12119000000000002</v>
      </c>
      <c r="AS33">
        <v>9.5999999999999992E-4</v>
      </c>
      <c r="AT33">
        <v>0.97758</v>
      </c>
      <c r="AU33">
        <v>6.0400000000000002E-3</v>
      </c>
      <c r="AV33">
        <v>-6.9119999999999987E-2</v>
      </c>
      <c r="AW33">
        <v>0.46013000000000004</v>
      </c>
      <c r="AX33">
        <v>0.11574000000000001</v>
      </c>
      <c r="AY33">
        <v>0</v>
      </c>
      <c r="AZ33">
        <v>0.53003498191559706</v>
      </c>
      <c r="BA33">
        <v>0.53003498191559706</v>
      </c>
      <c r="BB33">
        <v>6.7279221070890927</v>
      </c>
      <c r="BC33">
        <v>100</v>
      </c>
      <c r="BD33">
        <v>0.53956000000000004</v>
      </c>
      <c r="BE33">
        <v>0.3</v>
      </c>
    </row>
    <row r="34" spans="1:57" x14ac:dyDescent="0.25">
      <c r="A34" s="146">
        <v>10</v>
      </c>
      <c r="B34" s="146">
        <v>45</v>
      </c>
      <c r="C34" s="146">
        <v>0.60960000000000003</v>
      </c>
      <c r="D34" s="146">
        <v>609.6</v>
      </c>
      <c r="E34" s="146">
        <v>1.1130000000000001E-2</v>
      </c>
      <c r="F34" s="146">
        <v>11.13</v>
      </c>
      <c r="G34" s="146">
        <v>54.770889487870619</v>
      </c>
      <c r="H34" s="146">
        <v>200</v>
      </c>
      <c r="I34" s="146" t="s">
        <v>186</v>
      </c>
      <c r="J34" s="146">
        <v>3</v>
      </c>
      <c r="K34" s="146">
        <v>8</v>
      </c>
      <c r="L34" s="146">
        <v>241000</v>
      </c>
      <c r="M34" s="146">
        <v>344000</v>
      </c>
      <c r="N34" s="146">
        <v>1.1599577949833839</v>
      </c>
      <c r="O34" s="146" t="s">
        <v>9</v>
      </c>
      <c r="P34" s="146" t="s">
        <v>270</v>
      </c>
      <c r="Q34" s="146">
        <v>19</v>
      </c>
      <c r="R34" s="146">
        <v>43</v>
      </c>
      <c r="S34" s="146">
        <v>0</v>
      </c>
      <c r="T34" s="146">
        <v>0</v>
      </c>
      <c r="U34" s="146">
        <v>0.9</v>
      </c>
      <c r="V34">
        <v>2</v>
      </c>
      <c r="W34">
        <v>58.303260831062495</v>
      </c>
      <c r="X34">
        <v>1</v>
      </c>
      <c r="Y34">
        <v>1</v>
      </c>
      <c r="Z34">
        <v>-1.82829</v>
      </c>
      <c r="AA34">
        <v>0.37666999999999995</v>
      </c>
      <c r="AB34">
        <v>-1.6059999999999963E-2</v>
      </c>
      <c r="AC34">
        <v>0.49517000000000011</v>
      </c>
      <c r="AD34">
        <v>0.47833000000000014</v>
      </c>
      <c r="AE34">
        <v>-1.5299999999999999E-3</v>
      </c>
      <c r="AF34">
        <v>0.10038000000000001</v>
      </c>
      <c r="AG34">
        <v>0.47927956217679679</v>
      </c>
      <c r="AH34">
        <v>0.23854443927911739</v>
      </c>
      <c r="AI34" s="146">
        <v>2.75</v>
      </c>
      <c r="AJ34">
        <v>0</v>
      </c>
      <c r="AK34">
        <v>0</v>
      </c>
      <c r="AL34">
        <v>1</v>
      </c>
      <c r="AM34">
        <v>0.16221999999999992</v>
      </c>
      <c r="AN34">
        <v>0.24419000000000002</v>
      </c>
      <c r="AO34">
        <v>1.6445000000000001</v>
      </c>
      <c r="AP34">
        <v>-3.96E-3</v>
      </c>
      <c r="AQ34">
        <v>5.0499999999999989E-3</v>
      </c>
      <c r="AR34">
        <v>-0.12119000000000002</v>
      </c>
      <c r="AS34">
        <v>9.5999999999999992E-4</v>
      </c>
      <c r="AT34">
        <v>0.97758</v>
      </c>
      <c r="AU34">
        <v>6.0400000000000002E-3</v>
      </c>
      <c r="AV34">
        <v>-6.9119999999999987E-2</v>
      </c>
      <c r="AW34">
        <v>0.46013000000000004</v>
      </c>
      <c r="AX34">
        <v>0.11574000000000001</v>
      </c>
      <c r="AY34">
        <v>0</v>
      </c>
      <c r="AZ34">
        <v>0.48334392027386414</v>
      </c>
      <c r="BA34">
        <v>0.48334392027386414</v>
      </c>
      <c r="BB34">
        <v>8.1993781228772242</v>
      </c>
      <c r="BC34">
        <v>100</v>
      </c>
      <c r="BD34">
        <v>0.53956000000000004</v>
      </c>
      <c r="BE34">
        <v>0.3</v>
      </c>
    </row>
    <row r="35" spans="1:57" x14ac:dyDescent="0.25">
      <c r="A35" s="146">
        <v>11</v>
      </c>
      <c r="B35" s="146">
        <v>55</v>
      </c>
      <c r="C35" s="146">
        <v>0.20319999999999999</v>
      </c>
      <c r="D35" s="146">
        <v>203.2</v>
      </c>
      <c r="E35" s="146">
        <v>5.5599999999999998E-3</v>
      </c>
      <c r="F35" s="146">
        <v>5.56</v>
      </c>
      <c r="G35" s="146">
        <v>36.546762589928058</v>
      </c>
      <c r="H35" s="146">
        <v>15</v>
      </c>
      <c r="I35" s="146" t="s">
        <v>117</v>
      </c>
      <c r="J35" s="146">
        <v>8</v>
      </c>
      <c r="K35" s="146">
        <v>10</v>
      </c>
      <c r="L35" s="146">
        <v>359000</v>
      </c>
      <c r="M35" s="146">
        <v>455000</v>
      </c>
      <c r="N35" s="146">
        <v>1.9969902892117808</v>
      </c>
      <c r="O35" s="146" t="s">
        <v>10</v>
      </c>
      <c r="P35" s="146" t="s">
        <v>265</v>
      </c>
      <c r="Q35" s="146">
        <v>17.5</v>
      </c>
      <c r="R35" s="146">
        <v>0</v>
      </c>
      <c r="S35" s="146">
        <v>37.5</v>
      </c>
      <c r="T35" s="146">
        <v>1.1000000000000001</v>
      </c>
      <c r="U35" s="146">
        <v>0.9</v>
      </c>
      <c r="V35">
        <v>0</v>
      </c>
      <c r="W35">
        <v>26.332829622389642</v>
      </c>
      <c r="X35">
        <v>1</v>
      </c>
      <c r="Y35">
        <v>1</v>
      </c>
      <c r="Z35">
        <v>-1.7547900000000001</v>
      </c>
      <c r="AA35">
        <v>0.42506999999999995</v>
      </c>
      <c r="AB35">
        <v>-0.23455999999999999</v>
      </c>
      <c r="AC35">
        <v>1.0570700000000002</v>
      </c>
      <c r="AD35">
        <v>1.1213299999999999</v>
      </c>
      <c r="AE35">
        <v>-1.5299999999999999E-3</v>
      </c>
      <c r="AF35">
        <v>0.11478000000000001</v>
      </c>
      <c r="AG35">
        <v>0.5189531980668759</v>
      </c>
      <c r="AH35">
        <v>-0.24474969265248792</v>
      </c>
      <c r="AI35" s="146">
        <v>0.75</v>
      </c>
      <c r="AJ35">
        <v>1</v>
      </c>
      <c r="AK35">
        <v>1</v>
      </c>
      <c r="AL35">
        <v>0</v>
      </c>
      <c r="AM35">
        <v>-0.11648000000000003</v>
      </c>
      <c r="AN35">
        <v>0.28029000000000004</v>
      </c>
      <c r="AO35">
        <v>1.7239</v>
      </c>
      <c r="AP35">
        <v>-4.1599999999999996E-3</v>
      </c>
      <c r="AQ35">
        <v>1.0749999999999999E-2</v>
      </c>
      <c r="AR35">
        <v>-0.20558999999999999</v>
      </c>
      <c r="AS35">
        <v>1.16E-3</v>
      </c>
      <c r="AT35">
        <v>0.89768000000000003</v>
      </c>
      <c r="AU35">
        <v>-2.0599999999999993E-3</v>
      </c>
      <c r="AV35">
        <v>-1.6919999999999991E-2</v>
      </c>
      <c r="AW35">
        <v>0.36773</v>
      </c>
      <c r="AX35">
        <v>0.12794</v>
      </c>
      <c r="AY35">
        <v>40.281865760167314</v>
      </c>
      <c r="AZ35">
        <v>0</v>
      </c>
      <c r="BA35">
        <v>40.281865760167314</v>
      </c>
      <c r="BB35">
        <v>-0.8372268378997707</v>
      </c>
      <c r="BC35">
        <v>0.43290938824584474</v>
      </c>
      <c r="BD35">
        <v>0.58235999999999999</v>
      </c>
      <c r="BE35">
        <v>0.3</v>
      </c>
    </row>
    <row r="36" spans="1:57" x14ac:dyDescent="0.25">
      <c r="A36" s="146">
        <v>12</v>
      </c>
      <c r="B36" s="146">
        <v>55</v>
      </c>
      <c r="C36" s="146">
        <v>0.30480000000000002</v>
      </c>
      <c r="D36" s="146">
        <v>304.8</v>
      </c>
      <c r="E36" s="146">
        <v>7.1399999999999996E-3</v>
      </c>
      <c r="F36" s="146">
        <v>7.14</v>
      </c>
      <c r="G36" s="146">
        <v>42.689075630252105</v>
      </c>
      <c r="H36" s="146">
        <v>30</v>
      </c>
      <c r="I36" s="146" t="s">
        <v>118</v>
      </c>
      <c r="J36" s="146">
        <v>8</v>
      </c>
      <c r="K36" s="146">
        <v>12</v>
      </c>
      <c r="L36" s="146">
        <v>414000</v>
      </c>
      <c r="M36" s="146">
        <v>517000</v>
      </c>
      <c r="N36" s="146">
        <v>2.5466769467238102</v>
      </c>
      <c r="O36" s="146" t="s">
        <v>10</v>
      </c>
      <c r="P36" s="146" t="s">
        <v>265</v>
      </c>
      <c r="Q36" s="146">
        <v>17.5</v>
      </c>
      <c r="R36" s="146">
        <v>0</v>
      </c>
      <c r="S36" s="146">
        <v>37.5</v>
      </c>
      <c r="T36" s="146">
        <v>1.1000000000000001</v>
      </c>
      <c r="U36" s="146">
        <v>0.9</v>
      </c>
      <c r="V36">
        <v>0</v>
      </c>
      <c r="W36">
        <v>39.499244433584465</v>
      </c>
      <c r="X36">
        <v>1</v>
      </c>
      <c r="Y36">
        <v>1</v>
      </c>
      <c r="Z36">
        <v>-1.7547900000000001</v>
      </c>
      <c r="AA36">
        <v>0.42506999999999995</v>
      </c>
      <c r="AB36">
        <v>-0.23455999999999999</v>
      </c>
      <c r="AC36">
        <v>1.0570700000000002</v>
      </c>
      <c r="AD36">
        <v>1.1213299999999999</v>
      </c>
      <c r="AE36">
        <v>-1.5299999999999999E-3</v>
      </c>
      <c r="AF36">
        <v>0.11478000000000001</v>
      </c>
      <c r="AG36">
        <v>0.34697085644303927</v>
      </c>
      <c r="AH36">
        <v>1.5301632793747411E-2</v>
      </c>
      <c r="AI36" s="146">
        <v>0.75</v>
      </c>
      <c r="AJ36">
        <v>1</v>
      </c>
      <c r="AK36">
        <v>1</v>
      </c>
      <c r="AL36">
        <v>0</v>
      </c>
      <c r="AM36">
        <v>-0.11648000000000003</v>
      </c>
      <c r="AN36">
        <v>0.28029000000000004</v>
      </c>
      <c r="AO36">
        <v>1.7239</v>
      </c>
      <c r="AP36">
        <v>-4.1599999999999996E-3</v>
      </c>
      <c r="AQ36">
        <v>1.0749999999999999E-2</v>
      </c>
      <c r="AR36">
        <v>-0.20558999999999999</v>
      </c>
      <c r="AS36">
        <v>1.16E-3</v>
      </c>
      <c r="AT36">
        <v>0.89768000000000003</v>
      </c>
      <c r="AU36">
        <v>-2.0599999999999993E-3</v>
      </c>
      <c r="AV36">
        <v>-1.6919999999999991E-2</v>
      </c>
      <c r="AW36">
        <v>0.36773</v>
      </c>
      <c r="AX36">
        <v>0.12794</v>
      </c>
      <c r="AY36">
        <v>42.853386289425742</v>
      </c>
      <c r="AZ36">
        <v>0</v>
      </c>
      <c r="BA36">
        <v>42.853386289425742</v>
      </c>
      <c r="BB36">
        <v>-12.048165063515285</v>
      </c>
      <c r="BC36">
        <v>5.8552898144454252E-6</v>
      </c>
      <c r="BD36">
        <v>0.58235999999999999</v>
      </c>
      <c r="BE36">
        <v>0.3</v>
      </c>
    </row>
    <row r="37" spans="1:57" x14ac:dyDescent="0.25">
      <c r="A37" s="146">
        <v>13</v>
      </c>
      <c r="B37" s="146">
        <v>65</v>
      </c>
      <c r="C37" s="146">
        <v>0.40639999999999998</v>
      </c>
      <c r="D37" s="146">
        <v>406.4</v>
      </c>
      <c r="E37" s="146">
        <v>9.5299999999999985E-3</v>
      </c>
      <c r="F37" s="146">
        <v>9.5299999999999994</v>
      </c>
      <c r="G37" s="146">
        <v>42.644281217208821</v>
      </c>
      <c r="H37" s="146">
        <v>50</v>
      </c>
      <c r="I37" s="146" t="s">
        <v>119</v>
      </c>
      <c r="J37" s="146">
        <v>14</v>
      </c>
      <c r="K37" s="146">
        <v>15</v>
      </c>
      <c r="L37" s="146">
        <v>483000</v>
      </c>
      <c r="M37" s="146">
        <v>565000</v>
      </c>
      <c r="N37" s="146">
        <v>2.8799444073326219</v>
      </c>
      <c r="O37" s="146" t="s">
        <v>10</v>
      </c>
      <c r="P37" s="146" t="s">
        <v>265</v>
      </c>
      <c r="Q37" s="146">
        <v>17.5</v>
      </c>
      <c r="R37" s="146">
        <v>0</v>
      </c>
      <c r="S37" s="146">
        <v>37.5</v>
      </c>
      <c r="T37" s="146">
        <v>1.1000000000000001</v>
      </c>
      <c r="U37" s="146">
        <v>0.9</v>
      </c>
      <c r="V37">
        <v>0</v>
      </c>
      <c r="W37">
        <v>52.665659244779285</v>
      </c>
      <c r="X37">
        <v>1</v>
      </c>
      <c r="Y37">
        <v>1</v>
      </c>
      <c r="Z37">
        <v>-1.68129</v>
      </c>
      <c r="AA37">
        <v>0.47346999999999995</v>
      </c>
      <c r="AB37">
        <v>-0.45306000000000002</v>
      </c>
      <c r="AC37">
        <v>1.61897</v>
      </c>
      <c r="AD37">
        <v>1.76433</v>
      </c>
      <c r="AE37">
        <v>-1.5299999999999999E-3</v>
      </c>
      <c r="AF37">
        <v>0.12918000000000002</v>
      </c>
      <c r="AG37">
        <v>-6.5656893101605426E-2</v>
      </c>
      <c r="AH37">
        <v>0.10148557550114656</v>
      </c>
      <c r="AI37" s="146">
        <v>0.75</v>
      </c>
      <c r="AJ37">
        <v>1</v>
      </c>
      <c r="AK37">
        <v>0</v>
      </c>
      <c r="AL37">
        <v>0</v>
      </c>
      <c r="AM37">
        <v>-0.39518000000000003</v>
      </c>
      <c r="AN37">
        <v>0.31639</v>
      </c>
      <c r="AO37">
        <v>1.8033000000000001</v>
      </c>
      <c r="AP37">
        <v>-4.3600000000000002E-3</v>
      </c>
      <c r="AQ37">
        <v>1.6449999999999999E-2</v>
      </c>
      <c r="AR37">
        <v>-0.28998999999999997</v>
      </c>
      <c r="AS37">
        <v>1.3599999999999999E-3</v>
      </c>
      <c r="AT37">
        <v>0.81777999999999995</v>
      </c>
      <c r="AU37">
        <v>-1.0159999999999999E-2</v>
      </c>
      <c r="AV37">
        <v>3.5280000000000006E-2</v>
      </c>
      <c r="AW37">
        <v>0.27533000000000002</v>
      </c>
      <c r="AX37">
        <v>0.14014000000000001</v>
      </c>
      <c r="AY37">
        <v>35.736990388385642</v>
      </c>
      <c r="AZ37">
        <v>0</v>
      </c>
      <c r="BA37">
        <v>35.736990388385642</v>
      </c>
      <c r="BB37">
        <v>-13.11548262158774</v>
      </c>
      <c r="BC37">
        <v>2.013808965210175E-6</v>
      </c>
      <c r="BD37">
        <v>0.62516000000000005</v>
      </c>
      <c r="BE37">
        <v>0.3</v>
      </c>
    </row>
    <row r="38" spans="1:57" x14ac:dyDescent="0.25">
      <c r="A38" s="146">
        <v>14</v>
      </c>
      <c r="B38" s="146">
        <v>65</v>
      </c>
      <c r="C38" s="146">
        <v>0.50800000000000001</v>
      </c>
      <c r="D38" s="146">
        <v>508</v>
      </c>
      <c r="E38" s="146">
        <v>1.1130000000000001E-2</v>
      </c>
      <c r="F38" s="146">
        <v>11.13</v>
      </c>
      <c r="G38" s="146">
        <v>45.642407906558844</v>
      </c>
      <c r="H38" s="146">
        <v>100</v>
      </c>
      <c r="I38" s="146" t="s">
        <v>120</v>
      </c>
      <c r="J38" s="146">
        <v>15</v>
      </c>
      <c r="K38" s="146">
        <v>20</v>
      </c>
      <c r="L38" s="146">
        <v>552000</v>
      </c>
      <c r="M38" s="146">
        <v>625000</v>
      </c>
      <c r="N38" s="146">
        <v>2.9888368774026359</v>
      </c>
      <c r="O38" s="146" t="s">
        <v>10</v>
      </c>
      <c r="P38" s="146" t="s">
        <v>265</v>
      </c>
      <c r="Q38" s="146">
        <v>17.5</v>
      </c>
      <c r="R38" s="146">
        <v>0</v>
      </c>
      <c r="S38" s="146">
        <v>37.5</v>
      </c>
      <c r="T38" s="146">
        <v>1.1000000000000001</v>
      </c>
      <c r="U38" s="146">
        <v>0.9</v>
      </c>
      <c r="V38">
        <v>0</v>
      </c>
      <c r="W38">
        <v>65.832074055974104</v>
      </c>
      <c r="X38">
        <v>1</v>
      </c>
      <c r="Y38">
        <v>1</v>
      </c>
      <c r="Z38">
        <v>-1.68129</v>
      </c>
      <c r="AA38">
        <v>0.47346999999999995</v>
      </c>
      <c r="AB38">
        <v>-0.45306000000000002</v>
      </c>
      <c r="AC38">
        <v>1.61897</v>
      </c>
      <c r="AD38">
        <v>1.76433</v>
      </c>
      <c r="AE38">
        <v>-1.5299999999999999E-3</v>
      </c>
      <c r="AF38">
        <v>0.12918000000000002</v>
      </c>
      <c r="AG38">
        <v>-0.38428128856079979</v>
      </c>
      <c r="AH38">
        <v>7.8376375445737612E-2</v>
      </c>
      <c r="AI38" s="146">
        <v>0.75</v>
      </c>
      <c r="AJ38">
        <v>1</v>
      </c>
      <c r="AK38">
        <v>0</v>
      </c>
      <c r="AL38">
        <v>0</v>
      </c>
      <c r="AM38">
        <v>-0.39518000000000003</v>
      </c>
      <c r="AN38">
        <v>0.31639</v>
      </c>
      <c r="AO38">
        <v>1.8033000000000001</v>
      </c>
      <c r="AP38">
        <v>-4.3600000000000002E-3</v>
      </c>
      <c r="AQ38">
        <v>1.6449999999999999E-2</v>
      </c>
      <c r="AR38">
        <v>-0.28998999999999997</v>
      </c>
      <c r="AS38">
        <v>1.3599999999999999E-3</v>
      </c>
      <c r="AT38">
        <v>0.81777999999999995</v>
      </c>
      <c r="AU38">
        <v>-1.0159999999999999E-2</v>
      </c>
      <c r="AV38">
        <v>3.5280000000000006E-2</v>
      </c>
      <c r="AW38">
        <v>0.27533000000000002</v>
      </c>
      <c r="AX38">
        <v>0.14014000000000001</v>
      </c>
      <c r="AY38">
        <v>38.405385956046466</v>
      </c>
      <c r="AZ38">
        <v>0</v>
      </c>
      <c r="BA38">
        <v>38.405385956046466</v>
      </c>
      <c r="BB38">
        <v>-13.244921266231465</v>
      </c>
      <c r="BC38">
        <v>1.769309383677267E-6</v>
      </c>
      <c r="BD38">
        <v>0.62516000000000005</v>
      </c>
      <c r="BE38">
        <v>0.3</v>
      </c>
    </row>
    <row r="39" spans="1:57" x14ac:dyDescent="0.25">
      <c r="A39" s="146">
        <v>15</v>
      </c>
      <c r="B39" s="146">
        <v>75</v>
      </c>
      <c r="C39" s="146">
        <v>0.60960000000000003</v>
      </c>
      <c r="D39" s="146">
        <v>609.6</v>
      </c>
      <c r="E39" s="146">
        <v>9.5299999999999985E-3</v>
      </c>
      <c r="F39" s="146">
        <v>9.5299999999999994</v>
      </c>
      <c r="G39" s="146">
        <v>63.966421825813235</v>
      </c>
      <c r="H39" s="146">
        <v>15</v>
      </c>
      <c r="I39" s="146" t="s">
        <v>117</v>
      </c>
      <c r="J39" s="146">
        <v>8</v>
      </c>
      <c r="K39" s="146">
        <v>10</v>
      </c>
      <c r="L39" s="146">
        <v>359000</v>
      </c>
      <c r="M39" s="146">
        <v>455000</v>
      </c>
      <c r="N39" s="146">
        <v>1.9969902892117808</v>
      </c>
      <c r="O39" s="146" t="s">
        <v>10</v>
      </c>
      <c r="P39" s="146" t="s">
        <v>269</v>
      </c>
      <c r="Q39" s="146">
        <v>18</v>
      </c>
      <c r="R39" s="146">
        <v>0</v>
      </c>
      <c r="S39" s="146">
        <v>75</v>
      </c>
      <c r="T39" s="146">
        <v>0.72</v>
      </c>
      <c r="U39" s="146">
        <v>0.9</v>
      </c>
      <c r="V39">
        <v>0</v>
      </c>
      <c r="W39">
        <v>103.41620360793024</v>
      </c>
      <c r="X39">
        <v>0</v>
      </c>
      <c r="Y39">
        <v>1</v>
      </c>
      <c r="Z39">
        <v>-1.6077900000000001</v>
      </c>
      <c r="AA39">
        <v>0.52186999999999995</v>
      </c>
      <c r="AB39">
        <v>-0.67156000000000005</v>
      </c>
      <c r="AC39">
        <v>2.1808700000000001</v>
      </c>
      <c r="AD39">
        <v>2.40733</v>
      </c>
      <c r="AE39">
        <v>-1.5299999999999999E-3</v>
      </c>
      <c r="AF39">
        <v>0.14358000000000001</v>
      </c>
      <c r="AG39">
        <v>0.64384318155430542</v>
      </c>
      <c r="AH39">
        <v>0.25076862382905563</v>
      </c>
      <c r="AI39" s="146">
        <v>0.75</v>
      </c>
      <c r="AJ39">
        <v>1</v>
      </c>
      <c r="AK39">
        <v>1</v>
      </c>
      <c r="AL39">
        <v>0</v>
      </c>
      <c r="AM39">
        <v>-0.67388000000000003</v>
      </c>
      <c r="AN39">
        <v>0.35249000000000003</v>
      </c>
      <c r="AO39">
        <v>1.8827</v>
      </c>
      <c r="AP39">
        <v>-4.5599999999999998E-3</v>
      </c>
      <c r="AQ39">
        <v>2.215E-2</v>
      </c>
      <c r="AR39">
        <v>-0.37439</v>
      </c>
      <c r="AS39">
        <v>1.56E-3</v>
      </c>
      <c r="AT39">
        <v>0.73787999999999998</v>
      </c>
      <c r="AU39">
        <v>-1.8259999999999998E-2</v>
      </c>
      <c r="AV39">
        <v>8.7480000000000002E-2</v>
      </c>
      <c r="AW39">
        <v>0.18293000000000001</v>
      </c>
      <c r="AX39">
        <v>0.15234</v>
      </c>
      <c r="AY39">
        <v>62.589302246746726</v>
      </c>
      <c r="AZ39">
        <v>0</v>
      </c>
      <c r="BA39">
        <v>62.589302246746726</v>
      </c>
      <c r="BB39">
        <v>-32.909353662011384</v>
      </c>
      <c r="BC39">
        <v>5.1009292698127449E-15</v>
      </c>
      <c r="BD39">
        <v>0.66796</v>
      </c>
      <c r="BE39">
        <v>0.3</v>
      </c>
    </row>
    <row r="40" spans="1:57" x14ac:dyDescent="0.25">
      <c r="A40" s="146">
        <v>16</v>
      </c>
      <c r="B40" s="146">
        <v>75</v>
      </c>
      <c r="C40" s="146">
        <v>0.76200000000000001</v>
      </c>
      <c r="D40" s="146">
        <v>762</v>
      </c>
      <c r="E40" s="146">
        <v>1.2699999999999999E-2</v>
      </c>
      <c r="F40" s="146">
        <v>12.7</v>
      </c>
      <c r="G40" s="146">
        <v>60</v>
      </c>
      <c r="H40" s="146">
        <v>30</v>
      </c>
      <c r="I40" s="146" t="s">
        <v>118</v>
      </c>
      <c r="J40" s="146">
        <v>8</v>
      </c>
      <c r="K40" s="146">
        <v>12</v>
      </c>
      <c r="L40" s="146">
        <v>414000</v>
      </c>
      <c r="M40" s="146">
        <v>517000</v>
      </c>
      <c r="N40" s="146">
        <v>2.5466769467238102</v>
      </c>
      <c r="O40" s="146" t="s">
        <v>10</v>
      </c>
      <c r="P40" s="146" t="s">
        <v>269</v>
      </c>
      <c r="Q40" s="146">
        <v>18</v>
      </c>
      <c r="R40" s="146">
        <v>0</v>
      </c>
      <c r="S40" s="146">
        <v>75</v>
      </c>
      <c r="T40" s="146">
        <v>0.72</v>
      </c>
      <c r="U40" s="146">
        <v>0.9</v>
      </c>
      <c r="V40">
        <v>0</v>
      </c>
      <c r="W40">
        <v>129.2702545099128</v>
      </c>
      <c r="X40">
        <v>0</v>
      </c>
      <c r="Y40">
        <v>1</v>
      </c>
      <c r="Z40">
        <v>-1.6077900000000001</v>
      </c>
      <c r="AA40">
        <v>0.52186999999999995</v>
      </c>
      <c r="AB40">
        <v>-0.67156000000000005</v>
      </c>
      <c r="AC40">
        <v>2.1808700000000001</v>
      </c>
      <c r="AD40">
        <v>2.40733</v>
      </c>
      <c r="AE40">
        <v>-1.5299999999999999E-3</v>
      </c>
      <c r="AF40">
        <v>0.14358000000000001</v>
      </c>
      <c r="AG40">
        <v>0.18442188637096288</v>
      </c>
      <c r="AH40">
        <v>0.33958849307099426</v>
      </c>
      <c r="AI40" s="146">
        <v>1.5</v>
      </c>
      <c r="AJ40">
        <v>0</v>
      </c>
      <c r="AK40">
        <v>1</v>
      </c>
      <c r="AL40">
        <v>0</v>
      </c>
      <c r="AM40">
        <v>-0.67388000000000003</v>
      </c>
      <c r="AN40">
        <v>0.35249000000000003</v>
      </c>
      <c r="AO40">
        <v>1.8827</v>
      </c>
      <c r="AP40">
        <v>-4.5599999999999998E-3</v>
      </c>
      <c r="AQ40">
        <v>2.215E-2</v>
      </c>
      <c r="AR40">
        <v>-0.37439</v>
      </c>
      <c r="AS40">
        <v>1.56E-3</v>
      </c>
      <c r="AT40">
        <v>0.73787999999999998</v>
      </c>
      <c r="AU40">
        <v>-1.8259999999999998E-2</v>
      </c>
      <c r="AV40">
        <v>8.7480000000000002E-2</v>
      </c>
      <c r="AW40">
        <v>0.18293000000000001</v>
      </c>
      <c r="AX40">
        <v>0.15234</v>
      </c>
      <c r="AY40">
        <v>0</v>
      </c>
      <c r="AZ40">
        <v>-1.6254541902421795</v>
      </c>
      <c r="BA40">
        <v>-1.6254541902421795</v>
      </c>
      <c r="BB40">
        <v>0.66225609478652903</v>
      </c>
      <c r="BC40">
        <v>1.9391623370171547</v>
      </c>
      <c r="BD40">
        <v>0.66796</v>
      </c>
      <c r="BE40">
        <v>0.3</v>
      </c>
    </row>
    <row r="41" spans="1:57" x14ac:dyDescent="0.25">
      <c r="A41" s="146">
        <v>17</v>
      </c>
      <c r="B41" s="146">
        <v>84.9</v>
      </c>
      <c r="C41" s="146">
        <v>0.86360000000000003</v>
      </c>
      <c r="D41" s="146">
        <v>863.6</v>
      </c>
      <c r="E41" s="146">
        <v>1.1130000000000001E-2</v>
      </c>
      <c r="F41" s="146">
        <v>11.13</v>
      </c>
      <c r="G41" s="146">
        <v>77.592093441150041</v>
      </c>
      <c r="H41" s="146">
        <v>50</v>
      </c>
      <c r="I41" s="146" t="s">
        <v>119</v>
      </c>
      <c r="J41" s="146">
        <v>14</v>
      </c>
      <c r="K41" s="146">
        <v>15</v>
      </c>
      <c r="L41" s="146">
        <v>483000</v>
      </c>
      <c r="M41" s="146">
        <v>565000</v>
      </c>
      <c r="N41" s="146">
        <v>2.8799444073326219</v>
      </c>
      <c r="O41" s="146" t="s">
        <v>10</v>
      </c>
      <c r="P41" s="146" t="s">
        <v>269</v>
      </c>
      <c r="Q41" s="146">
        <v>18</v>
      </c>
      <c r="R41" s="146">
        <v>0</v>
      </c>
      <c r="S41" s="146">
        <v>75</v>
      </c>
      <c r="T41" s="146">
        <v>0.72</v>
      </c>
      <c r="U41" s="146">
        <v>0.9</v>
      </c>
      <c r="V41">
        <v>0</v>
      </c>
      <c r="W41">
        <v>146.50628844456784</v>
      </c>
      <c r="X41">
        <v>0</v>
      </c>
      <c r="Y41">
        <v>1</v>
      </c>
      <c r="Z41">
        <v>-1.5350250000000001</v>
      </c>
      <c r="AA41">
        <v>0.56978600000000001</v>
      </c>
      <c r="AB41">
        <v>-0.88787500000000019</v>
      </c>
      <c r="AC41">
        <v>2.7371510000000003</v>
      </c>
      <c r="AD41">
        <v>3.0439000000000003</v>
      </c>
      <c r="AE41">
        <v>-1.5299999999999999E-3</v>
      </c>
      <c r="AF41">
        <v>0.15783600000000003</v>
      </c>
      <c r="AG41">
        <v>-0.39520332890947518</v>
      </c>
      <c r="AH41">
        <v>0.27595632332275977</v>
      </c>
      <c r="AI41" s="146">
        <v>1.5</v>
      </c>
      <c r="AJ41">
        <v>0</v>
      </c>
      <c r="AK41">
        <v>0</v>
      </c>
      <c r="AL41">
        <v>0</v>
      </c>
      <c r="AM41">
        <v>-0.94979300000000011</v>
      </c>
      <c r="AN41">
        <v>0.38822900000000005</v>
      </c>
      <c r="AO41">
        <v>1.961306</v>
      </c>
      <c r="AP41">
        <v>-4.7580000000000001E-3</v>
      </c>
      <c r="AQ41">
        <v>2.7793000000000002E-2</v>
      </c>
      <c r="AR41">
        <v>-0.45794600000000008</v>
      </c>
      <c r="AS41">
        <v>1.758E-3</v>
      </c>
      <c r="AT41">
        <v>0.65877899999999989</v>
      </c>
      <c r="AU41">
        <v>-2.6279000000000004E-2</v>
      </c>
      <c r="AV41">
        <v>0.13915800000000003</v>
      </c>
      <c r="AW41">
        <v>9.1453999999999952E-2</v>
      </c>
      <c r="AX41">
        <v>0.16441800000000001</v>
      </c>
      <c r="AY41">
        <v>0</v>
      </c>
      <c r="AZ41">
        <v>0.23909159079035291</v>
      </c>
      <c r="BA41">
        <v>0.23909159079035291</v>
      </c>
      <c r="BB41">
        <v>0.770536573923847</v>
      </c>
      <c r="BC41">
        <v>2.1609254390047696</v>
      </c>
      <c r="BD41">
        <v>0.71033199999999996</v>
      </c>
      <c r="BE41">
        <v>0.3</v>
      </c>
    </row>
    <row r="42" spans="1:57" x14ac:dyDescent="0.25">
      <c r="A42" s="146">
        <v>18</v>
      </c>
      <c r="B42" s="146">
        <v>84.9</v>
      </c>
      <c r="C42" s="146">
        <v>1.0668</v>
      </c>
      <c r="D42" s="146">
        <v>1066.8</v>
      </c>
      <c r="E42" s="146">
        <v>1.2699999999999999E-2</v>
      </c>
      <c r="F42" s="146">
        <v>12.7</v>
      </c>
      <c r="G42" s="146">
        <v>84</v>
      </c>
      <c r="H42" s="146">
        <v>100</v>
      </c>
      <c r="I42" s="146" t="s">
        <v>120</v>
      </c>
      <c r="J42" s="146">
        <v>15</v>
      </c>
      <c r="K42" s="146">
        <v>20</v>
      </c>
      <c r="L42" s="146">
        <v>552000</v>
      </c>
      <c r="M42" s="146">
        <v>625000</v>
      </c>
      <c r="N42" s="146">
        <v>2.9888368774026359</v>
      </c>
      <c r="O42" s="146" t="s">
        <v>10</v>
      </c>
      <c r="P42" s="146" t="s">
        <v>266</v>
      </c>
      <c r="Q42" s="146">
        <v>18.5</v>
      </c>
      <c r="R42" s="146">
        <v>0</v>
      </c>
      <c r="S42" s="146">
        <v>125</v>
      </c>
      <c r="T42" s="146">
        <v>0.4</v>
      </c>
      <c r="U42" s="146">
        <v>0.9</v>
      </c>
      <c r="V42">
        <v>0</v>
      </c>
      <c r="W42">
        <v>167.57255214247957</v>
      </c>
      <c r="X42">
        <v>0</v>
      </c>
      <c r="Y42">
        <v>1</v>
      </c>
      <c r="Z42">
        <v>-1.5350250000000001</v>
      </c>
      <c r="AA42">
        <v>0.56978600000000001</v>
      </c>
      <c r="AB42">
        <v>-0.88787500000000019</v>
      </c>
      <c r="AC42">
        <v>2.7371510000000003</v>
      </c>
      <c r="AD42">
        <v>3.0439000000000003</v>
      </c>
      <c r="AE42">
        <v>-1.5299999999999999E-3</v>
      </c>
      <c r="AF42">
        <v>0.15783600000000003</v>
      </c>
      <c r="AG42">
        <v>-1.0204354788841776</v>
      </c>
      <c r="AH42">
        <v>-2.8322293060942361E-2</v>
      </c>
      <c r="AI42" s="146">
        <v>1.5</v>
      </c>
      <c r="AJ42">
        <v>0</v>
      </c>
      <c r="AK42">
        <v>0</v>
      </c>
      <c r="AL42">
        <v>0</v>
      </c>
      <c r="AM42">
        <v>-0.94979300000000011</v>
      </c>
      <c r="AN42">
        <v>0.38822900000000005</v>
      </c>
      <c r="AO42">
        <v>1.961306</v>
      </c>
      <c r="AP42">
        <v>-4.7580000000000001E-3</v>
      </c>
      <c r="AQ42">
        <v>2.7793000000000002E-2</v>
      </c>
      <c r="AR42">
        <v>-0.45794600000000008</v>
      </c>
      <c r="AS42">
        <v>1.758E-3</v>
      </c>
      <c r="AT42">
        <v>0.65877899999999989</v>
      </c>
      <c r="AU42">
        <v>-2.6279000000000004E-2</v>
      </c>
      <c r="AV42">
        <v>0.13915800000000003</v>
      </c>
      <c r="AW42">
        <v>9.1453999999999952E-2</v>
      </c>
      <c r="AX42">
        <v>0.16441800000000001</v>
      </c>
      <c r="AY42">
        <v>0</v>
      </c>
      <c r="AZ42">
        <v>0.24519368807179495</v>
      </c>
      <c r="BA42">
        <v>0.24519368807179495</v>
      </c>
      <c r="BB42">
        <v>0.87674050772987344</v>
      </c>
      <c r="BC42">
        <v>2.4030541906052498</v>
      </c>
      <c r="BD42">
        <v>0.71033199999999996</v>
      </c>
      <c r="BE42">
        <v>0.3</v>
      </c>
    </row>
    <row r="43" spans="1:57" x14ac:dyDescent="0.25">
      <c r="A43" s="146">
        <v>19</v>
      </c>
      <c r="B43" s="146">
        <v>50</v>
      </c>
      <c r="C43" s="146">
        <v>0.60960000000000003</v>
      </c>
      <c r="D43" s="146">
        <v>609.6</v>
      </c>
      <c r="E43" s="146">
        <v>1.1130000000000001E-2</v>
      </c>
      <c r="F43" s="146">
        <v>11.13</v>
      </c>
      <c r="G43" s="146">
        <v>54.770889487870619</v>
      </c>
      <c r="H43" s="146">
        <v>150</v>
      </c>
      <c r="I43" s="146" t="s">
        <v>187</v>
      </c>
      <c r="J43" s="146">
        <v>3</v>
      </c>
      <c r="K43" s="146">
        <v>9</v>
      </c>
      <c r="L43" s="146">
        <v>290000</v>
      </c>
      <c r="M43" s="146">
        <v>414000</v>
      </c>
      <c r="N43" s="146">
        <v>1.7363704307629526</v>
      </c>
      <c r="O43" s="146" t="s">
        <v>10</v>
      </c>
      <c r="P43" s="146" t="s">
        <v>266</v>
      </c>
      <c r="Q43" s="146">
        <v>18.5</v>
      </c>
      <c r="R43" s="146">
        <v>0</v>
      </c>
      <c r="S43" s="146">
        <v>125</v>
      </c>
      <c r="T43" s="146">
        <v>0.4</v>
      </c>
      <c r="U43" s="146">
        <v>0.9</v>
      </c>
      <c r="V43">
        <v>0</v>
      </c>
      <c r="W43">
        <v>95.755744081416907</v>
      </c>
      <c r="X43">
        <v>0</v>
      </c>
      <c r="Y43">
        <v>1</v>
      </c>
      <c r="Z43">
        <v>-1.7915400000000001</v>
      </c>
      <c r="AA43">
        <v>0.40086999999999995</v>
      </c>
      <c r="AB43">
        <v>-0.12531000000000003</v>
      </c>
      <c r="AC43">
        <v>0.77612000000000014</v>
      </c>
      <c r="AD43">
        <v>0.79983000000000004</v>
      </c>
      <c r="AE43">
        <v>-1.5299999999999999E-3</v>
      </c>
      <c r="AF43">
        <v>0.10758000000000001</v>
      </c>
      <c r="AG43">
        <v>0.24114783038035603</v>
      </c>
      <c r="AH43">
        <v>0.35013801373668363</v>
      </c>
      <c r="AI43" s="146">
        <v>7.5</v>
      </c>
      <c r="AJ43">
        <v>0</v>
      </c>
      <c r="AK43">
        <v>0</v>
      </c>
      <c r="AL43">
        <v>0</v>
      </c>
      <c r="AM43">
        <v>2.2869999999999946E-2</v>
      </c>
      <c r="AN43">
        <v>0.26224000000000003</v>
      </c>
      <c r="AO43">
        <v>1.6842000000000001</v>
      </c>
      <c r="AP43">
        <v>-4.0599999999999994E-3</v>
      </c>
      <c r="AQ43">
        <v>7.9000000000000008E-3</v>
      </c>
      <c r="AR43">
        <v>-0.16339000000000001</v>
      </c>
      <c r="AS43">
        <v>1.06E-3</v>
      </c>
      <c r="AT43">
        <v>0.93762999999999996</v>
      </c>
      <c r="AU43">
        <v>1.9899999999999987E-3</v>
      </c>
      <c r="AV43">
        <v>-4.3020000000000003E-2</v>
      </c>
      <c r="AW43">
        <v>0.41393000000000002</v>
      </c>
      <c r="AX43">
        <v>0.12184</v>
      </c>
      <c r="AY43">
        <v>0</v>
      </c>
      <c r="AZ43">
        <v>0.48315094346463056</v>
      </c>
      <c r="BA43">
        <v>0.48315094346463056</v>
      </c>
      <c r="BB43">
        <v>1.8769911576466645</v>
      </c>
      <c r="BC43">
        <v>6.5338160343423519</v>
      </c>
      <c r="BD43">
        <v>0.56096000000000001</v>
      </c>
      <c r="BE43">
        <v>0.3</v>
      </c>
    </row>
    <row r="44" spans="1:57" x14ac:dyDescent="0.25">
      <c r="A44" s="146">
        <v>20</v>
      </c>
      <c r="B44" s="146">
        <v>50</v>
      </c>
      <c r="C44" s="146">
        <v>0.60960000000000003</v>
      </c>
      <c r="D44" s="146">
        <v>609.6</v>
      </c>
      <c r="E44" s="146">
        <v>1.1130000000000001E-2</v>
      </c>
      <c r="F44" s="146">
        <v>11.13</v>
      </c>
      <c r="G44" s="146">
        <v>54.770889487870619</v>
      </c>
      <c r="H44" s="146">
        <v>200</v>
      </c>
      <c r="I44" s="146" t="s">
        <v>186</v>
      </c>
      <c r="J44" s="146">
        <v>3</v>
      </c>
      <c r="K44" s="146">
        <v>8</v>
      </c>
      <c r="L44" s="146">
        <v>241000</v>
      </c>
      <c r="M44" s="146">
        <v>344000</v>
      </c>
      <c r="N44" s="146">
        <v>1.1599577949833839</v>
      </c>
      <c r="O44" s="146" t="s">
        <v>10</v>
      </c>
      <c r="P44" s="146" t="s">
        <v>266</v>
      </c>
      <c r="Q44" s="146">
        <v>18.5</v>
      </c>
      <c r="R44" s="146">
        <v>0</v>
      </c>
      <c r="S44" s="146">
        <v>125</v>
      </c>
      <c r="T44" s="146">
        <v>0.4</v>
      </c>
      <c r="U44" s="146">
        <v>0.9</v>
      </c>
      <c r="V44">
        <v>0</v>
      </c>
      <c r="W44">
        <v>95.755744081416907</v>
      </c>
      <c r="X44">
        <v>0</v>
      </c>
      <c r="Y44">
        <v>1</v>
      </c>
      <c r="Z44">
        <v>-1.7915400000000001</v>
      </c>
      <c r="AA44">
        <v>0.40086999999999995</v>
      </c>
      <c r="AB44">
        <v>-0.12531000000000003</v>
      </c>
      <c r="AC44">
        <v>0.77612000000000014</v>
      </c>
      <c r="AD44">
        <v>0.79983000000000004</v>
      </c>
      <c r="AE44">
        <v>-1.5299999999999999E-3</v>
      </c>
      <c r="AF44">
        <v>0.10758000000000001</v>
      </c>
      <c r="AG44">
        <v>0.20509838988142337</v>
      </c>
      <c r="AH44">
        <v>0.36282972444334716</v>
      </c>
      <c r="AI44" s="146">
        <v>3.5</v>
      </c>
      <c r="AJ44">
        <v>0</v>
      </c>
      <c r="AK44">
        <v>0</v>
      </c>
      <c r="AL44">
        <v>0</v>
      </c>
      <c r="AM44">
        <v>2.2869999999999946E-2</v>
      </c>
      <c r="AN44">
        <v>0.26224000000000003</v>
      </c>
      <c r="AO44">
        <v>1.6842000000000001</v>
      </c>
      <c r="AP44">
        <v>-4.0599999999999994E-3</v>
      </c>
      <c r="AQ44">
        <v>7.9000000000000008E-3</v>
      </c>
      <c r="AR44">
        <v>-0.16339000000000001</v>
      </c>
      <c r="AS44">
        <v>1.06E-3</v>
      </c>
      <c r="AT44">
        <v>0.93762999999999996</v>
      </c>
      <c r="AU44">
        <v>1.9899999999999987E-3</v>
      </c>
      <c r="AV44">
        <v>-4.3020000000000003E-2</v>
      </c>
      <c r="AW44">
        <v>0.41393000000000002</v>
      </c>
      <c r="AX44">
        <v>0.12184</v>
      </c>
      <c r="AY44">
        <v>0</v>
      </c>
      <c r="AZ44">
        <v>0.43399906036087438</v>
      </c>
      <c r="BA44">
        <v>0.43399906036087438</v>
      </c>
      <c r="BB44">
        <v>1.4588885656641277</v>
      </c>
      <c r="BC44">
        <v>4.3011763956378672</v>
      </c>
      <c r="BD44">
        <v>0.56096000000000001</v>
      </c>
      <c r="BE44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46A1-A9AC-460F-88F4-B0CE94F742AC}">
  <sheetPr>
    <tabColor theme="9" tint="0.59999389629810485"/>
  </sheetPr>
  <dimension ref="A1:AS111"/>
  <sheetViews>
    <sheetView zoomScaleNormal="100" workbookViewId="0">
      <selection activeCell="X36" sqref="X36"/>
    </sheetView>
  </sheetViews>
  <sheetFormatPr defaultColWidth="8.7109375" defaultRowHeight="15" x14ac:dyDescent="0.25"/>
  <cols>
    <col min="1" max="1" width="15.140625" style="129" customWidth="1"/>
    <col min="2" max="2" width="21.140625" style="129" customWidth="1"/>
    <col min="3" max="4" width="13.7109375" style="129" customWidth="1"/>
    <col min="5" max="5" width="23.42578125" style="129" customWidth="1"/>
    <col min="6" max="6" width="13.7109375" style="129" customWidth="1"/>
    <col min="7" max="7" width="29.42578125" style="129" bestFit="1" customWidth="1"/>
    <col min="8" max="8" width="55.42578125" style="129" bestFit="1" customWidth="1"/>
    <col min="9" max="9" width="8.7109375" style="129" customWidth="1"/>
    <col min="10" max="12" width="8.7109375" style="129"/>
    <col min="13" max="15" width="8.7109375" style="129" customWidth="1"/>
    <col min="16" max="20" width="8.7109375" style="129"/>
    <col min="39" max="39" width="11.28515625" bestFit="1" customWidth="1"/>
    <col min="40" max="40" width="11.42578125" bestFit="1" customWidth="1"/>
    <col min="41" max="41" width="22.85546875" bestFit="1" customWidth="1"/>
    <col min="44" max="44" width="33.5703125" bestFit="1" customWidth="1"/>
  </cols>
  <sheetData>
    <row r="1" spans="1:45" x14ac:dyDescent="0.25">
      <c r="A1" s="47" t="s">
        <v>188</v>
      </c>
      <c r="B1" s="48"/>
      <c r="C1" s="48"/>
      <c r="D1" s="48"/>
      <c r="E1" s="48"/>
      <c r="F1" s="48"/>
      <c r="G1" s="48"/>
      <c r="H1" s="48"/>
    </row>
    <row r="2" spans="1:45" x14ac:dyDescent="0.25">
      <c r="A2" s="15" t="s">
        <v>189</v>
      </c>
      <c r="C2" s="49" t="s">
        <v>190</v>
      </c>
      <c r="D2" s="15"/>
      <c r="E2" s="15"/>
      <c r="F2" s="15"/>
    </row>
    <row r="3" spans="1:45" x14ac:dyDescent="0.25">
      <c r="A3" s="15" t="s">
        <v>191</v>
      </c>
      <c r="C3" s="129">
        <v>1</v>
      </c>
      <c r="E3" s="15" t="s">
        <v>192</v>
      </c>
      <c r="J3" s="48"/>
      <c r="K3" s="15" t="s">
        <v>193</v>
      </c>
    </row>
    <row r="4" spans="1:45" x14ac:dyDescent="0.25">
      <c r="A4" s="15" t="s">
        <v>194</v>
      </c>
      <c r="C4" s="50">
        <v>44675</v>
      </c>
      <c r="D4" s="51"/>
      <c r="E4" s="52" t="s">
        <v>195</v>
      </c>
      <c r="F4" s="51"/>
      <c r="J4" s="53"/>
      <c r="K4" s="15" t="s">
        <v>196</v>
      </c>
    </row>
    <row r="5" spans="1:45" x14ac:dyDescent="0.25">
      <c r="A5" s="15" t="s">
        <v>197</v>
      </c>
      <c r="C5" s="129">
        <v>1</v>
      </c>
      <c r="D5" s="51"/>
      <c r="E5" s="54" t="s">
        <v>198</v>
      </c>
      <c r="F5" s="51"/>
      <c r="I5" s="15"/>
      <c r="J5" s="15"/>
      <c r="AM5" s="150"/>
      <c r="AN5" s="150"/>
      <c r="AO5" s="150"/>
    </row>
    <row r="6" spans="1:45" x14ac:dyDescent="0.25">
      <c r="AM6" s="149" t="s">
        <v>180</v>
      </c>
      <c r="AN6" s="149" t="s">
        <v>181</v>
      </c>
      <c r="AO6" s="149" t="s">
        <v>182</v>
      </c>
      <c r="AP6" s="150" t="s">
        <v>183</v>
      </c>
      <c r="AQ6" s="150"/>
      <c r="AR6" s="148" t="s">
        <v>184</v>
      </c>
    </row>
    <row r="7" spans="1:45" ht="15.75" thickBot="1" x14ac:dyDescent="0.3">
      <c r="A7" s="153" t="s">
        <v>199</v>
      </c>
      <c r="B7" s="153"/>
      <c r="C7" s="153"/>
      <c r="D7" s="153"/>
      <c r="E7" s="153"/>
      <c r="F7" s="153"/>
      <c r="G7" s="153"/>
      <c r="H7" s="153"/>
      <c r="J7" s="154" t="s">
        <v>331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25"/>
      <c r="X7" s="125"/>
      <c r="Y7" s="125"/>
      <c r="Z7" s="125"/>
      <c r="AA7" s="125"/>
      <c r="AB7" s="125"/>
      <c r="AC7" s="125"/>
      <c r="AD7" s="125"/>
      <c r="AE7" s="98"/>
      <c r="AF7" s="152" t="s">
        <v>332</v>
      </c>
      <c r="AG7" s="152"/>
      <c r="AH7" s="152"/>
      <c r="AI7" s="152"/>
      <c r="AJ7" s="152"/>
      <c r="AK7" s="152"/>
      <c r="AM7" s="151"/>
      <c r="AN7" s="151"/>
      <c r="AO7" s="151"/>
      <c r="AP7" s="126" t="s">
        <v>46</v>
      </c>
      <c r="AQ7" s="126" t="s">
        <v>185</v>
      </c>
      <c r="AR7" s="149"/>
    </row>
    <row r="8" spans="1:45" ht="19.5" thickTop="1" thickBot="1" x14ac:dyDescent="0.3">
      <c r="A8" s="17"/>
      <c r="B8" s="17" t="s">
        <v>200</v>
      </c>
      <c r="C8" s="17" t="s">
        <v>201</v>
      </c>
      <c r="D8" s="17" t="s">
        <v>202</v>
      </c>
      <c r="E8" s="17" t="s">
        <v>203</v>
      </c>
      <c r="F8" s="17" t="s">
        <v>204</v>
      </c>
      <c r="G8" s="55" t="s">
        <v>205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  <c r="AF8" s="133" t="s">
        <v>333</v>
      </c>
      <c r="AG8" s="155" t="s">
        <v>334</v>
      </c>
      <c r="AH8" s="156"/>
      <c r="AI8" s="155" t="s">
        <v>335</v>
      </c>
      <c r="AJ8" s="157"/>
      <c r="AK8" s="157"/>
      <c r="AM8" s="44" t="s">
        <v>186</v>
      </c>
      <c r="AN8" s="44">
        <v>241</v>
      </c>
      <c r="AO8" s="45">
        <f t="shared" ref="AO8:AO13" si="0">AN8*AS8</f>
        <v>343.78650000000005</v>
      </c>
      <c r="AP8" s="126">
        <v>3</v>
      </c>
      <c r="AQ8" s="126">
        <v>8</v>
      </c>
      <c r="AR8" s="46">
        <f>(AO8/210000) * (1+(((AP8/(1+AQ8))*((AO8/AN8)^AQ8))))</f>
        <v>1.0993773658472166E-2</v>
      </c>
      <c r="AS8">
        <v>1.4265000000000001</v>
      </c>
    </row>
    <row r="9" spans="1:45" ht="15.75" thickTop="1" x14ac:dyDescent="0.25">
      <c r="A9" s="56" t="s">
        <v>88</v>
      </c>
      <c r="B9" s="48">
        <v>0.60960000000000003</v>
      </c>
      <c r="C9" s="57"/>
      <c r="D9" s="58">
        <v>1</v>
      </c>
      <c r="E9" s="129">
        <v>0.1016</v>
      </c>
      <c r="F9" s="129">
        <v>1.0669999999999999</v>
      </c>
      <c r="G9" s="129" t="s">
        <v>35</v>
      </c>
      <c r="H9" s="15" t="s">
        <v>207</v>
      </c>
      <c r="J9" s="158" t="s">
        <v>293</v>
      </c>
      <c r="K9" s="158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  <c r="AF9" s="134" t="s">
        <v>336</v>
      </c>
      <c r="AG9" s="159" t="s">
        <v>337</v>
      </c>
      <c r="AH9" s="160"/>
      <c r="AI9" s="159" t="s">
        <v>337</v>
      </c>
      <c r="AJ9" s="161"/>
      <c r="AK9" s="161"/>
      <c r="AM9" s="130" t="s">
        <v>187</v>
      </c>
      <c r="AN9" s="130">
        <v>290</v>
      </c>
      <c r="AO9" s="45">
        <f t="shared" si="0"/>
        <v>413.685</v>
      </c>
      <c r="AP9" s="126">
        <v>3</v>
      </c>
      <c r="AQ9" s="126">
        <v>9</v>
      </c>
      <c r="AR9" s="46">
        <f t="shared" ref="AR9:AR13" si="1">(AO9/210000) * (1+(((AP9/(1+AQ9))*((AO9/AN9)^AQ9))))</f>
        <v>1.6424915983774071E-2</v>
      </c>
      <c r="AS9">
        <v>1.4265000000000001</v>
      </c>
    </row>
    <row r="10" spans="1:45" x14ac:dyDescent="0.25">
      <c r="A10" s="56" t="s">
        <v>89</v>
      </c>
      <c r="B10" s="48">
        <v>1.1129999999999999E-2</v>
      </c>
      <c r="C10" s="57"/>
      <c r="D10" s="58">
        <v>5</v>
      </c>
      <c r="E10" s="129">
        <v>5.0000000000000001E-3</v>
      </c>
      <c r="F10" s="129">
        <v>2.1000000000000001E-2</v>
      </c>
      <c r="G10" s="129" t="s">
        <v>35</v>
      </c>
      <c r="H10" s="15" t="s">
        <v>208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134" t="s">
        <v>338</v>
      </c>
      <c r="AG10" s="162" t="s">
        <v>337</v>
      </c>
      <c r="AH10" s="163"/>
      <c r="AI10" s="162" t="s">
        <v>339</v>
      </c>
      <c r="AJ10" s="164"/>
      <c r="AK10" s="164"/>
      <c r="AM10" s="44" t="s">
        <v>117</v>
      </c>
      <c r="AN10" s="44">
        <v>359</v>
      </c>
      <c r="AO10" s="45">
        <f t="shared" si="0"/>
        <v>455.05403999999999</v>
      </c>
      <c r="AP10" s="126">
        <v>8</v>
      </c>
      <c r="AQ10" s="126">
        <v>10</v>
      </c>
      <c r="AR10" s="46">
        <f t="shared" si="1"/>
        <v>1.9041242414694345E-2</v>
      </c>
      <c r="AS10">
        <v>1.26756</v>
      </c>
    </row>
    <row r="11" spans="1:45" x14ac:dyDescent="0.25">
      <c r="A11" s="129" t="s">
        <v>90</v>
      </c>
      <c r="B11" s="59">
        <f>B9/B10</f>
        <v>54.770889487870626</v>
      </c>
      <c r="H11" s="15" t="s">
        <v>209</v>
      </c>
      <c r="J11" s="158" t="s">
        <v>340</v>
      </c>
      <c r="K11" s="158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134" t="s">
        <v>341</v>
      </c>
      <c r="AG11" s="162" t="s">
        <v>342</v>
      </c>
      <c r="AH11" s="163"/>
      <c r="AI11" s="162" t="s">
        <v>343</v>
      </c>
      <c r="AJ11" s="164"/>
      <c r="AK11" s="164"/>
      <c r="AM11" s="130" t="s">
        <v>118</v>
      </c>
      <c r="AN11" s="130">
        <v>414</v>
      </c>
      <c r="AO11" s="45">
        <f t="shared" si="0"/>
        <v>517.10711399999991</v>
      </c>
      <c r="AP11" s="126">
        <v>8</v>
      </c>
      <c r="AQ11" s="126">
        <v>12</v>
      </c>
      <c r="AR11" s="46">
        <f t="shared" si="1"/>
        <v>2.4313344008036558E-2</v>
      </c>
      <c r="AS11">
        <v>1.2490509999999999</v>
      </c>
    </row>
    <row r="12" spans="1:45" ht="18.75" x14ac:dyDescent="0.35">
      <c r="A12" s="60" t="s">
        <v>210</v>
      </c>
      <c r="B12" s="61">
        <v>150</v>
      </c>
      <c r="C12" s="58"/>
      <c r="D12" s="58">
        <v>40</v>
      </c>
      <c r="E12" s="58"/>
      <c r="F12" s="58"/>
      <c r="G12" s="58" t="s">
        <v>211</v>
      </c>
      <c r="H12" s="62" t="s">
        <v>212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  <c r="AF12" s="135"/>
      <c r="AG12" s="135"/>
      <c r="AH12" s="135"/>
      <c r="AI12" s="135"/>
      <c r="AJ12" s="135"/>
      <c r="AK12" s="135"/>
      <c r="AM12" s="130" t="s">
        <v>119</v>
      </c>
      <c r="AN12" s="130">
        <v>483</v>
      </c>
      <c r="AO12" s="45">
        <f t="shared" si="0"/>
        <v>565.37033699999995</v>
      </c>
      <c r="AP12" s="126">
        <v>14</v>
      </c>
      <c r="AQ12" s="126">
        <v>15</v>
      </c>
      <c r="AR12" s="46">
        <f t="shared" si="1"/>
        <v>2.7690517990613433E-2</v>
      </c>
      <c r="AS12">
        <v>1.170539</v>
      </c>
    </row>
    <row r="13" spans="1:45" ht="15.75" thickBot="1" x14ac:dyDescent="0.3">
      <c r="A13" s="18" t="s">
        <v>213</v>
      </c>
      <c r="B13" s="48" t="s">
        <v>186</v>
      </c>
      <c r="C13" s="58"/>
      <c r="D13" s="58"/>
      <c r="E13" s="58"/>
      <c r="F13" s="58"/>
      <c r="G13" s="129" t="s">
        <v>35</v>
      </c>
      <c r="H13" s="15" t="s">
        <v>344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  <c r="AF13" s="152" t="s">
        <v>345</v>
      </c>
      <c r="AG13" s="152"/>
      <c r="AH13" s="152"/>
      <c r="AI13" s="152"/>
      <c r="AJ13" s="152"/>
      <c r="AK13" s="152"/>
      <c r="AM13" s="44" t="s">
        <v>120</v>
      </c>
      <c r="AN13" s="44">
        <v>552</v>
      </c>
      <c r="AO13" s="45">
        <f t="shared" si="0"/>
        <v>624.99979200000007</v>
      </c>
      <c r="AP13" s="126">
        <v>15</v>
      </c>
      <c r="AQ13" s="126">
        <v>20</v>
      </c>
      <c r="AR13" s="46">
        <f t="shared" si="1"/>
        <v>2.8464933991254465E-2</v>
      </c>
      <c r="AS13">
        <v>1.1322460000000001</v>
      </c>
    </row>
    <row r="14" spans="1:45" ht="16.5" thickTop="1" thickBot="1" x14ac:dyDescent="0.3">
      <c r="A14" s="18" t="s">
        <v>214</v>
      </c>
      <c r="B14" s="59">
        <f>100*IF(B13=AM8,AR8,IF(B13=AM9,AR9,IF(B13=AM10,AR10,IF(B13=AM11,AR11,IF(B13=AM12,AR12,IF(B13=AM13,AR13,2))))))</f>
        <v>1.0993773658472166</v>
      </c>
      <c r="C14" s="58"/>
      <c r="D14" s="58"/>
      <c r="E14" s="58"/>
      <c r="F14" s="58"/>
      <c r="H14" s="15" t="s">
        <v>346</v>
      </c>
      <c r="J14" s="165" t="s">
        <v>347</v>
      </c>
      <c r="K14" s="165"/>
      <c r="L14" s="165"/>
      <c r="M14" s="165"/>
      <c r="N14" s="165"/>
      <c r="O14" s="165"/>
      <c r="P14" s="165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  <c r="AF14" s="133" t="s">
        <v>348</v>
      </c>
      <c r="AG14" s="155" t="s">
        <v>334</v>
      </c>
      <c r="AH14" s="157"/>
      <c r="AI14" s="157"/>
      <c r="AJ14" s="157"/>
      <c r="AK14" s="157"/>
    </row>
    <row r="15" spans="1:45" ht="15.75" thickTop="1" x14ac:dyDescent="0.25">
      <c r="J15" s="34"/>
      <c r="K15" s="34"/>
      <c r="L15" s="34" t="s">
        <v>14</v>
      </c>
      <c r="M15" s="34">
        <v>-0.15507000000000001</v>
      </c>
      <c r="N15" s="34"/>
      <c r="O15" s="34" t="s">
        <v>11</v>
      </c>
      <c r="P15" s="34">
        <f>$M$17*$B$26+M18*LN(B14)</f>
        <v>7.785964882983859E-2</v>
      </c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  <c r="AF15" s="136" t="s">
        <v>349</v>
      </c>
      <c r="AG15" s="159" t="s">
        <v>350</v>
      </c>
      <c r="AH15" s="161"/>
      <c r="AI15" s="161"/>
      <c r="AJ15" s="161"/>
      <c r="AK15" s="161"/>
    </row>
    <row r="16" spans="1:45" x14ac:dyDescent="0.25">
      <c r="I16" s="17"/>
      <c r="J16" s="34"/>
      <c r="K16" s="34"/>
      <c r="L16" s="34" t="s">
        <v>12</v>
      </c>
      <c r="M16" s="34">
        <v>5.203E-2</v>
      </c>
      <c r="N16" s="34"/>
      <c r="O16" s="34"/>
      <c r="P16" s="34"/>
      <c r="Q16" s="34"/>
      <c r="R16" s="34"/>
      <c r="S16" s="34"/>
      <c r="T16" s="34"/>
      <c r="U16" s="34"/>
      <c r="V16" s="34"/>
      <c r="W16" s="99"/>
      <c r="X16" s="99"/>
      <c r="Y16" s="99"/>
      <c r="Z16" s="99"/>
      <c r="AA16" s="99"/>
      <c r="AB16" s="99"/>
      <c r="AC16" s="99"/>
      <c r="AD16" s="99"/>
      <c r="AE16" s="98"/>
      <c r="AF16" s="134" t="s">
        <v>351</v>
      </c>
      <c r="AG16" s="162" t="s">
        <v>352</v>
      </c>
      <c r="AH16" s="164"/>
      <c r="AI16" s="164"/>
      <c r="AJ16" s="164"/>
      <c r="AK16" s="164"/>
      <c r="AO16">
        <f>414/241</f>
        <v>1.7178423236514522</v>
      </c>
    </row>
    <row r="17" spans="1:37" ht="15.75" thickBot="1" x14ac:dyDescent="0.3">
      <c r="A17" s="153" t="s">
        <v>220</v>
      </c>
      <c r="B17" s="153"/>
      <c r="C17" s="153"/>
      <c r="D17" s="153"/>
      <c r="E17" s="153"/>
      <c r="F17" s="153"/>
      <c r="G17" s="153"/>
      <c r="H17" s="153"/>
      <c r="J17" s="34"/>
      <c r="K17" s="34"/>
      <c r="L17" s="34" t="s">
        <v>13</v>
      </c>
      <c r="M17" s="34">
        <v>8.0999999999999996E-4</v>
      </c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  <c r="AF17" s="137" t="s">
        <v>353</v>
      </c>
      <c r="AG17" s="166" t="s">
        <v>354</v>
      </c>
      <c r="AH17" s="167"/>
      <c r="AI17" s="167"/>
      <c r="AJ17" s="167"/>
      <c r="AK17" s="167"/>
    </row>
    <row r="18" spans="1:37" ht="19.5" thickTop="1" thickBot="1" x14ac:dyDescent="0.3">
      <c r="A18" s="17"/>
      <c r="B18" s="17" t="s">
        <v>200</v>
      </c>
      <c r="C18" s="17" t="s">
        <v>201</v>
      </c>
      <c r="D18" s="17" t="s">
        <v>202</v>
      </c>
      <c r="E18" s="17" t="s">
        <v>203</v>
      </c>
      <c r="F18" s="17" t="s">
        <v>204</v>
      </c>
      <c r="G18" s="55" t="s">
        <v>205</v>
      </c>
      <c r="H18" s="55"/>
      <c r="J18" s="34"/>
      <c r="K18" s="34"/>
      <c r="L18" s="34" t="s">
        <v>355</v>
      </c>
      <c r="M18" s="34">
        <v>3.14E-3</v>
      </c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  <c r="AF18" s="133" t="s">
        <v>348</v>
      </c>
      <c r="AG18" s="155" t="s">
        <v>335</v>
      </c>
      <c r="AH18" s="157"/>
      <c r="AI18" s="157"/>
      <c r="AJ18" s="157"/>
      <c r="AK18" s="157"/>
    </row>
    <row r="19" spans="1:37" ht="15.75" thickTop="1" x14ac:dyDescent="0.25">
      <c r="A19" s="129" t="s">
        <v>95</v>
      </c>
      <c r="B19" s="48" t="s">
        <v>356</v>
      </c>
      <c r="D19" s="58"/>
      <c r="H19" s="49" t="s">
        <v>224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  <c r="AF19" s="134" t="s">
        <v>357</v>
      </c>
      <c r="AG19" s="159" t="s">
        <v>358</v>
      </c>
      <c r="AH19" s="161"/>
      <c r="AI19" s="161"/>
      <c r="AJ19" s="161"/>
      <c r="AK19" s="161"/>
    </row>
    <row r="20" spans="1:37" x14ac:dyDescent="0.25">
      <c r="A20" s="129" t="s">
        <v>96</v>
      </c>
      <c r="B20" s="48" t="s">
        <v>359</v>
      </c>
      <c r="D20" s="58"/>
      <c r="H20" s="49" t="s">
        <v>225</v>
      </c>
      <c r="J20" s="158" t="s">
        <v>360</v>
      </c>
      <c r="K20" s="158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  <c r="AF20" s="134" t="s">
        <v>361</v>
      </c>
      <c r="AG20" s="162" t="s">
        <v>362</v>
      </c>
      <c r="AH20" s="164"/>
      <c r="AI20" s="164"/>
      <c r="AJ20" s="164"/>
      <c r="AK20" s="164"/>
    </row>
    <row r="21" spans="1:37" ht="17.25" x14ac:dyDescent="0.25">
      <c r="A21" s="128" t="s">
        <v>129</v>
      </c>
      <c r="B21" s="129">
        <f>IF(B20="Medium Dense (Sand)",18,IF(B20="Dense (Sand)",18.5,IF(B20="Very Dense (Sand)",19,IF(B20="Soft (Clay)",17.5,IF(B20="Medium (Clay)",18,IF(B20="Stiff (Clay)",18.5,0))))))</f>
        <v>18.5</v>
      </c>
      <c r="D21" s="58"/>
      <c r="H21" s="15" t="s">
        <v>226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  <c r="AF21" s="134" t="s">
        <v>363</v>
      </c>
      <c r="AG21" s="162" t="s">
        <v>364</v>
      </c>
      <c r="AH21" s="164"/>
      <c r="AI21" s="164"/>
      <c r="AJ21" s="164"/>
      <c r="AK21" s="164"/>
    </row>
    <row r="22" spans="1:37" ht="17.25" x14ac:dyDescent="0.25">
      <c r="A22" s="128" t="s">
        <v>130</v>
      </c>
      <c r="B22" s="129">
        <f>IF(B20="Medium Dense (Sand)",37,IF(B20="Dense (Sand)",40,IF(B20="Very Dense (Sand)",43,0)))</f>
        <v>0</v>
      </c>
      <c r="D22" s="58"/>
      <c r="H22" s="49" t="s">
        <v>227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7" ht="18" x14ac:dyDescent="0.25">
      <c r="A23" s="129" t="s">
        <v>131</v>
      </c>
      <c r="B23" s="129">
        <f>IF(B20="Soft (Clay)",37.5,IF(B20="Medium (Clay)",75,IF(B20="Stiff (Clay)",125,0)))</f>
        <v>125</v>
      </c>
      <c r="D23" s="58"/>
      <c r="H23" s="49" t="s">
        <v>228</v>
      </c>
      <c r="J23" s="123" t="s">
        <v>365</v>
      </c>
      <c r="K23" s="123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7" x14ac:dyDescent="0.25">
      <c r="A24" s="128" t="s">
        <v>132</v>
      </c>
      <c r="B24" s="129">
        <f>IF(B20="Soft (Clay)",1.1,IF(B20="Medium (Clay)",0.72,IF(B20="Stiff (Clay)",0.4,0)))</f>
        <v>0.4</v>
      </c>
      <c r="D24" s="58"/>
      <c r="H24" s="49" t="s">
        <v>229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7" x14ac:dyDescent="0.25">
      <c r="A25" s="129" t="s">
        <v>97</v>
      </c>
      <c r="B25" s="48">
        <v>2</v>
      </c>
      <c r="D25" s="58"/>
      <c r="H25" s="49" t="s">
        <v>230</v>
      </c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7" ht="18" x14ac:dyDescent="0.25">
      <c r="A26" s="129" t="s">
        <v>133</v>
      </c>
      <c r="B26" s="68">
        <f>IF(B19="Cohesionless (Sand)", PI() * B9 * B25*B21* 0.5 * (1 + (1 - SIN(RADIANS(B22)))) * TAN(RADIANS(0.9*B22)), PI() * B9 * B24 * B23)</f>
        <v>95.755744081416907</v>
      </c>
      <c r="C26" s="65" t="s">
        <v>231</v>
      </c>
      <c r="D26" s="58"/>
      <c r="E26" s="65"/>
      <c r="F26" s="65"/>
      <c r="H26" s="15" t="s">
        <v>232</v>
      </c>
      <c r="J26" s="99"/>
      <c r="K26" s="99"/>
      <c r="L26" s="103"/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7" x14ac:dyDescent="0.25"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7" x14ac:dyDescent="0.25">
      <c r="A28" s="17"/>
      <c r="C28" s="15"/>
      <c r="D28" s="15"/>
      <c r="E28" s="15"/>
      <c r="F28" s="15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7" ht="15.75" thickBot="1" x14ac:dyDescent="0.3">
      <c r="A29" s="124" t="s">
        <v>299</v>
      </c>
      <c r="B29" s="69"/>
      <c r="C29" s="69"/>
      <c r="D29" s="69"/>
      <c r="E29" s="69"/>
      <c r="F29" s="69"/>
      <c r="G29" s="69"/>
      <c r="H29" s="6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7" ht="18.75" thickTop="1" x14ac:dyDescent="0.25">
      <c r="A30" s="18" t="s">
        <v>366</v>
      </c>
      <c r="B30" s="74">
        <f>(M15+P15*LN(B11)+M16*LN(B12))</f>
        <v>0.41731789577304923</v>
      </c>
      <c r="C30" s="129" t="s">
        <v>367</v>
      </c>
      <c r="D30" s="129">
        <f>EXP(B30)</f>
        <v>1.5178849654607074</v>
      </c>
      <c r="G30" s="55"/>
      <c r="H30" s="15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8"/>
      <c r="V30" s="165" t="s">
        <v>368</v>
      </c>
      <c r="W30" s="165"/>
      <c r="X30" s="165"/>
      <c r="Y30" s="165"/>
      <c r="Z30" s="165"/>
      <c r="AA30" s="165"/>
      <c r="AB30" s="165"/>
      <c r="AC30" s="98"/>
      <c r="AD30" s="98"/>
      <c r="AE30" s="98"/>
    </row>
    <row r="31" spans="1:37" x14ac:dyDescent="0.25">
      <c r="A31" s="18" t="s">
        <v>369</v>
      </c>
      <c r="B31" s="72">
        <f>IF(B12&lt;15,B30+0.75,IF(AND(B12&gt;=15,B12&lt;50),B30+1,B30+1.5))</f>
        <v>1.9173178957730492</v>
      </c>
      <c r="C31" s="129" t="s">
        <v>370</v>
      </c>
      <c r="D31" s="129">
        <f>EXP(B31)</f>
        <v>6.8026884597357231</v>
      </c>
      <c r="H31" s="15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 t="s">
        <v>18</v>
      </c>
      <c r="Y31" s="98">
        <v>-2.307229</v>
      </c>
      <c r="Z31" s="98"/>
      <c r="AA31" s="98"/>
      <c r="AB31" s="98"/>
      <c r="AC31" s="98"/>
      <c r="AD31" s="98"/>
      <c r="AE31" s="98"/>
    </row>
    <row r="32" spans="1:37" x14ac:dyDescent="0.25">
      <c r="A32" s="18" t="s">
        <v>371</v>
      </c>
      <c r="B32" s="105">
        <f>IF(LN(B49)&lt;B30,1,0)</f>
        <v>0</v>
      </c>
      <c r="H32" s="15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 t="s">
        <v>104</v>
      </c>
      <c r="Y32" s="98">
        <v>0.5852366</v>
      </c>
      <c r="Z32" s="98"/>
      <c r="AA32" s="98"/>
      <c r="AB32" s="98"/>
      <c r="AC32" s="98"/>
      <c r="AD32" s="98"/>
      <c r="AE32" s="98"/>
    </row>
    <row r="33" spans="1:31" x14ac:dyDescent="0.25">
      <c r="A33" s="18" t="s">
        <v>372</v>
      </c>
      <c r="B33" s="105">
        <f>IF(LN(B49)&gt;B31,1,0)</f>
        <v>0</v>
      </c>
      <c r="H33" s="15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 t="s">
        <v>105</v>
      </c>
      <c r="Y33" s="98">
        <v>0.201322</v>
      </c>
      <c r="Z33" s="98"/>
      <c r="AA33" s="98"/>
      <c r="AB33" s="98"/>
      <c r="AC33" s="98"/>
      <c r="AD33" s="98"/>
      <c r="AE33" s="98"/>
    </row>
    <row r="34" spans="1:31" ht="15.75" thickBot="1" x14ac:dyDescent="0.3">
      <c r="A34" s="129" t="s">
        <v>373</v>
      </c>
      <c r="B34" s="129">
        <f>IF(B19="Cohesionless (Sand)",1,0)</f>
        <v>0</v>
      </c>
      <c r="H34" s="1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 t="s">
        <v>374</v>
      </c>
      <c r="Y34" s="98">
        <v>1.4274935</v>
      </c>
      <c r="Z34" s="98"/>
      <c r="AA34" s="98"/>
      <c r="AB34" s="98"/>
      <c r="AC34" s="98"/>
      <c r="AD34" s="98"/>
      <c r="AE34" s="98"/>
    </row>
    <row r="35" spans="1:31" ht="15.75" thickTop="1" x14ac:dyDescent="0.25">
      <c r="A35" s="71" t="s">
        <v>305</v>
      </c>
      <c r="B35" s="71"/>
      <c r="C35" s="71"/>
      <c r="D35" s="71"/>
      <c r="H35" s="15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 t="s">
        <v>375</v>
      </c>
      <c r="Y35" s="98">
        <v>-7.1050000000000002E-3</v>
      </c>
      <c r="Z35" s="98"/>
      <c r="AA35" s="98"/>
      <c r="AB35" s="98"/>
      <c r="AC35" s="98"/>
      <c r="AD35" s="98"/>
      <c r="AE35" s="98"/>
    </row>
    <row r="36" spans="1:31" x14ac:dyDescent="0.25">
      <c r="A36" s="129" t="s">
        <v>18</v>
      </c>
      <c r="B36" s="74">
        <v>-2.307229</v>
      </c>
      <c r="C36" s="129" t="s">
        <v>19</v>
      </c>
      <c r="D36" s="129">
        <f>(B32*(LN(B49/D30))*(B39+B40*B26+B41*B11))+(B33*(LN(B49/D31))*(B42+B43*B26+B44*B12+B45*B11+B46*LN(B14)))</f>
        <v>0</v>
      </c>
      <c r="H36" s="15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 t="s">
        <v>376</v>
      </c>
      <c r="Y36" s="98">
        <v>5.1415999999999996E-3</v>
      </c>
      <c r="Z36" s="98"/>
      <c r="AA36" s="98"/>
      <c r="AB36" s="98"/>
      <c r="AC36" s="98"/>
      <c r="AD36" s="98"/>
      <c r="AE36" s="98"/>
    </row>
    <row r="37" spans="1:31" x14ac:dyDescent="0.25">
      <c r="A37" s="126" t="s">
        <v>104</v>
      </c>
      <c r="B37" s="138">
        <v>0.5852366</v>
      </c>
      <c r="H37" s="15"/>
      <c r="J37" s="123" t="s">
        <v>295</v>
      </c>
      <c r="K37" s="123"/>
      <c r="L37" s="34" t="s">
        <v>296</v>
      </c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 t="s">
        <v>377</v>
      </c>
      <c r="Y37" s="98">
        <v>-1.4290590000000001</v>
      </c>
      <c r="Z37" s="98"/>
      <c r="AA37" s="98"/>
      <c r="AB37" s="98"/>
      <c r="AC37" s="98"/>
      <c r="AD37" s="98"/>
      <c r="AE37" s="98"/>
    </row>
    <row r="38" spans="1:31" x14ac:dyDescent="0.25">
      <c r="A38" s="129" t="s">
        <v>105</v>
      </c>
      <c r="B38" s="74">
        <v>0.201322</v>
      </c>
      <c r="H38" s="15"/>
      <c r="J38" s="99"/>
      <c r="K38" s="99"/>
      <c r="L38" s="34" t="s">
        <v>297</v>
      </c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 t="s">
        <v>378</v>
      </c>
      <c r="Y38" s="98">
        <v>4.9200300000000002E-2</v>
      </c>
      <c r="Z38" s="98"/>
      <c r="AA38" s="98"/>
      <c r="AB38" s="98"/>
      <c r="AC38" s="98"/>
      <c r="AD38" s="98"/>
      <c r="AE38" s="98"/>
    </row>
    <row r="39" spans="1:31" ht="18" x14ac:dyDescent="0.25">
      <c r="A39" s="129" t="s">
        <v>374</v>
      </c>
      <c r="B39" s="74">
        <v>1.4274935</v>
      </c>
      <c r="E39"/>
      <c r="F39"/>
      <c r="H39" s="15"/>
      <c r="J39" s="98"/>
      <c r="K39" s="98"/>
      <c r="L39" s="34" t="s">
        <v>298</v>
      </c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 t="s">
        <v>379</v>
      </c>
      <c r="Y39" s="98">
        <v>0.14513599999999999</v>
      </c>
      <c r="Z39" s="98"/>
      <c r="AA39" s="98"/>
      <c r="AB39" s="98"/>
      <c r="AC39" s="98"/>
      <c r="AD39" s="98"/>
      <c r="AE39" s="98"/>
    </row>
    <row r="40" spans="1:31" ht="18" x14ac:dyDescent="0.25">
      <c r="A40" s="129" t="s">
        <v>375</v>
      </c>
      <c r="B40" s="74">
        <v>-7.1050000000000002E-3</v>
      </c>
      <c r="F40" s="73"/>
      <c r="H40" s="15"/>
      <c r="J40" s="106"/>
      <c r="K40" s="106"/>
      <c r="L40" s="104" t="s">
        <v>300</v>
      </c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 t="s">
        <v>380</v>
      </c>
      <c r="Y40" s="98">
        <v>2.0170299999999999E-2</v>
      </c>
      <c r="Z40" s="98"/>
      <c r="AA40" s="98"/>
      <c r="AB40" s="98"/>
      <c r="AC40" s="98"/>
      <c r="AD40" s="98"/>
      <c r="AE40" s="98"/>
    </row>
    <row r="41" spans="1:31" x14ac:dyDescent="0.25">
      <c r="A41" s="129" t="s">
        <v>376</v>
      </c>
      <c r="B41" s="74">
        <v>5.1415999999999996E-3</v>
      </c>
      <c r="F41" s="73"/>
      <c r="H41" s="15"/>
      <c r="J41" s="125"/>
      <c r="K41" s="99"/>
      <c r="L41" s="104" t="s">
        <v>303</v>
      </c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 t="s">
        <v>381</v>
      </c>
      <c r="Y41" s="98">
        <v>-1.032025</v>
      </c>
      <c r="Z41" s="98"/>
      <c r="AA41" s="98"/>
      <c r="AB41" s="98"/>
      <c r="AC41" s="98"/>
      <c r="AD41" s="98"/>
      <c r="AE41" s="98"/>
    </row>
    <row r="42" spans="1:31" x14ac:dyDescent="0.25">
      <c r="A42" s="129" t="s">
        <v>377</v>
      </c>
      <c r="B42" s="74">
        <v>-1.4290590000000001</v>
      </c>
      <c r="F42" s="73"/>
      <c r="H42" s="15"/>
      <c r="J42" s="125"/>
      <c r="K42" s="99"/>
      <c r="L42" s="34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x14ac:dyDescent="0.25">
      <c r="A43" s="129" t="s">
        <v>378</v>
      </c>
      <c r="B43" s="74">
        <v>4.9200300000000002E-2</v>
      </c>
      <c r="F43" s="73"/>
      <c r="H43" s="15"/>
      <c r="J43" s="125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x14ac:dyDescent="0.25">
      <c r="A44" s="129" t="s">
        <v>379</v>
      </c>
      <c r="B44" s="74">
        <v>0.14513599999999999</v>
      </c>
      <c r="F44" s="73"/>
      <c r="H44" s="15"/>
      <c r="J44" s="125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x14ac:dyDescent="0.25">
      <c r="A45" s="129" t="s">
        <v>380</v>
      </c>
      <c r="B45" s="74">
        <v>2.0170299999999999E-2</v>
      </c>
      <c r="F45" s="73"/>
      <c r="H45" s="15"/>
      <c r="J45" s="125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x14ac:dyDescent="0.25">
      <c r="A46" s="129" t="s">
        <v>381</v>
      </c>
      <c r="B46" s="74">
        <v>-1.032025</v>
      </c>
      <c r="F46" s="73"/>
      <c r="H46" s="15"/>
      <c r="J46" s="125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x14ac:dyDescent="0.25">
      <c r="F47" s="73"/>
      <c r="H47" s="15"/>
      <c r="J47" s="125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5.75" thickBot="1" x14ac:dyDescent="0.3">
      <c r="A48" s="124" t="s">
        <v>237</v>
      </c>
      <c r="B48" s="69"/>
      <c r="C48" s="69"/>
      <c r="D48" s="69"/>
      <c r="E48" s="69"/>
      <c r="F48" s="69"/>
      <c r="G48" s="69"/>
      <c r="H48" s="69"/>
      <c r="J48" s="125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5.75" thickTop="1" x14ac:dyDescent="0.25">
      <c r="A49" s="18" t="s">
        <v>238</v>
      </c>
      <c r="B49" s="107">
        <v>3.5</v>
      </c>
      <c r="C49" s="15" t="s">
        <v>306</v>
      </c>
      <c r="D49" s="15"/>
      <c r="E49" s="15"/>
      <c r="F49" s="15"/>
      <c r="AE49" s="98"/>
    </row>
    <row r="50" spans="1:31" x14ac:dyDescent="0.25">
      <c r="F50" s="73"/>
      <c r="H50" s="15"/>
      <c r="AE50" s="98"/>
    </row>
    <row r="51" spans="1:31" ht="15.75" thickBot="1" x14ac:dyDescent="0.3">
      <c r="A51" s="124" t="s">
        <v>241</v>
      </c>
      <c r="B51" s="69"/>
      <c r="C51" s="69"/>
      <c r="D51" s="69"/>
      <c r="E51" s="69"/>
      <c r="F51" s="69"/>
      <c r="G51" s="69"/>
      <c r="H51" s="69"/>
      <c r="AE51" s="98"/>
    </row>
    <row r="52" spans="1:31" ht="15.75" thickTop="1" x14ac:dyDescent="0.25">
      <c r="A52" s="17" t="s">
        <v>382</v>
      </c>
      <c r="B52" s="108">
        <f>B36+D36+B37*LN(B11)+B34*B38*LN(B26)</f>
        <v>3.5566068246042359E-2</v>
      </c>
      <c r="C52" s="129" t="s">
        <v>308</v>
      </c>
      <c r="D52" s="15"/>
      <c r="E52" s="15"/>
      <c r="F52" s="15"/>
      <c r="AE52" s="98"/>
    </row>
    <row r="53" spans="1:31" x14ac:dyDescent="0.25">
      <c r="A53" s="17" t="s">
        <v>383</v>
      </c>
      <c r="B53" s="109">
        <f>EXP(B52)</f>
        <v>1.0362061061865622</v>
      </c>
      <c r="C53" s="15"/>
      <c r="D53" s="15"/>
      <c r="E53" s="15"/>
      <c r="F53" s="15"/>
      <c r="AE53" s="98"/>
    </row>
    <row r="54" spans="1:31" x14ac:dyDescent="0.25">
      <c r="A54" s="17" t="s">
        <v>201</v>
      </c>
      <c r="B54" s="108">
        <v>0.72299999999999998</v>
      </c>
      <c r="C54" s="15"/>
      <c r="D54" s="15"/>
      <c r="E54" s="15"/>
      <c r="F54" s="15"/>
      <c r="AE54" s="98"/>
    </row>
    <row r="55" spans="1:31" x14ac:dyDescent="0.25">
      <c r="A55" s="17" t="s">
        <v>244</v>
      </c>
      <c r="B55" s="79">
        <v>0.3</v>
      </c>
      <c r="C55" s="15" t="s">
        <v>245</v>
      </c>
      <c r="J55" s="125"/>
      <c r="K55" s="99"/>
      <c r="L55" s="34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J56" s="99"/>
      <c r="K56" s="127"/>
      <c r="L56" s="127"/>
      <c r="M56" s="99"/>
      <c r="N56" s="139"/>
      <c r="O56" s="99"/>
      <c r="P56" s="99"/>
      <c r="Q56" s="99"/>
      <c r="R56" s="99"/>
      <c r="S56" s="99"/>
      <c r="T56" s="99"/>
      <c r="U56" s="99"/>
      <c r="V56" s="99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129" t="s">
        <v>246</v>
      </c>
      <c r="J57" s="99"/>
      <c r="K57" s="169"/>
      <c r="L57" s="113"/>
      <c r="M57" s="99"/>
      <c r="N57" s="99"/>
      <c r="O57" s="99"/>
      <c r="P57" s="99"/>
      <c r="Q57" s="99"/>
      <c r="R57" s="99"/>
      <c r="S57" s="99"/>
      <c r="T57" s="99"/>
      <c r="U57" s="99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15" t="s">
        <v>247</v>
      </c>
      <c r="J58" s="99"/>
      <c r="K58" s="169"/>
      <c r="L58" s="113"/>
      <c r="M58" s="99"/>
      <c r="N58" s="99"/>
      <c r="O58" s="99"/>
      <c r="P58" s="99"/>
      <c r="Q58" s="99"/>
      <c r="R58" s="99"/>
      <c r="S58" s="99"/>
      <c r="T58" s="99"/>
      <c r="U58" s="99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15" t="s">
        <v>248</v>
      </c>
      <c r="J59" s="99"/>
      <c r="K59" s="169"/>
      <c r="L59" s="113"/>
      <c r="M59" s="99"/>
      <c r="N59" s="99"/>
      <c r="O59" s="99"/>
      <c r="P59" s="99"/>
      <c r="Q59" s="99"/>
      <c r="R59" s="99"/>
      <c r="S59" s="99"/>
      <c r="T59" s="99"/>
      <c r="U59" s="99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J60" s="99"/>
      <c r="K60" s="169"/>
      <c r="L60" s="113"/>
      <c r="M60" s="99"/>
      <c r="N60" s="99"/>
      <c r="O60" s="99"/>
      <c r="P60" s="99"/>
      <c r="Q60" s="99"/>
      <c r="R60" s="99"/>
      <c r="S60" s="99"/>
      <c r="T60" s="99"/>
      <c r="U60" s="99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J61" s="99"/>
      <c r="K61" s="169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47" t="s">
        <v>249</v>
      </c>
      <c r="B62" s="48"/>
      <c r="C62" s="48"/>
      <c r="D62" s="48"/>
      <c r="E62" s="48"/>
      <c r="F62" s="48"/>
      <c r="G62" s="48"/>
      <c r="H62" s="48"/>
      <c r="J62" s="99"/>
      <c r="K62" s="169"/>
      <c r="L62" s="113"/>
      <c r="M62" s="99"/>
      <c r="N62" s="103"/>
      <c r="O62" s="99"/>
      <c r="P62" s="99"/>
      <c r="Q62" s="99"/>
      <c r="R62" s="99"/>
      <c r="S62" s="99"/>
      <c r="T62" s="99"/>
      <c r="U62" s="99"/>
      <c r="V62" s="99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15" t="s">
        <v>250</v>
      </c>
      <c r="J63" s="99"/>
      <c r="K63" s="169"/>
      <c r="L63" s="113"/>
      <c r="M63" s="99"/>
      <c r="N63" s="103"/>
      <c r="O63" s="99"/>
      <c r="P63" s="99"/>
      <c r="Q63" s="99"/>
      <c r="R63" s="99"/>
      <c r="S63" s="99"/>
      <c r="T63" s="99"/>
      <c r="U63" s="99"/>
      <c r="V63" s="99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3" t="s">
        <v>238</v>
      </c>
      <c r="B64" s="83" t="s">
        <v>251</v>
      </c>
      <c r="C64" s="33" t="s">
        <v>252</v>
      </c>
      <c r="D64"/>
      <c r="E64" s="150" t="s">
        <v>253</v>
      </c>
      <c r="F64" s="150"/>
      <c r="G64" s="15" t="s">
        <v>254</v>
      </c>
      <c r="J64" s="99"/>
      <c r="K64" s="169"/>
      <c r="L64" s="113"/>
      <c r="M64" s="99"/>
      <c r="N64" s="103"/>
      <c r="O64" s="99"/>
      <c r="P64" s="99"/>
      <c r="Q64" s="99"/>
      <c r="R64" s="99"/>
      <c r="S64" s="99"/>
      <c r="T64" s="99"/>
      <c r="U64" s="99"/>
      <c r="V64" s="99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5" ht="15.75" x14ac:dyDescent="0.25">
      <c r="A65" s="84">
        <v>0.01</v>
      </c>
      <c r="B65" s="84">
        <f t="shared" ref="B65:B108" si="2">SQRT(A65*A66)</f>
        <v>1.222844544993852E-2</v>
      </c>
      <c r="C65" s="84">
        <f t="shared" ref="C65:C109" si="3">IF($B65&lt;F$66,0,NORMDIST(LN($B65),LN(F$65),F$67,1))</f>
        <v>0</v>
      </c>
      <c r="D65"/>
      <c r="E65" s="85" t="s">
        <v>255</v>
      </c>
      <c r="F65" s="86">
        <f>B49</f>
        <v>3.5</v>
      </c>
      <c r="G65" s="15" t="s">
        <v>256</v>
      </c>
      <c r="J65" s="99"/>
      <c r="K65" s="169"/>
      <c r="L65" s="113"/>
      <c r="M65" s="99"/>
      <c r="N65" s="103"/>
      <c r="O65" s="99"/>
      <c r="P65" s="99"/>
      <c r="Q65" s="99"/>
      <c r="R65" s="99"/>
      <c r="S65" s="99"/>
      <c r="T65" s="99"/>
      <c r="U65" s="99"/>
      <c r="V65" s="99"/>
      <c r="W65" s="98"/>
      <c r="X65" s="98"/>
      <c r="Y65" s="98"/>
      <c r="Z65" s="98"/>
      <c r="AA65" s="98"/>
      <c r="AB65" s="98"/>
      <c r="AC65" s="98"/>
      <c r="AD65" s="98"/>
      <c r="AE65" s="98"/>
      <c r="AF65" s="150"/>
      <c r="AG65" s="150"/>
      <c r="AH65" s="150"/>
      <c r="AI65" s="150"/>
    </row>
    <row r="66" spans="1:35" ht="15.75" x14ac:dyDescent="0.25">
      <c r="A66" s="84">
        <f>EXP(LN(A69/A65)/4+LN(A65))</f>
        <v>1.4953487812212209E-2</v>
      </c>
      <c r="B66" s="84">
        <f t="shared" si="2"/>
        <v>1.8285790999795749E-2</v>
      </c>
      <c r="C66" s="84">
        <f t="shared" si="3"/>
        <v>0</v>
      </c>
      <c r="D66"/>
      <c r="E66" s="85" t="s">
        <v>257</v>
      </c>
      <c r="F66">
        <v>0.2</v>
      </c>
      <c r="G66" s="15" t="s">
        <v>258</v>
      </c>
      <c r="J66" s="99"/>
      <c r="K66" s="169"/>
      <c r="L66" s="113"/>
      <c r="M66" s="99"/>
      <c r="N66" s="103"/>
      <c r="O66" s="99"/>
      <c r="P66" s="99"/>
      <c r="Q66" s="99"/>
      <c r="R66" s="99"/>
      <c r="S66" s="99"/>
      <c r="T66" s="99"/>
      <c r="U66" s="99"/>
      <c r="V66" s="99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5" ht="15.75" x14ac:dyDescent="0.25">
      <c r="A67" s="84">
        <f>EXP(2*LN(A69/A65)/4+LN(A65))</f>
        <v>2.2360679774997907E-2</v>
      </c>
      <c r="B67" s="84">
        <f t="shared" si="2"/>
        <v>2.7343635285210541E-2</v>
      </c>
      <c r="C67" s="84">
        <f t="shared" si="3"/>
        <v>0</v>
      </c>
      <c r="D67"/>
      <c r="E67" s="87" t="s">
        <v>201</v>
      </c>
      <c r="F67">
        <v>0.6</v>
      </c>
      <c r="G67" s="15" t="s">
        <v>259</v>
      </c>
      <c r="J67" s="99"/>
      <c r="K67" s="169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5" x14ac:dyDescent="0.25">
      <c r="A68" s="84">
        <f>EXP(3*LN(A69/A65)/4+LN(A65))</f>
        <v>3.343701524882111E-2</v>
      </c>
      <c r="B68" s="84">
        <f t="shared" si="2"/>
        <v>4.0888271697897133E-2</v>
      </c>
      <c r="C68" s="84">
        <f t="shared" si="3"/>
        <v>0</v>
      </c>
      <c r="D68"/>
      <c r="E68"/>
      <c r="F68"/>
      <c r="J68" s="99"/>
      <c r="K68" s="169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5" ht="15.75" x14ac:dyDescent="0.25">
      <c r="A69" s="84">
        <v>0.05</v>
      </c>
      <c r="B69" s="84">
        <f t="shared" si="2"/>
        <v>5.4525386633262889E-2</v>
      </c>
      <c r="C69" s="84">
        <f t="shared" si="3"/>
        <v>0</v>
      </c>
      <c r="D69"/>
      <c r="E69" s="85" t="s">
        <v>260</v>
      </c>
      <c r="F69"/>
      <c r="J69" s="99"/>
      <c r="K69" s="169"/>
      <c r="L69" s="114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5" ht="15.75" x14ac:dyDescent="0.25">
      <c r="A70" s="84">
        <f>EXP(LN(A73/A69)/4+LN(A69))</f>
        <v>5.9460355750136064E-2</v>
      </c>
      <c r="B70" s="84">
        <f t="shared" si="2"/>
        <v>6.4841977732550501E-2</v>
      </c>
      <c r="C70" s="84">
        <f t="shared" si="3"/>
        <v>0</v>
      </c>
      <c r="D70"/>
      <c r="E70" s="85" t="s">
        <v>261</v>
      </c>
      <c r="F70"/>
      <c r="J70" s="99"/>
      <c r="K70" s="169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5" ht="15.75" x14ac:dyDescent="0.25">
      <c r="A71" s="84">
        <f>EXP(2*LN(A73/A69)/4+LN(A69))</f>
        <v>7.0710678118654766E-2</v>
      </c>
      <c r="B71" s="84">
        <f t="shared" si="2"/>
        <v>7.7110541270397057E-2</v>
      </c>
      <c r="C71" s="84">
        <f t="shared" si="3"/>
        <v>0</v>
      </c>
      <c r="D71"/>
      <c r="E71" s="85" t="s">
        <v>262</v>
      </c>
      <c r="F71"/>
      <c r="J71" s="99"/>
      <c r="K71" s="169"/>
      <c r="L71" s="113"/>
      <c r="M71" s="99"/>
      <c r="N71" s="99"/>
      <c r="O71" s="99"/>
      <c r="P71" s="99"/>
      <c r="Q71" s="99"/>
      <c r="R71" s="99"/>
      <c r="S71" s="99"/>
      <c r="T71" s="99"/>
      <c r="U71" s="99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5" x14ac:dyDescent="0.25">
      <c r="A72" s="84">
        <f>EXP(3*LN(A73/A69)/4+LN(A69))</f>
        <v>8.4089641525371475E-2</v>
      </c>
      <c r="B72" s="84">
        <f t="shared" si="2"/>
        <v>9.1700404320467138E-2</v>
      </c>
      <c r="C72" s="84">
        <f t="shared" si="3"/>
        <v>0</v>
      </c>
      <c r="D72"/>
      <c r="E72"/>
      <c r="F72"/>
      <c r="J72" s="99"/>
      <c r="K72" s="169"/>
      <c r="L72" s="113"/>
      <c r="M72" s="99"/>
      <c r="N72" s="99"/>
      <c r="O72" s="99"/>
      <c r="P72" s="99"/>
      <c r="Q72" s="99"/>
      <c r="R72" s="99"/>
      <c r="S72" s="99"/>
      <c r="T72" s="99"/>
      <c r="U72" s="99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5" x14ac:dyDescent="0.25">
      <c r="A73" s="84">
        <v>0.1</v>
      </c>
      <c r="B73" s="84">
        <f t="shared" si="2"/>
        <v>0.10905077326652579</v>
      </c>
      <c r="C73" s="84">
        <f t="shared" si="3"/>
        <v>0</v>
      </c>
      <c r="D73"/>
      <c r="E73"/>
      <c r="F73"/>
      <c r="J73" s="99"/>
      <c r="K73" s="169"/>
      <c r="L73" s="113"/>
      <c r="M73" s="99"/>
      <c r="N73" s="99"/>
      <c r="O73" s="99"/>
      <c r="P73" s="99"/>
      <c r="Q73" s="99"/>
      <c r="R73" s="99"/>
      <c r="S73" s="99"/>
      <c r="T73" s="99"/>
      <c r="U73" s="99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5" x14ac:dyDescent="0.25">
      <c r="A74" s="84">
        <f>EXP(LN(A77/A73)/4+LN(A73))</f>
        <v>0.11892071150027214</v>
      </c>
      <c r="B74" s="84">
        <f t="shared" si="2"/>
        <v>0.129683955465101</v>
      </c>
      <c r="C74" s="84">
        <f t="shared" si="3"/>
        <v>0</v>
      </c>
      <c r="D74"/>
      <c r="E74"/>
      <c r="F74"/>
      <c r="J74" s="99"/>
      <c r="K74" s="169"/>
      <c r="L74" s="113"/>
      <c r="M74" s="99"/>
      <c r="N74" s="99"/>
      <c r="O74" s="99"/>
      <c r="P74" s="99"/>
      <c r="Q74" s="99"/>
      <c r="R74" s="99"/>
      <c r="S74" s="99"/>
      <c r="T74" s="99"/>
      <c r="U74" s="99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5" x14ac:dyDescent="0.25">
      <c r="A75" s="84">
        <f>EXP(2*LN(A77/A73)/4+LN(A73))</f>
        <v>0.14142135623730953</v>
      </c>
      <c r="B75" s="84">
        <f t="shared" si="2"/>
        <v>0.15422108254079411</v>
      </c>
      <c r="C75" s="84">
        <f t="shared" si="3"/>
        <v>0</v>
      </c>
      <c r="D75"/>
      <c r="E75"/>
      <c r="F75"/>
      <c r="J75" s="99"/>
      <c r="K75" s="169"/>
      <c r="L75" s="113"/>
      <c r="M75" s="99"/>
      <c r="N75" s="99"/>
      <c r="O75" s="99"/>
      <c r="P75" s="99"/>
      <c r="Q75" s="99"/>
      <c r="R75" s="99"/>
      <c r="S75" s="99"/>
      <c r="T75" s="99"/>
      <c r="U75" s="99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5" x14ac:dyDescent="0.25">
      <c r="A76" s="84">
        <f>EXP(3*LN(A77/A73)/4+LN(A73))</f>
        <v>0.16817928305074295</v>
      </c>
      <c r="B76" s="84">
        <f t="shared" si="2"/>
        <v>0.18340080864093428</v>
      </c>
      <c r="C76" s="84">
        <f t="shared" si="3"/>
        <v>0</v>
      </c>
      <c r="D76"/>
      <c r="E76"/>
      <c r="F76"/>
      <c r="J76" s="99"/>
      <c r="K76" s="169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5" x14ac:dyDescent="0.25">
      <c r="A77" s="84">
        <v>0.2</v>
      </c>
      <c r="B77" s="84">
        <f t="shared" si="2"/>
        <v>0.21810154653305155</v>
      </c>
      <c r="C77" s="84">
        <f t="shared" si="3"/>
        <v>1.8646139612088176E-6</v>
      </c>
      <c r="D77"/>
      <c r="E77"/>
      <c r="F77"/>
      <c r="J77" s="99"/>
      <c r="K77" s="169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5" x14ac:dyDescent="0.25">
      <c r="A78" s="84">
        <f>EXP(LN(A81/A77)/4+LN(A77))</f>
        <v>0.23784142300054423</v>
      </c>
      <c r="B78" s="84">
        <f t="shared" si="2"/>
        <v>0.25936791093020195</v>
      </c>
      <c r="C78" s="84">
        <f t="shared" si="3"/>
        <v>7.2181626757802097E-6</v>
      </c>
      <c r="D78"/>
      <c r="E78"/>
      <c r="F78"/>
      <c r="J78" s="99"/>
      <c r="K78" s="169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5" x14ac:dyDescent="0.25">
      <c r="A79" s="84">
        <f>EXP(2*LN(A81/A77)/4+LN(A77))</f>
        <v>0.28284271247461906</v>
      </c>
      <c r="B79" s="84">
        <f t="shared" si="2"/>
        <v>0.30844216508158817</v>
      </c>
      <c r="C79" s="84">
        <f t="shared" si="3"/>
        <v>2.5794781211276167E-5</v>
      </c>
      <c r="D79"/>
      <c r="E79"/>
      <c r="F79"/>
      <c r="J79" s="99"/>
      <c r="K79" s="169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5" x14ac:dyDescent="0.25">
      <c r="A80" s="84">
        <f>EXP(3*LN(A81/A77)/4+LN(A77))</f>
        <v>0.33635856610148579</v>
      </c>
      <c r="B80" s="84">
        <f t="shared" si="2"/>
        <v>0.3668016172818685</v>
      </c>
      <c r="C80" s="84">
        <f t="shared" si="3"/>
        <v>8.5128284487590172E-5</v>
      </c>
      <c r="D80"/>
      <c r="E80"/>
      <c r="F8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v>0.4</v>
      </c>
      <c r="B81" s="84">
        <f t="shared" si="2"/>
        <v>0.43620309306610311</v>
      </c>
      <c r="C81" s="84">
        <f t="shared" si="3"/>
        <v>2.5956742339532275E-4</v>
      </c>
      <c r="D81"/>
      <c r="E81"/>
      <c r="F81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f>EXP(LN(A85/A81)/4+LN(A81))</f>
        <v>0.47568284600108846</v>
      </c>
      <c r="B82" s="84">
        <f t="shared" si="2"/>
        <v>0.5187358218604039</v>
      </c>
      <c r="C82" s="84">
        <f t="shared" si="3"/>
        <v>7.3163106734667723E-4</v>
      </c>
      <c r="D82"/>
      <c r="E82"/>
      <c r="F8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EXP(2*LN(A85/A81)/4+LN(A81))</f>
        <v>0.56568542494923801</v>
      </c>
      <c r="B83" s="84">
        <f t="shared" si="2"/>
        <v>0.61688433016317634</v>
      </c>
      <c r="C83" s="84">
        <f t="shared" si="3"/>
        <v>1.9075348376274542E-3</v>
      </c>
      <c r="D83"/>
      <c r="E83"/>
      <c r="F83"/>
      <c r="J83" s="125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98"/>
    </row>
    <row r="84" spans="1:31" x14ac:dyDescent="0.25">
      <c r="A84" s="84">
        <f>EXP(3*LN(A85/A81)/4+LN(A81))</f>
        <v>0.67271713220297169</v>
      </c>
      <c r="B84" s="84">
        <f t="shared" si="2"/>
        <v>0.73360323456373699</v>
      </c>
      <c r="C84" s="84">
        <f t="shared" si="3"/>
        <v>4.603780200193021E-3</v>
      </c>
      <c r="D84"/>
      <c r="E84"/>
      <c r="F84"/>
      <c r="J84" s="125"/>
      <c r="K84" s="127"/>
      <c r="L84" s="127"/>
      <c r="M84" s="116"/>
      <c r="N84" s="116"/>
      <c r="O84" s="116"/>
      <c r="P84" s="116"/>
      <c r="Q84" s="116"/>
      <c r="R84" s="116"/>
      <c r="S84" s="116"/>
      <c r="T84" s="116"/>
      <c r="U84" s="117"/>
      <c r="V84" s="98"/>
      <c r="W84" s="98"/>
      <c r="X84" s="98"/>
      <c r="Y84" s="98"/>
      <c r="Z84" s="98"/>
      <c r="AA84" s="98"/>
      <c r="AB84" s="98"/>
      <c r="AC84" s="98"/>
      <c r="AD84" s="98"/>
      <c r="AE84" s="125" t="s">
        <v>201</v>
      </c>
    </row>
    <row r="85" spans="1:31" x14ac:dyDescent="0.25">
      <c r="A85" s="84">
        <v>0.8</v>
      </c>
      <c r="B85" s="84">
        <f t="shared" si="2"/>
        <v>0.84159160440691538</v>
      </c>
      <c r="C85" s="84">
        <f t="shared" si="3"/>
        <v>8.7656286775700479E-3</v>
      </c>
      <c r="D85"/>
      <c r="E85"/>
      <c r="F85"/>
      <c r="J85" s="125"/>
      <c r="K85" s="169"/>
      <c r="L85" s="113"/>
      <c r="M85" s="118"/>
      <c r="N85" s="118"/>
      <c r="O85" s="118"/>
      <c r="P85" s="118"/>
      <c r="Q85" s="118"/>
      <c r="R85" s="118"/>
      <c r="S85" s="118"/>
      <c r="T85" s="118"/>
      <c r="U85" s="11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f>EXP(LN(A89/A85)/4+LN(A85))</f>
        <v>0.88534553576025732</v>
      </c>
      <c r="B86" s="84">
        <f t="shared" si="2"/>
        <v>0.93137421236871865</v>
      </c>
      <c r="C86" s="84">
        <f t="shared" si="3"/>
        <v>1.367700543344204E-2</v>
      </c>
      <c r="D86"/>
      <c r="E86"/>
      <c r="F86"/>
      <c r="J86" s="125"/>
      <c r="K86" s="169"/>
      <c r="L86" s="113"/>
      <c r="M86" s="118"/>
      <c r="N86" s="118"/>
      <c r="O86" s="118"/>
      <c r="P86" s="118"/>
      <c r="Q86" s="118"/>
      <c r="R86" s="118"/>
      <c r="S86" s="118"/>
      <c r="T86" s="118"/>
      <c r="U86" s="11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A87" s="84">
        <f>EXP(2*LN(A89/A85)/4+LN(A85))</f>
        <v>0.9797958971132712</v>
      </c>
      <c r="B87" s="84">
        <f t="shared" si="2"/>
        <v>1.0307350013035885</v>
      </c>
      <c r="C87" s="84">
        <f t="shared" si="3"/>
        <v>2.0800746213717271E-2</v>
      </c>
      <c r="D87"/>
      <c r="E87"/>
      <c r="F87"/>
      <c r="J87" s="125"/>
      <c r="K87" s="169"/>
      <c r="L87" s="113"/>
      <c r="M87" s="118"/>
      <c r="N87" s="118"/>
      <c r="O87" s="118"/>
      <c r="P87" s="118"/>
      <c r="Q87" s="118"/>
      <c r="R87" s="118"/>
      <c r="S87" s="118"/>
      <c r="T87" s="118"/>
      <c r="U87" s="11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A88" s="84">
        <f>EXP(3*LN(A89/A85)/4+LN(A85))</f>
        <v>1.0843224043318138</v>
      </c>
      <c r="B88" s="84">
        <f t="shared" si="2"/>
        <v>1.1406957899449688</v>
      </c>
      <c r="C88" s="84">
        <f t="shared" si="3"/>
        <v>3.0843356192012734E-2</v>
      </c>
      <c r="D88"/>
      <c r="E88" t="s">
        <v>263</v>
      </c>
      <c r="F88"/>
      <c r="J88" s="125"/>
      <c r="K88" s="169"/>
      <c r="L88" s="113"/>
      <c r="M88" s="118"/>
      <c r="N88" s="118"/>
      <c r="O88" s="118"/>
      <c r="P88" s="118"/>
      <c r="Q88" s="118"/>
      <c r="R88" s="118"/>
      <c r="S88" s="118"/>
      <c r="T88" s="118"/>
      <c r="U88" s="11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x14ac:dyDescent="0.25">
      <c r="A89" s="84">
        <v>1.2</v>
      </c>
      <c r="B89" s="84">
        <f t="shared" si="2"/>
        <v>1.2439375795536929</v>
      </c>
      <c r="C89" s="84">
        <f t="shared" si="3"/>
        <v>4.2341714522484412E-2</v>
      </c>
      <c r="D89"/>
      <c r="E89" t="s">
        <v>264</v>
      </c>
      <c r="F89"/>
      <c r="J89" s="119"/>
      <c r="K89" s="169"/>
      <c r="L89" s="113"/>
      <c r="M89" s="118"/>
      <c r="N89" s="118"/>
      <c r="O89" s="118"/>
      <c r="P89" s="118"/>
      <c r="Q89" s="118"/>
      <c r="R89" s="118"/>
      <c r="S89" s="118"/>
      <c r="T89" s="118"/>
      <c r="U89" s="11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x14ac:dyDescent="0.25">
      <c r="A90" s="84">
        <f>EXP(LN(A93/A89)/4+LN(A89))</f>
        <v>1.2894839181882503</v>
      </c>
      <c r="B90" s="84">
        <f t="shared" si="2"/>
        <v>1.3366979200537537</v>
      </c>
      <c r="C90" s="84">
        <f t="shared" si="3"/>
        <v>5.4327526126770526E-2</v>
      </c>
      <c r="D90"/>
      <c r="E90"/>
      <c r="F90"/>
      <c r="J90" s="99"/>
      <c r="K90" s="169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A91" s="84">
        <f>EXP(2*LN(A93/A89)/4+LN(A89))</f>
        <v>1.3856406460551018</v>
      </c>
      <c r="B91" s="84">
        <f t="shared" si="2"/>
        <v>1.4363753928208323</v>
      </c>
      <c r="C91" s="84">
        <f t="shared" si="3"/>
        <v>6.8851391663494049E-2</v>
      </c>
      <c r="D91"/>
      <c r="E91"/>
      <c r="F91"/>
      <c r="J91" s="99"/>
      <c r="K91" s="169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A92" s="84">
        <f>EXP(3*LN(A93/A89)/4+LN(A89))</f>
        <v>1.4889677745633594</v>
      </c>
      <c r="B92" s="84">
        <f t="shared" si="2"/>
        <v>1.5434858079364953</v>
      </c>
      <c r="C92" s="84">
        <f t="shared" si="3"/>
        <v>8.619999056960434E-2</v>
      </c>
      <c r="D92"/>
      <c r="E92"/>
      <c r="F92"/>
      <c r="J92" s="99"/>
      <c r="K92" s="169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A93" s="84">
        <v>1.6</v>
      </c>
      <c r="B93" s="84">
        <f t="shared" si="2"/>
        <v>1.6742525317171835</v>
      </c>
      <c r="C93" s="84">
        <f t="shared" si="3"/>
        <v>0.10953710512657842</v>
      </c>
      <c r="D93"/>
      <c r="E93"/>
      <c r="F93"/>
      <c r="J93" s="99"/>
      <c r="K93" s="169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A94" s="84">
        <f>EXP(LN(A97/A93)/4+LN(A93))</f>
        <v>1.7519509624758738</v>
      </c>
      <c r="B94" s="84">
        <f t="shared" si="2"/>
        <v>1.8332552089809921</v>
      </c>
      <c r="C94" s="84">
        <f t="shared" si="3"/>
        <v>0.14056531168603678</v>
      </c>
      <c r="D94"/>
      <c r="E94"/>
      <c r="F94"/>
      <c r="J94" s="99"/>
      <c r="K94" s="169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A95" s="84">
        <f>EXP(2*LN(A97/A93)/4+LN(A93))</f>
        <v>1.9183326093250876</v>
      </c>
      <c r="B95" s="84">
        <f t="shared" si="2"/>
        <v>2.0073582673988493</v>
      </c>
      <c r="C95" s="84">
        <f t="shared" si="3"/>
        <v>0.17707431008974525</v>
      </c>
      <c r="D95"/>
      <c r="E95"/>
      <c r="F95"/>
      <c r="J95" s="99"/>
      <c r="K95" s="169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A96" s="84">
        <f>EXP(3*LN(A97/A93)/4+LN(A93))</f>
        <v>2.1005154132849637</v>
      </c>
      <c r="B96" s="84">
        <f t="shared" si="2"/>
        <v>2.1979957803770724</v>
      </c>
      <c r="C96" s="84">
        <f t="shared" si="3"/>
        <v>0.21906297397177818</v>
      </c>
      <c r="D96"/>
      <c r="E96"/>
      <c r="F96"/>
      <c r="J96" s="99"/>
      <c r="K96" s="169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x14ac:dyDescent="0.25">
      <c r="A97" s="84">
        <v>2.2999999999999998</v>
      </c>
      <c r="B97" s="84">
        <f t="shared" si="2"/>
        <v>2.377672382641121</v>
      </c>
      <c r="C97" s="84">
        <f t="shared" si="3"/>
        <v>0.25965752912800721</v>
      </c>
      <c r="D97"/>
      <c r="E97"/>
      <c r="F97"/>
      <c r="J97" s="99"/>
      <c r="K97" s="169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x14ac:dyDescent="0.25">
      <c r="A98" s="84">
        <f>EXP(LN(A101/A97)/4+LN(A97))</f>
        <v>2.457967808336655</v>
      </c>
      <c r="B98" s="84">
        <f t="shared" si="2"/>
        <v>2.5409748588273868</v>
      </c>
      <c r="C98" s="84">
        <f t="shared" si="3"/>
        <v>0.29677734646308906</v>
      </c>
      <c r="D98"/>
      <c r="E98"/>
      <c r="F98"/>
      <c r="J98" s="99"/>
      <c r="K98" s="169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x14ac:dyDescent="0.25">
      <c r="A99" s="84">
        <f>EXP(2*LN(A101/A97)/4+LN(A97))</f>
        <v>2.6267851073127391</v>
      </c>
      <c r="B99" s="84">
        <f t="shared" si="2"/>
        <v>2.7154932194741281</v>
      </c>
      <c r="C99" s="84">
        <f t="shared" si="3"/>
        <v>0.33615409545055441</v>
      </c>
      <c r="D99"/>
      <c r="E99"/>
      <c r="F99"/>
      <c r="J99" s="99"/>
      <c r="K99" s="169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x14ac:dyDescent="0.25">
      <c r="A100" s="84">
        <f>EXP(3*LN(A101/A97)/4+LN(A97))</f>
        <v>2.807197057909939</v>
      </c>
      <c r="B100" s="84">
        <f t="shared" si="2"/>
        <v>2.9019977900973353</v>
      </c>
      <c r="C100" s="84">
        <f t="shared" si="3"/>
        <v>0.37741667097542492</v>
      </c>
      <c r="D100"/>
      <c r="E100"/>
      <c r="F100"/>
      <c r="J100" s="99"/>
      <c r="K100" s="169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5.75" x14ac:dyDescent="0.25">
      <c r="A101" s="84">
        <v>3</v>
      </c>
      <c r="B101" s="84">
        <f t="shared" si="2"/>
        <v>3.1978077331521191</v>
      </c>
      <c r="C101" s="84">
        <f t="shared" si="3"/>
        <v>0.4401867341246567</v>
      </c>
      <c r="D101"/>
      <c r="E101"/>
      <c r="F101"/>
      <c r="J101" s="99"/>
      <c r="K101" s="169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  <c r="V101" s="98"/>
      <c r="W101" s="98"/>
      <c r="X101" s="98"/>
      <c r="Y101" s="98"/>
      <c r="Z101" s="98"/>
      <c r="AA101" s="98"/>
      <c r="AB101" s="98"/>
      <c r="AC101" s="98"/>
      <c r="AD101" s="98"/>
      <c r="AE101" s="98">
        <v>0.628</v>
      </c>
    </row>
    <row r="102" spans="1:31" x14ac:dyDescent="0.25">
      <c r="A102" s="84">
        <f>EXP(LN(A105/A101)/4+LN(A101))</f>
        <v>3.4086580994024982</v>
      </c>
      <c r="B102" s="84">
        <f t="shared" si="2"/>
        <v>3.6334110766469716</v>
      </c>
      <c r="C102" s="84">
        <f t="shared" si="3"/>
        <v>0.52485723349822888</v>
      </c>
      <c r="D102"/>
      <c r="E102"/>
      <c r="F102"/>
      <c r="J102" s="99"/>
      <c r="K102" s="169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x14ac:dyDescent="0.25">
      <c r="A103" s="84">
        <f>EXP(2*LN(A105/A101)/4+LN(A101))</f>
        <v>3.8729833462074179</v>
      </c>
      <c r="B103" s="84">
        <f t="shared" si="2"/>
        <v>4.1283520316238169</v>
      </c>
      <c r="C103" s="84">
        <f t="shared" si="3"/>
        <v>0.60841572001423583</v>
      </c>
      <c r="D103"/>
      <c r="E103"/>
      <c r="F103"/>
      <c r="J103" s="99"/>
      <c r="K103" s="169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x14ac:dyDescent="0.25">
      <c r="A104" s="84">
        <f>EXP(3*LN(A105/A101)/4+LN(A101))</f>
        <v>4.4005586839669677</v>
      </c>
      <c r="B104" s="84">
        <f t="shared" si="2"/>
        <v>4.6907135299264269</v>
      </c>
      <c r="C104" s="84">
        <f t="shared" si="3"/>
        <v>0.68723791226765296</v>
      </c>
      <c r="D104"/>
      <c r="E104"/>
      <c r="F104"/>
      <c r="J104" s="99"/>
      <c r="K104" s="169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x14ac:dyDescent="0.25">
      <c r="A105" s="84">
        <v>5</v>
      </c>
      <c r="B105" s="84">
        <f t="shared" si="2"/>
        <v>5.4525386633262878</v>
      </c>
      <c r="C105" s="84">
        <f t="shared" si="3"/>
        <v>0.77000517817815461</v>
      </c>
      <c r="D105"/>
      <c r="E105"/>
      <c r="F105"/>
      <c r="J105" s="99"/>
      <c r="K105" s="169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x14ac:dyDescent="0.25">
      <c r="A106" s="84">
        <f>EXP(LN(A109/A105)/4+LN(A105))</f>
        <v>5.9460355750136049</v>
      </c>
      <c r="B106" s="84">
        <f t="shared" si="2"/>
        <v>6.4841977732550484</v>
      </c>
      <c r="C106" s="84">
        <f t="shared" si="3"/>
        <v>0.84794868784588229</v>
      </c>
      <c r="D106"/>
      <c r="E106"/>
      <c r="F106"/>
      <c r="J106" s="99"/>
      <c r="K106" s="169"/>
      <c r="L106" s="113"/>
      <c r="M106" s="118"/>
      <c r="N106" s="118"/>
      <c r="O106" s="118"/>
      <c r="P106" s="118"/>
      <c r="Q106" s="118"/>
      <c r="R106" s="118"/>
      <c r="S106" s="118"/>
      <c r="T106" s="118"/>
      <c r="U106" s="11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x14ac:dyDescent="0.25">
      <c r="A107" s="84">
        <f>EXP(2*LN(A109/A105)/4+LN(A105))</f>
        <v>7.0710678118654746</v>
      </c>
      <c r="B107" s="84">
        <f t="shared" si="2"/>
        <v>7.7110541270397031</v>
      </c>
      <c r="C107" s="84">
        <f t="shared" si="3"/>
        <v>0.90599460558388445</v>
      </c>
      <c r="D107"/>
      <c r="E107"/>
      <c r="F107"/>
      <c r="J107" s="99"/>
      <c r="K107" s="169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x14ac:dyDescent="0.25">
      <c r="A108" s="84">
        <f>EXP(3*LN(A109/A105)/4+LN(A105))</f>
        <v>8.408964152537143</v>
      </c>
      <c r="B108" s="84">
        <f t="shared" si="2"/>
        <v>9.1700404320467115</v>
      </c>
      <c r="C108" s="84">
        <f t="shared" si="3"/>
        <v>0.94578586704730727</v>
      </c>
      <c r="D108"/>
      <c r="E108"/>
      <c r="F108"/>
      <c r="J108" s="99"/>
      <c r="K108" s="169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x14ac:dyDescent="0.25">
      <c r="A109" s="84">
        <v>10</v>
      </c>
      <c r="B109" s="84">
        <v>10</v>
      </c>
      <c r="C109" s="84">
        <f t="shared" si="3"/>
        <v>0.95991525879827722</v>
      </c>
      <c r="D109"/>
      <c r="E109"/>
      <c r="F109"/>
      <c r="J109" s="99"/>
      <c r="K109" s="170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x14ac:dyDescent="0.25">
      <c r="K110" s="170"/>
      <c r="L110" s="81"/>
      <c r="M110" s="93"/>
      <c r="N110" s="93"/>
      <c r="O110" s="93"/>
      <c r="P110" s="93"/>
      <c r="Q110" s="93"/>
      <c r="R110" s="93"/>
      <c r="S110" s="93"/>
      <c r="T110" s="93"/>
      <c r="U110" s="3"/>
    </row>
    <row r="111" spans="1:31" x14ac:dyDescent="0.25">
      <c r="K111" s="170"/>
      <c r="L111" s="81"/>
      <c r="M111" s="93"/>
      <c r="N111" s="93"/>
      <c r="O111" s="93"/>
      <c r="P111" s="93"/>
      <c r="Q111" s="93"/>
      <c r="R111" s="93"/>
      <c r="S111" s="93"/>
      <c r="T111" s="93"/>
      <c r="U111" s="3"/>
    </row>
  </sheetData>
  <mergeCells count="52">
    <mergeCell ref="K106:K108"/>
    <mergeCell ref="K109:K111"/>
    <mergeCell ref="K88:K90"/>
    <mergeCell ref="K91:K93"/>
    <mergeCell ref="K94:K96"/>
    <mergeCell ref="K97:K99"/>
    <mergeCell ref="K100:K102"/>
    <mergeCell ref="K103:K105"/>
    <mergeCell ref="K85:K87"/>
    <mergeCell ref="K57:K58"/>
    <mergeCell ref="K59:K61"/>
    <mergeCell ref="K62:K64"/>
    <mergeCell ref="E64:F64"/>
    <mergeCell ref="K65:K67"/>
    <mergeCell ref="K68:K70"/>
    <mergeCell ref="K71:K73"/>
    <mergeCell ref="K74:K76"/>
    <mergeCell ref="K77:K79"/>
    <mergeCell ref="K83:AD83"/>
    <mergeCell ref="AF65:AI65"/>
    <mergeCell ref="AG18:AK18"/>
    <mergeCell ref="AG19:AK19"/>
    <mergeCell ref="J20:K20"/>
    <mergeCell ref="AG20:AK20"/>
    <mergeCell ref="AG21:AK21"/>
    <mergeCell ref="V30:AB30"/>
    <mergeCell ref="J14:P14"/>
    <mergeCell ref="AG14:AK14"/>
    <mergeCell ref="AG15:AK15"/>
    <mergeCell ref="AG16:AK16"/>
    <mergeCell ref="A17:H17"/>
    <mergeCell ref="AG17:AK17"/>
    <mergeCell ref="AF13:AK13"/>
    <mergeCell ref="A7:H7"/>
    <mergeCell ref="J7:V7"/>
    <mergeCell ref="AF7:AK7"/>
    <mergeCell ref="AG8:AH8"/>
    <mergeCell ref="AI8:AK8"/>
    <mergeCell ref="J9:K9"/>
    <mergeCell ref="AG9:AH9"/>
    <mergeCell ref="AI9:AK9"/>
    <mergeCell ref="AG10:AH10"/>
    <mergeCell ref="AI10:AK10"/>
    <mergeCell ref="J11:K11"/>
    <mergeCell ref="AG11:AH11"/>
    <mergeCell ref="AI11:AK11"/>
    <mergeCell ref="AR6:AR7"/>
    <mergeCell ref="AM5:AO5"/>
    <mergeCell ref="AM6:AM7"/>
    <mergeCell ref="AN6:AN7"/>
    <mergeCell ref="AO6:AO7"/>
    <mergeCell ref="AP6:AQ6"/>
  </mergeCells>
  <dataValidations disablePrompts="1" count="4">
    <dataValidation type="list" allowBlank="1" showInputMessage="1" showErrorMessage="1" sqref="B13" xr:uid="{763C6EC9-2748-49C2-8EE9-8883304D7503}">
      <formula1>"Grade-B,X-42,X-52,X-60,X-70,X-80"</formula1>
    </dataValidation>
    <dataValidation type="list" allowBlank="1" showInputMessage="1" showErrorMessage="1" sqref="B20" xr:uid="{3FCABEA5-FF40-4B61-8DAE-42743055F86E}">
      <formula1>"Medium Dense (Sand),Dense (Sand),Very Dense (Sand),Soft (Clay),Medium (Clay),Stiff (Clay)"</formula1>
    </dataValidation>
    <dataValidation type="list" allowBlank="1" showInputMessage="1" showErrorMessage="1" sqref="B19" xr:uid="{DE04FAA2-A81E-4734-9E50-909D83BBEDE0}">
      <formula1>"Cohesionless (Sand),Cohesive (Clay)"</formula1>
    </dataValidation>
    <dataValidation type="list" allowBlank="1" showInputMessage="1" showErrorMessage="1" sqref="G26 G12:G14 G9:G10" xr:uid="{FB3C28D7-BD54-42BD-8D50-CB0627E1696E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F2F8-ED66-48B4-8465-AD657702A352}">
  <dimension ref="A1:AU44"/>
  <sheetViews>
    <sheetView topLeftCell="P1" zoomScale="70" zoomScaleNormal="70" workbookViewId="0">
      <selection activeCell="B2" sqref="B2:AU22"/>
    </sheetView>
  </sheetViews>
  <sheetFormatPr defaultRowHeight="15" x14ac:dyDescent="0.25"/>
  <cols>
    <col min="1" max="1" width="11.5703125" style="126" customWidth="1"/>
    <col min="2" max="14" width="11.5703125" customWidth="1"/>
    <col min="15" max="15" width="11.5703125" style="126" customWidth="1"/>
    <col min="16" max="25" width="11.5703125" customWidth="1"/>
    <col min="27" max="41" width="11.5703125" customWidth="1"/>
  </cols>
  <sheetData>
    <row r="1" spans="1:47" ht="18" x14ac:dyDescent="0.25">
      <c r="A1" s="126" t="s">
        <v>87</v>
      </c>
      <c r="B1" s="126" t="s">
        <v>88</v>
      </c>
      <c r="C1" s="126"/>
      <c r="D1" s="126" t="s">
        <v>89</v>
      </c>
      <c r="E1" s="126"/>
      <c r="F1" s="126" t="s">
        <v>90</v>
      </c>
      <c r="G1" s="126" t="s">
        <v>91</v>
      </c>
      <c r="H1" t="s">
        <v>213</v>
      </c>
      <c r="M1" s="18" t="s">
        <v>214</v>
      </c>
      <c r="N1" s="129" t="s">
        <v>224</v>
      </c>
      <c r="O1" s="129" t="s">
        <v>384</v>
      </c>
      <c r="U1" s="129" t="s">
        <v>385</v>
      </c>
      <c r="V1" s="129" t="s">
        <v>133</v>
      </c>
      <c r="X1" s="140" t="s">
        <v>386</v>
      </c>
      <c r="Y1" s="140" t="s">
        <v>387</v>
      </c>
      <c r="Z1" s="18" t="s">
        <v>238</v>
      </c>
      <c r="AA1" s="18" t="s">
        <v>371</v>
      </c>
      <c r="AB1" s="18" t="s">
        <v>372</v>
      </c>
      <c r="AC1" s="129" t="s">
        <v>373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Q1" s="129" t="s">
        <v>19</v>
      </c>
      <c r="AR1" s="17" t="s">
        <v>382</v>
      </c>
      <c r="AS1" s="141" t="s">
        <v>383</v>
      </c>
    </row>
    <row r="2" spans="1:47" ht="15.75" x14ac:dyDescent="0.25">
      <c r="A2" s="126" t="s">
        <v>38</v>
      </c>
      <c r="B2" s="126" t="s">
        <v>288</v>
      </c>
      <c r="C2" s="126" t="s">
        <v>1</v>
      </c>
      <c r="D2" s="126" t="s">
        <v>289</v>
      </c>
      <c r="E2" s="126" t="s">
        <v>2</v>
      </c>
      <c r="F2" s="126" t="s">
        <v>124</v>
      </c>
      <c r="G2" s="126" t="s">
        <v>125</v>
      </c>
      <c r="H2" s="126" t="s">
        <v>15</v>
      </c>
      <c r="I2" s="126" t="s">
        <v>4</v>
      </c>
      <c r="J2" s="126" t="s">
        <v>5</v>
      </c>
      <c r="K2" s="126" t="s">
        <v>3</v>
      </c>
      <c r="L2" s="126" t="s">
        <v>16</v>
      </c>
      <c r="M2" s="18" t="s">
        <v>17</v>
      </c>
      <c r="N2" s="129" t="s">
        <v>0</v>
      </c>
      <c r="O2" s="129" t="s">
        <v>86</v>
      </c>
      <c r="P2" t="s">
        <v>84</v>
      </c>
      <c r="Q2" t="s">
        <v>85</v>
      </c>
      <c r="R2" t="s">
        <v>83</v>
      </c>
      <c r="S2" t="s">
        <v>82</v>
      </c>
      <c r="T2" t="s">
        <v>406</v>
      </c>
      <c r="U2" s="129" t="s">
        <v>287</v>
      </c>
      <c r="V2" s="129" t="s">
        <v>7</v>
      </c>
      <c r="W2" t="s">
        <v>11</v>
      </c>
      <c r="X2" s="140" t="s">
        <v>388</v>
      </c>
      <c r="Y2" s="140" t="s">
        <v>271</v>
      </c>
      <c r="Z2" s="18" t="s">
        <v>6</v>
      </c>
      <c r="AA2" s="18" t="s">
        <v>389</v>
      </c>
      <c r="AB2" s="18" t="s">
        <v>390</v>
      </c>
      <c r="AC2" s="129" t="s">
        <v>286</v>
      </c>
      <c r="AD2" t="s">
        <v>18</v>
      </c>
      <c r="AE2" t="s">
        <v>104</v>
      </c>
      <c r="AF2" t="s">
        <v>105</v>
      </c>
      <c r="AG2" t="s">
        <v>374</v>
      </c>
      <c r="AH2" t="s">
        <v>375</v>
      </c>
      <c r="AI2" t="s">
        <v>376</v>
      </c>
      <c r="AJ2" t="s">
        <v>377</v>
      </c>
      <c r="AK2" t="s">
        <v>378</v>
      </c>
      <c r="AL2" t="s">
        <v>379</v>
      </c>
      <c r="AM2" t="s">
        <v>380</v>
      </c>
      <c r="AN2" t="s">
        <v>381</v>
      </c>
      <c r="AO2" t="s">
        <v>404</v>
      </c>
      <c r="AP2" t="s">
        <v>405</v>
      </c>
      <c r="AQ2" s="129" t="s">
        <v>19</v>
      </c>
      <c r="AR2" s="17" t="s">
        <v>284</v>
      </c>
      <c r="AS2" s="141" t="s">
        <v>8</v>
      </c>
      <c r="AT2" t="s">
        <v>290</v>
      </c>
      <c r="AU2" t="s">
        <v>291</v>
      </c>
    </row>
    <row r="3" spans="1:47" ht="15.75" x14ac:dyDescent="0.25">
      <c r="A3" s="126">
        <v>1</v>
      </c>
      <c r="B3">
        <v>0.20319999999999999</v>
      </c>
      <c r="C3">
        <f t="shared" ref="C3:C22" si="0">B3*1000</f>
        <v>203.2</v>
      </c>
      <c r="D3">
        <v>5.5599999999999998E-3</v>
      </c>
      <c r="E3">
        <f t="shared" ref="E3:E22" si="1">D3*1000</f>
        <v>5.56</v>
      </c>
      <c r="F3" s="4">
        <f t="shared" ref="F3:F22" si="2">B3/D3</f>
        <v>36.546762589928058</v>
      </c>
      <c r="G3" s="126">
        <v>15</v>
      </c>
      <c r="H3" s="126" t="s">
        <v>117</v>
      </c>
      <c r="I3" s="126">
        <f>IF(H3="Grade-B",3,IF(H3="X-42",3,IF(H3="X-52",8,IF(H3="X-60",8,IF(H3="X-70",14,IF(H3="X-80",15,8))))))</f>
        <v>8</v>
      </c>
      <c r="J3" s="126">
        <f>IF(H3="Grade-B",8,IF(H3="X-42",9,IF(H3="X-52",10,IF(H3="X-60",12,IF(H3="X-70",15,IF(H3="X-80",20,10))))))</f>
        <v>10</v>
      </c>
      <c r="K3" s="126">
        <f>IF(H3="Grade-B",241,IF(H3="X-42",290,IF(H3="X-52",359,IF(H3="X-60",414,IF(H3="X-70",483,IF(H3="X-80",552,359))))))*1000</f>
        <v>359000</v>
      </c>
      <c r="L3" s="126">
        <f>IF(H3="Grade-B",344,IF(H3="X-42",414,IF(H3="X-52",455,IF(H3="X-60",517,IF(H3="X-70",565,IF(H3="X-80",625,K3*1.2/1000))))))*1000</f>
        <v>455000</v>
      </c>
      <c r="M3" s="126">
        <f>L3/200000000*(1+I3/(1+J3)*(L3/K3)^J3)*100</f>
        <v>1.9969902892117808</v>
      </c>
      <c r="N3" t="s">
        <v>9</v>
      </c>
      <c r="O3" t="s">
        <v>267</v>
      </c>
      <c r="P3">
        <f>IF(O3="medium dense",18,IF(O3="dense",18.5,IF(O3="very dense",19,IF(O3="soft",17.5,IF(O3="medium stiff",18,IF(O3="stiff",18.5,0))))))</f>
        <v>18</v>
      </c>
      <c r="Q3">
        <f>IF(O3="medium dense",37,IF(O3="dense",40,IF(O3="very dense",43,0)))</f>
        <v>37</v>
      </c>
      <c r="R3">
        <f>IF(O3="soft",37.5,IF(O3="medium stiff",75,IF(O3="stiff",125,0)))</f>
        <v>0</v>
      </c>
      <c r="S3">
        <f>IF(O3="soft",1.1,IF(O3="medium stiff",0.72,IF(O3="stiff",0.4,0)))</f>
        <v>0</v>
      </c>
      <c r="T3">
        <v>0.9</v>
      </c>
      <c r="U3" s="126">
        <v>1</v>
      </c>
      <c r="V3">
        <f>IF(N3="clay",S3*R3,IF(N3="sand",U3*P3*TAN(RADIANS(T3*Q3))))*PI()*B3</f>
        <v>7.5479720641402661</v>
      </c>
      <c r="W3">
        <f>0.00081*V3+0.00314*LN(M3)</f>
        <v>8.2856107139974745E-3</v>
      </c>
      <c r="X3">
        <f>-0.15507+W3*LN(F3)+0.05203*LN(G3)</f>
        <v>1.5646389426880153E-2</v>
      </c>
      <c r="Y3">
        <f>IF(G3&lt;15,X3+0.75,IF(G3&gt;50,X3+1.5,X3+1))</f>
        <v>1.0156463894268801</v>
      </c>
      <c r="Z3" s="126">
        <v>0.75</v>
      </c>
      <c r="AA3">
        <f t="shared" ref="AA3:AA22" si="3">IF(Z3&lt;EXP(X3),1,0)</f>
        <v>1</v>
      </c>
      <c r="AB3">
        <f t="shared" ref="AB3:AB22" si="4">IF(Z3&gt;EXP(Y3),1,0)</f>
        <v>0</v>
      </c>
      <c r="AC3">
        <f>IF(N3="sand",1,0)</f>
        <v>1</v>
      </c>
      <c r="AD3" s="129">
        <v>-2.307229</v>
      </c>
      <c r="AE3">
        <v>0.5852366</v>
      </c>
      <c r="AF3">
        <v>0.201322</v>
      </c>
      <c r="AG3">
        <v>1.4274935</v>
      </c>
      <c r="AH3">
        <v>-7.1050000000000002E-3</v>
      </c>
      <c r="AI3">
        <v>5.1415999999999996E-3</v>
      </c>
      <c r="AJ3">
        <v>-1.4290590000000001</v>
      </c>
      <c r="AK3">
        <v>4.9200300000000002E-2</v>
      </c>
      <c r="AL3">
        <v>0.14513599999999999</v>
      </c>
      <c r="AM3">
        <v>2.0170299999999999E-2</v>
      </c>
      <c r="AN3">
        <v>-1.032025</v>
      </c>
      <c r="AO3">
        <f>AA3*(LN(Z3)-X3)*(AG3+AH3*V3+AI3*F3)</f>
        <v>-0.47373050310383741</v>
      </c>
      <c r="AP3">
        <f>AB3*(LN(Z3)-Y3)*(AJ3+AK3*V3+AL3*G3+AM3*F3+AN3*LN(M3))</f>
        <v>0</v>
      </c>
      <c r="AQ3">
        <f>AO3+AP3</f>
        <v>-0.47373050310383741</v>
      </c>
      <c r="AR3">
        <f>AD3+AQ3*Z3+AE3*LN(F3)+AC3*AF3*LN(V3)</f>
        <v>-0.14957085894174343</v>
      </c>
      <c r="AS3" s="142">
        <f>MIN(EXP(AR3),100)</f>
        <v>0.86107742082312089</v>
      </c>
      <c r="AT3">
        <v>0.72299999999999998</v>
      </c>
      <c r="AU3">
        <v>0.3</v>
      </c>
    </row>
    <row r="4" spans="1:47" ht="15.75" x14ac:dyDescent="0.25">
      <c r="A4" s="126">
        <v>2</v>
      </c>
      <c r="B4">
        <v>0.30480000000000002</v>
      </c>
      <c r="C4">
        <f t="shared" si="0"/>
        <v>304.8</v>
      </c>
      <c r="D4">
        <v>7.1399999999999996E-3</v>
      </c>
      <c r="E4">
        <f t="shared" si="1"/>
        <v>7.14</v>
      </c>
      <c r="F4" s="4">
        <f t="shared" si="2"/>
        <v>42.689075630252105</v>
      </c>
      <c r="G4" s="126">
        <v>30</v>
      </c>
      <c r="H4" s="126" t="s">
        <v>118</v>
      </c>
      <c r="I4" s="126">
        <f t="shared" ref="I4:I22" si="5">IF(H4="Grade-B",3,IF(H4="X-42",3,IF(H4="X-52",8,IF(H4="X-60",8,IF(H4="X-70",14,IF(H4="X-80",15,8))))))</f>
        <v>8</v>
      </c>
      <c r="J4" s="126">
        <f t="shared" ref="J4:J22" si="6">IF(H4="Grade-B",8,IF(H4="X-42",9,IF(H4="X-52",10,IF(H4="X-60",12,IF(H4="X-70",15,IF(H4="X-80",20,10))))))</f>
        <v>12</v>
      </c>
      <c r="K4" s="126">
        <f t="shared" ref="K4:K22" si="7">IF(H4="Grade-B",241,IF(H4="X-42",290,IF(H4="X-52",359,IF(H4="X-60",414,IF(H4="X-70",483,IF(H4="X-80",552,359))))))*1000</f>
        <v>414000</v>
      </c>
      <c r="L4" s="126">
        <f t="shared" ref="L4:L22" si="8">IF(H4="Grade-B",344,IF(H4="X-42",414,IF(H4="X-52",455,IF(H4="X-60",517,IF(H4="X-70",565,IF(H4="X-80",625,K4*1.2/1000))))))*1000</f>
        <v>517000</v>
      </c>
      <c r="M4" s="126">
        <f t="shared" ref="M4:M22" si="9">L4/200000000*(1+I4/(1+J4)*(L4/K4)^J4)*100</f>
        <v>2.5466769467238102</v>
      </c>
      <c r="N4" t="s">
        <v>9</v>
      </c>
      <c r="O4" t="s">
        <v>267</v>
      </c>
      <c r="P4">
        <f t="shared" ref="P4:P22" si="10">IF(O4="medium dense",18,IF(O4="dense",18.5,IF(O4="very dense",19,IF(O4="soft",17.5,IF(O4="medium stiff",18,IF(O4="stiff",18.5,0))))))</f>
        <v>18</v>
      </c>
      <c r="Q4">
        <f t="shared" ref="Q4:Q22" si="11">IF(O4="medium dense",37,IF(O4="dense",40,IF(O4="very dense",43,0)))</f>
        <v>37</v>
      </c>
      <c r="R4">
        <f t="shared" ref="R4:R22" si="12">IF(O4="soft",37.5,IF(O4="medium stiff",75,IF(O4="stiff",125,0)))</f>
        <v>0</v>
      </c>
      <c r="S4">
        <f t="shared" ref="S4:S22" si="13">IF(O4="soft",1.1,IF(O4="medium stiff",0.72,IF(O4="stiff",0.4,0)))</f>
        <v>0</v>
      </c>
      <c r="T4">
        <v>0.9</v>
      </c>
      <c r="U4" s="126">
        <v>2</v>
      </c>
      <c r="V4">
        <f t="shared" ref="V4:V22" si="14">IF(N4="clay",S4*R4,IF(N4="sand",U4*P4*TAN(RADIANS(T4*Q4))))*PI()*B4</f>
        <v>22.6439161924208</v>
      </c>
      <c r="W4">
        <f t="shared" ref="W4:W22" si="15">0.00081*V4+0.00314*LN(M4)</f>
        <v>2.1276810678546657E-2</v>
      </c>
      <c r="X4">
        <f t="shared" ref="X4:X22" si="16">-0.15507+W4*LN(F4)+0.05203*LN(G4)</f>
        <v>0.10176623528675607</v>
      </c>
      <c r="Y4">
        <f t="shared" ref="Y4:Y22" si="17">IF(G4&lt;15,X4+0.75,IF(G4&gt;50,X4+1.5,X4+1))</f>
        <v>1.1017662352867561</v>
      </c>
      <c r="Z4" s="126">
        <v>0.75</v>
      </c>
      <c r="AA4">
        <f t="shared" si="3"/>
        <v>1</v>
      </c>
      <c r="AB4">
        <f t="shared" si="4"/>
        <v>0</v>
      </c>
      <c r="AC4">
        <f t="shared" ref="AC4:AC22" si="18">IF(N4="sand",1,0)</f>
        <v>1</v>
      </c>
      <c r="AD4" s="129">
        <v>-2.307229</v>
      </c>
      <c r="AE4">
        <v>0.5852366</v>
      </c>
      <c r="AF4">
        <v>0.201322</v>
      </c>
      <c r="AG4">
        <v>1.4274935</v>
      </c>
      <c r="AH4">
        <v>-7.1050000000000002E-3</v>
      </c>
      <c r="AI4">
        <v>5.1415999999999996E-3</v>
      </c>
      <c r="AJ4">
        <v>-1.4290590000000001</v>
      </c>
      <c r="AK4">
        <v>4.9200300000000002E-2</v>
      </c>
      <c r="AL4">
        <v>0.14513599999999999</v>
      </c>
      <c r="AM4">
        <v>2.0170299999999999E-2</v>
      </c>
      <c r="AN4">
        <v>-1.032025</v>
      </c>
      <c r="AO4">
        <f t="shared" ref="AO4:AO22" si="19">AA4*(LN(Z4)-X4)*(AG4+AH4*V4+AI4*F4)</f>
        <v>-0.57875859530607965</v>
      </c>
      <c r="AP4">
        <f t="shared" ref="AP4:AP22" si="20">AB4*(LN(Z4)-Y4)*(AJ4+AK4*V4+AL4*G4+AM4*F4+AN4*LN(M4))</f>
        <v>0</v>
      </c>
      <c r="AQ4">
        <f t="shared" ref="AQ4:AQ22" si="21">AO4+AP4</f>
        <v>-0.57875859530607965</v>
      </c>
      <c r="AR4">
        <f t="shared" ref="AR4:AR22" si="22">AD4+AQ4*Z4+AE4*LN(F4)+AC4*AF4*LN(V4)</f>
        <v>8.374965841113402E-2</v>
      </c>
      <c r="AS4" s="142">
        <f t="shared" ref="AS4:AS22" si="23">MIN(EXP(AR4),100)</f>
        <v>1.0873566491419566</v>
      </c>
      <c r="AT4">
        <v>0.72299999999999998</v>
      </c>
      <c r="AU4">
        <v>0.3</v>
      </c>
    </row>
    <row r="5" spans="1:47" ht="15.75" x14ac:dyDescent="0.25">
      <c r="A5" s="126">
        <v>3</v>
      </c>
      <c r="B5">
        <v>0.40639999999999998</v>
      </c>
      <c r="C5">
        <f t="shared" si="0"/>
        <v>406.4</v>
      </c>
      <c r="D5">
        <v>9.5299999999999985E-3</v>
      </c>
      <c r="E5">
        <f t="shared" si="1"/>
        <v>9.5299999999999994</v>
      </c>
      <c r="F5" s="4">
        <f t="shared" si="2"/>
        <v>42.644281217208821</v>
      </c>
      <c r="G5" s="126">
        <v>50</v>
      </c>
      <c r="H5" s="126" t="s">
        <v>119</v>
      </c>
      <c r="I5" s="126">
        <f t="shared" si="5"/>
        <v>14</v>
      </c>
      <c r="J5" s="126">
        <f t="shared" si="6"/>
        <v>15</v>
      </c>
      <c r="K5" s="126">
        <f t="shared" si="7"/>
        <v>483000</v>
      </c>
      <c r="L5" s="126">
        <f t="shared" si="8"/>
        <v>565000</v>
      </c>
      <c r="M5" s="126">
        <f t="shared" si="9"/>
        <v>2.8799444073326219</v>
      </c>
      <c r="N5" t="s">
        <v>9</v>
      </c>
      <c r="O5" t="s">
        <v>267</v>
      </c>
      <c r="P5">
        <f t="shared" si="10"/>
        <v>18</v>
      </c>
      <c r="Q5">
        <f t="shared" si="11"/>
        <v>37</v>
      </c>
      <c r="R5">
        <f t="shared" si="12"/>
        <v>0</v>
      </c>
      <c r="S5">
        <f t="shared" si="13"/>
        <v>0</v>
      </c>
      <c r="T5">
        <v>0.9</v>
      </c>
      <c r="U5" s="126">
        <v>1</v>
      </c>
      <c r="V5">
        <f t="shared" si="14"/>
        <v>15.095944128280532</v>
      </c>
      <c r="W5">
        <f t="shared" si="15"/>
        <v>1.5549115655496644E-2</v>
      </c>
      <c r="X5">
        <f t="shared" si="16"/>
        <v>0.10682672704917365</v>
      </c>
      <c r="Y5">
        <f t="shared" si="17"/>
        <v>1.1068267270491736</v>
      </c>
      <c r="Z5" s="126">
        <v>0.75</v>
      </c>
      <c r="AA5">
        <f t="shared" si="3"/>
        <v>1</v>
      </c>
      <c r="AB5">
        <f t="shared" si="4"/>
        <v>0</v>
      </c>
      <c r="AC5">
        <f t="shared" si="18"/>
        <v>1</v>
      </c>
      <c r="AD5" s="129">
        <v>-2.307229</v>
      </c>
      <c r="AE5">
        <v>0.5852366</v>
      </c>
      <c r="AF5">
        <v>0.201322</v>
      </c>
      <c r="AG5">
        <v>1.4274935</v>
      </c>
      <c r="AH5">
        <v>-7.1050000000000002E-3</v>
      </c>
      <c r="AI5">
        <v>5.1415999999999996E-3</v>
      </c>
      <c r="AJ5">
        <v>-1.4290590000000001</v>
      </c>
      <c r="AK5">
        <v>4.9200300000000002E-2</v>
      </c>
      <c r="AL5">
        <v>0.14513599999999999</v>
      </c>
      <c r="AM5">
        <v>2.0170299999999999E-2</v>
      </c>
      <c r="AN5">
        <v>-1.032025</v>
      </c>
      <c r="AO5">
        <f t="shared" si="19"/>
        <v>-0.60734497651924468</v>
      </c>
      <c r="AP5">
        <f t="shared" si="20"/>
        <v>0</v>
      </c>
      <c r="AQ5">
        <f t="shared" si="21"/>
        <v>-0.60734497651924468</v>
      </c>
      <c r="AR5">
        <f t="shared" si="22"/>
        <v>-1.9933595677024019E-2</v>
      </c>
      <c r="AS5" s="142">
        <f t="shared" si="23"/>
        <v>0.9802637648971958</v>
      </c>
      <c r="AT5">
        <v>0.72299999999999998</v>
      </c>
      <c r="AU5">
        <v>0.3</v>
      </c>
    </row>
    <row r="6" spans="1:47" ht="15.75" x14ac:dyDescent="0.25">
      <c r="A6" s="126">
        <v>4</v>
      </c>
      <c r="B6">
        <v>0.50800000000000001</v>
      </c>
      <c r="C6">
        <f t="shared" si="0"/>
        <v>508</v>
      </c>
      <c r="D6">
        <v>1.1130000000000001E-2</v>
      </c>
      <c r="E6">
        <f t="shared" si="1"/>
        <v>11.13</v>
      </c>
      <c r="F6" s="4">
        <f t="shared" si="2"/>
        <v>45.642407906558844</v>
      </c>
      <c r="G6" s="126">
        <v>100</v>
      </c>
      <c r="H6" s="126" t="s">
        <v>120</v>
      </c>
      <c r="I6" s="126">
        <f t="shared" si="5"/>
        <v>15</v>
      </c>
      <c r="J6" s="126">
        <f t="shared" si="6"/>
        <v>20</v>
      </c>
      <c r="K6" s="126">
        <f t="shared" si="7"/>
        <v>552000</v>
      </c>
      <c r="L6" s="126">
        <f t="shared" si="8"/>
        <v>625000</v>
      </c>
      <c r="M6" s="126">
        <f t="shared" si="9"/>
        <v>2.9888368774026359</v>
      </c>
      <c r="N6" t="s">
        <v>9</v>
      </c>
      <c r="O6" t="s">
        <v>267</v>
      </c>
      <c r="P6">
        <f t="shared" si="10"/>
        <v>18</v>
      </c>
      <c r="Q6">
        <f t="shared" si="11"/>
        <v>37</v>
      </c>
      <c r="R6">
        <f t="shared" si="12"/>
        <v>0</v>
      </c>
      <c r="S6">
        <f t="shared" si="13"/>
        <v>0</v>
      </c>
      <c r="T6">
        <v>0.9</v>
      </c>
      <c r="U6" s="126">
        <v>2</v>
      </c>
      <c r="V6">
        <f t="shared" si="14"/>
        <v>37.739860320701332</v>
      </c>
      <c r="W6">
        <f t="shared" si="15"/>
        <v>3.4007223585342139E-2</v>
      </c>
      <c r="X6">
        <f t="shared" si="16"/>
        <v>0.21447307251904243</v>
      </c>
      <c r="Y6">
        <f t="shared" si="17"/>
        <v>1.7144730725190425</v>
      </c>
      <c r="Z6" s="126">
        <v>0.75</v>
      </c>
      <c r="AA6">
        <f t="shared" si="3"/>
        <v>1</v>
      </c>
      <c r="AB6">
        <f t="shared" si="4"/>
        <v>0</v>
      </c>
      <c r="AC6">
        <f t="shared" si="18"/>
        <v>1</v>
      </c>
      <c r="AD6" s="129">
        <v>-2.307229</v>
      </c>
      <c r="AE6">
        <v>0.5852366</v>
      </c>
      <c r="AF6">
        <v>0.201322</v>
      </c>
      <c r="AG6">
        <v>1.4274935</v>
      </c>
      <c r="AH6">
        <v>-7.1050000000000002E-3</v>
      </c>
      <c r="AI6">
        <v>5.1415999999999996E-3</v>
      </c>
      <c r="AJ6">
        <v>-1.4290590000000001</v>
      </c>
      <c r="AK6">
        <v>4.9200300000000002E-2</v>
      </c>
      <c r="AL6">
        <v>0.14513599999999999</v>
      </c>
      <c r="AM6">
        <v>2.0170299999999999E-2</v>
      </c>
      <c r="AN6">
        <v>-1.032025</v>
      </c>
      <c r="AO6">
        <f t="shared" si="19"/>
        <v>-0.70001772829745168</v>
      </c>
      <c r="AP6">
        <f t="shared" si="20"/>
        <v>0</v>
      </c>
      <c r="AQ6">
        <f t="shared" si="21"/>
        <v>-0.70001772829745168</v>
      </c>
      <c r="AR6">
        <f t="shared" si="22"/>
        <v>0.13479469944695044</v>
      </c>
      <c r="AS6" s="142">
        <f t="shared" si="23"/>
        <v>1.1443018344350007</v>
      </c>
      <c r="AT6">
        <v>0.72299999999999998</v>
      </c>
      <c r="AU6">
        <v>0.3</v>
      </c>
    </row>
    <row r="7" spans="1:47" ht="15.75" x14ac:dyDescent="0.25">
      <c r="A7" s="126">
        <v>5</v>
      </c>
      <c r="B7">
        <v>0.60960000000000003</v>
      </c>
      <c r="C7">
        <f t="shared" si="0"/>
        <v>609.6</v>
      </c>
      <c r="D7">
        <v>9.5299999999999985E-3</v>
      </c>
      <c r="E7">
        <f t="shared" si="1"/>
        <v>9.5299999999999994</v>
      </c>
      <c r="F7" s="4">
        <f t="shared" si="2"/>
        <v>63.966421825813235</v>
      </c>
      <c r="G7" s="126">
        <v>15</v>
      </c>
      <c r="H7" s="126" t="s">
        <v>117</v>
      </c>
      <c r="I7" s="126">
        <f t="shared" si="5"/>
        <v>8</v>
      </c>
      <c r="J7" s="126">
        <f t="shared" si="6"/>
        <v>10</v>
      </c>
      <c r="K7" s="126">
        <f t="shared" si="7"/>
        <v>359000</v>
      </c>
      <c r="L7" s="126">
        <f t="shared" si="8"/>
        <v>455000</v>
      </c>
      <c r="M7" s="126">
        <f t="shared" si="9"/>
        <v>1.9969902892117808</v>
      </c>
      <c r="N7" t="s">
        <v>9</v>
      </c>
      <c r="O7" t="s">
        <v>268</v>
      </c>
      <c r="P7">
        <f t="shared" si="10"/>
        <v>18.5</v>
      </c>
      <c r="Q7">
        <f t="shared" si="11"/>
        <v>40</v>
      </c>
      <c r="R7">
        <f t="shared" si="12"/>
        <v>0</v>
      </c>
      <c r="S7">
        <f t="shared" si="13"/>
        <v>0</v>
      </c>
      <c r="T7">
        <v>0.9</v>
      </c>
      <c r="U7" s="126">
        <v>1</v>
      </c>
      <c r="V7">
        <f t="shared" si="14"/>
        <v>25.741129539100392</v>
      </c>
      <c r="W7">
        <f t="shared" si="15"/>
        <v>2.3022068268715178E-2</v>
      </c>
      <c r="X7">
        <f t="shared" si="16"/>
        <v>8.1563860325678486E-2</v>
      </c>
      <c r="Y7">
        <f t="shared" si="17"/>
        <v>1.0815638603256785</v>
      </c>
      <c r="Z7" s="126">
        <v>2.75</v>
      </c>
      <c r="AA7">
        <f t="shared" si="3"/>
        <v>0</v>
      </c>
      <c r="AB7">
        <f t="shared" si="4"/>
        <v>0</v>
      </c>
      <c r="AC7">
        <f t="shared" si="18"/>
        <v>1</v>
      </c>
      <c r="AD7" s="129">
        <v>-2.307229</v>
      </c>
      <c r="AE7">
        <v>0.5852366</v>
      </c>
      <c r="AF7">
        <v>0.201322</v>
      </c>
      <c r="AG7">
        <v>1.4274935</v>
      </c>
      <c r="AH7">
        <v>-7.1050000000000002E-3</v>
      </c>
      <c r="AI7">
        <v>5.1415999999999996E-3</v>
      </c>
      <c r="AJ7">
        <v>-1.4290590000000001</v>
      </c>
      <c r="AK7">
        <v>4.9200300000000002E-2</v>
      </c>
      <c r="AL7">
        <v>0.14513599999999999</v>
      </c>
      <c r="AM7">
        <v>2.0170299999999999E-2</v>
      </c>
      <c r="AN7">
        <v>-1.032025</v>
      </c>
      <c r="AO7">
        <f t="shared" si="19"/>
        <v>0</v>
      </c>
      <c r="AP7">
        <f t="shared" si="20"/>
        <v>0</v>
      </c>
      <c r="AQ7">
        <f t="shared" si="21"/>
        <v>0</v>
      </c>
      <c r="AR7">
        <f t="shared" si="22"/>
        <v>0.78030645715329561</v>
      </c>
      <c r="AS7" s="142">
        <f t="shared" si="23"/>
        <v>2.1821408957267043</v>
      </c>
      <c r="AT7">
        <v>0.72299999999999998</v>
      </c>
      <c r="AU7">
        <v>0.3</v>
      </c>
    </row>
    <row r="8" spans="1:47" ht="15.75" x14ac:dyDescent="0.25">
      <c r="A8" s="126">
        <v>6</v>
      </c>
      <c r="B8">
        <v>0.76200000000000001</v>
      </c>
      <c r="C8">
        <f t="shared" si="0"/>
        <v>762</v>
      </c>
      <c r="D8">
        <v>1.2699999999999999E-2</v>
      </c>
      <c r="E8">
        <f t="shared" si="1"/>
        <v>12.7</v>
      </c>
      <c r="F8" s="4">
        <f t="shared" si="2"/>
        <v>60</v>
      </c>
      <c r="G8" s="126">
        <v>30</v>
      </c>
      <c r="H8" s="126" t="s">
        <v>118</v>
      </c>
      <c r="I8" s="126">
        <f t="shared" si="5"/>
        <v>8</v>
      </c>
      <c r="J8" s="126">
        <f t="shared" si="6"/>
        <v>12</v>
      </c>
      <c r="K8" s="126">
        <f t="shared" si="7"/>
        <v>414000</v>
      </c>
      <c r="L8" s="126">
        <f t="shared" si="8"/>
        <v>517000</v>
      </c>
      <c r="M8" s="126">
        <f t="shared" si="9"/>
        <v>2.5466769467238102</v>
      </c>
      <c r="N8" t="s">
        <v>9</v>
      </c>
      <c r="O8" t="s">
        <v>268</v>
      </c>
      <c r="P8">
        <f t="shared" si="10"/>
        <v>18.5</v>
      </c>
      <c r="Q8">
        <f t="shared" si="11"/>
        <v>40</v>
      </c>
      <c r="R8">
        <f t="shared" si="12"/>
        <v>0</v>
      </c>
      <c r="S8">
        <f t="shared" si="13"/>
        <v>0</v>
      </c>
      <c r="T8">
        <v>0.9</v>
      </c>
      <c r="U8" s="126">
        <v>2</v>
      </c>
      <c r="V8">
        <f t="shared" si="14"/>
        <v>64.352823847750969</v>
      </c>
      <c r="W8">
        <f t="shared" si="15"/>
        <v>5.5061025879364095E-2</v>
      </c>
      <c r="X8">
        <f t="shared" si="16"/>
        <v>0.24733311166742666</v>
      </c>
      <c r="Y8">
        <f t="shared" si="17"/>
        <v>1.2473331116674267</v>
      </c>
      <c r="Z8" s="126">
        <v>3.5</v>
      </c>
      <c r="AA8">
        <f t="shared" si="3"/>
        <v>0</v>
      </c>
      <c r="AB8">
        <f t="shared" si="4"/>
        <v>1</v>
      </c>
      <c r="AC8">
        <f t="shared" si="18"/>
        <v>1</v>
      </c>
      <c r="AD8" s="129">
        <v>-2.307229</v>
      </c>
      <c r="AE8">
        <v>0.5852366</v>
      </c>
      <c r="AF8">
        <v>0.201322</v>
      </c>
      <c r="AG8">
        <v>1.4274935</v>
      </c>
      <c r="AH8">
        <v>-7.1050000000000002E-3</v>
      </c>
      <c r="AI8">
        <v>5.1415999999999996E-3</v>
      </c>
      <c r="AJ8">
        <v>-1.4290590000000001</v>
      </c>
      <c r="AK8">
        <v>4.9200300000000002E-2</v>
      </c>
      <c r="AL8">
        <v>0.14513599999999999</v>
      </c>
      <c r="AM8">
        <v>2.0170299999999999E-2</v>
      </c>
      <c r="AN8">
        <v>-1.032025</v>
      </c>
      <c r="AO8">
        <f t="shared" si="19"/>
        <v>0</v>
      </c>
      <c r="AP8">
        <f t="shared" si="20"/>
        <v>3.440732629929924E-2</v>
      </c>
      <c r="AQ8">
        <f t="shared" si="21"/>
        <v>3.440732629929924E-2</v>
      </c>
      <c r="AR8">
        <f t="shared" si="22"/>
        <v>1.0477384074527265</v>
      </c>
      <c r="AS8" s="142">
        <f t="shared" si="23"/>
        <v>2.8511955782437828</v>
      </c>
      <c r="AT8">
        <v>0.72299999999999998</v>
      </c>
      <c r="AU8">
        <v>0.3</v>
      </c>
    </row>
    <row r="9" spans="1:47" ht="15.75" x14ac:dyDescent="0.25">
      <c r="A9" s="126">
        <v>7</v>
      </c>
      <c r="B9">
        <v>0.86360000000000003</v>
      </c>
      <c r="C9">
        <f t="shared" si="0"/>
        <v>863.6</v>
      </c>
      <c r="D9">
        <v>1.1130000000000001E-2</v>
      </c>
      <c r="E9">
        <f t="shared" si="1"/>
        <v>11.13</v>
      </c>
      <c r="F9" s="4">
        <f t="shared" si="2"/>
        <v>77.592093441150041</v>
      </c>
      <c r="G9" s="126">
        <v>50</v>
      </c>
      <c r="H9" s="126" t="s">
        <v>119</v>
      </c>
      <c r="I9" s="126">
        <f t="shared" si="5"/>
        <v>14</v>
      </c>
      <c r="J9" s="126">
        <f t="shared" si="6"/>
        <v>15</v>
      </c>
      <c r="K9" s="126">
        <f t="shared" si="7"/>
        <v>483000</v>
      </c>
      <c r="L9" s="126">
        <f t="shared" si="8"/>
        <v>565000</v>
      </c>
      <c r="M9" s="126">
        <f t="shared" si="9"/>
        <v>2.8799444073326219</v>
      </c>
      <c r="N9" t="s">
        <v>9</v>
      </c>
      <c r="O9" t="s">
        <v>268</v>
      </c>
      <c r="P9">
        <f t="shared" si="10"/>
        <v>18.5</v>
      </c>
      <c r="Q9">
        <f t="shared" si="11"/>
        <v>40</v>
      </c>
      <c r="R9">
        <f t="shared" si="12"/>
        <v>0</v>
      </c>
      <c r="S9">
        <f t="shared" si="13"/>
        <v>0</v>
      </c>
      <c r="T9">
        <v>0.9</v>
      </c>
      <c r="U9" s="126">
        <v>1</v>
      </c>
      <c r="V9">
        <f t="shared" si="14"/>
        <v>36.46660018039222</v>
      </c>
      <c r="W9">
        <f t="shared" si="15"/>
        <v>3.2859347057707114E-2</v>
      </c>
      <c r="X9">
        <f t="shared" si="16"/>
        <v>0.19145887314252977</v>
      </c>
      <c r="Y9">
        <f t="shared" si="17"/>
        <v>1.1914588731425297</v>
      </c>
      <c r="Z9" s="126">
        <v>1.5</v>
      </c>
      <c r="AA9">
        <f t="shared" si="3"/>
        <v>0</v>
      </c>
      <c r="AB9">
        <f t="shared" si="4"/>
        <v>0</v>
      </c>
      <c r="AC9">
        <f t="shared" si="18"/>
        <v>1</v>
      </c>
      <c r="AD9" s="129">
        <v>-2.307229</v>
      </c>
      <c r="AE9">
        <v>0.5852366</v>
      </c>
      <c r="AF9">
        <v>0.201322</v>
      </c>
      <c r="AG9">
        <v>1.4274935</v>
      </c>
      <c r="AH9">
        <v>-7.1050000000000002E-3</v>
      </c>
      <c r="AI9">
        <v>5.1415999999999996E-3</v>
      </c>
      <c r="AJ9">
        <v>-1.4290590000000001</v>
      </c>
      <c r="AK9">
        <v>4.9200300000000002E-2</v>
      </c>
      <c r="AL9">
        <v>0.14513599999999999</v>
      </c>
      <c r="AM9">
        <v>2.0170299999999999E-2</v>
      </c>
      <c r="AN9">
        <v>-1.032025</v>
      </c>
      <c r="AO9">
        <f t="shared" si="19"/>
        <v>0</v>
      </c>
      <c r="AP9">
        <f t="shared" si="20"/>
        <v>0</v>
      </c>
      <c r="AQ9">
        <f t="shared" si="21"/>
        <v>0</v>
      </c>
      <c r="AR9">
        <f t="shared" si="22"/>
        <v>0.963441685919739</v>
      </c>
      <c r="AS9" s="142">
        <f t="shared" si="23"/>
        <v>2.6207005981990892</v>
      </c>
      <c r="AT9">
        <v>0.72299999999999998</v>
      </c>
      <c r="AU9">
        <v>0.3</v>
      </c>
    </row>
    <row r="10" spans="1:47" ht="15.75" x14ac:dyDescent="0.25">
      <c r="A10" s="126">
        <v>8</v>
      </c>
      <c r="B10">
        <v>1.0668</v>
      </c>
      <c r="C10">
        <f t="shared" si="0"/>
        <v>1066.8</v>
      </c>
      <c r="D10">
        <v>1.2699999999999999E-2</v>
      </c>
      <c r="E10">
        <f t="shared" si="1"/>
        <v>12.7</v>
      </c>
      <c r="F10" s="4">
        <f t="shared" si="2"/>
        <v>84</v>
      </c>
      <c r="G10" s="126">
        <v>100</v>
      </c>
      <c r="H10" s="126" t="s">
        <v>120</v>
      </c>
      <c r="I10" s="126">
        <f t="shared" si="5"/>
        <v>15</v>
      </c>
      <c r="J10" s="126">
        <f t="shared" si="6"/>
        <v>20</v>
      </c>
      <c r="K10" s="126">
        <f t="shared" si="7"/>
        <v>552000</v>
      </c>
      <c r="L10" s="126">
        <f t="shared" si="8"/>
        <v>625000</v>
      </c>
      <c r="M10" s="126">
        <f t="shared" si="9"/>
        <v>2.9888368774026359</v>
      </c>
      <c r="N10" t="s">
        <v>9</v>
      </c>
      <c r="O10" t="s">
        <v>270</v>
      </c>
      <c r="P10">
        <f t="shared" si="10"/>
        <v>19</v>
      </c>
      <c r="Q10">
        <f t="shared" si="11"/>
        <v>43</v>
      </c>
      <c r="R10">
        <f t="shared" si="12"/>
        <v>0</v>
      </c>
      <c r="S10">
        <f t="shared" si="13"/>
        <v>0</v>
      </c>
      <c r="T10">
        <v>0.9</v>
      </c>
      <c r="U10" s="126">
        <v>2</v>
      </c>
      <c r="V10">
        <f t="shared" si="14"/>
        <v>102.03070645435936</v>
      </c>
      <c r="W10">
        <f t="shared" si="15"/>
        <v>8.6082808953605136E-2</v>
      </c>
      <c r="X10">
        <f t="shared" si="16"/>
        <v>0.46595416078021362</v>
      </c>
      <c r="Y10">
        <f t="shared" si="17"/>
        <v>1.9659541607802136</v>
      </c>
      <c r="Z10" s="126">
        <v>1.5</v>
      </c>
      <c r="AA10">
        <f t="shared" si="3"/>
        <v>1</v>
      </c>
      <c r="AB10">
        <f t="shared" si="4"/>
        <v>0</v>
      </c>
      <c r="AC10">
        <f t="shared" si="18"/>
        <v>1</v>
      </c>
      <c r="AD10" s="129">
        <v>-2.307229</v>
      </c>
      <c r="AE10">
        <v>0.5852366</v>
      </c>
      <c r="AF10">
        <v>0.201322</v>
      </c>
      <c r="AG10">
        <v>1.4274935</v>
      </c>
      <c r="AH10">
        <v>-7.1050000000000002E-3</v>
      </c>
      <c r="AI10">
        <v>5.1415999999999996E-3</v>
      </c>
      <c r="AJ10">
        <v>-1.4290590000000001</v>
      </c>
      <c r="AK10">
        <v>4.9200300000000002E-2</v>
      </c>
      <c r="AL10">
        <v>0.14513599999999999</v>
      </c>
      <c r="AM10">
        <v>2.0170299999999999E-2</v>
      </c>
      <c r="AN10">
        <v>-1.032025</v>
      </c>
      <c r="AO10">
        <f t="shared" si="19"/>
        <v>-6.8622394401109219E-2</v>
      </c>
      <c r="AP10">
        <f t="shared" si="20"/>
        <v>0</v>
      </c>
      <c r="AQ10">
        <f t="shared" si="21"/>
        <v>-6.8622394401109219E-2</v>
      </c>
      <c r="AR10">
        <f t="shared" si="22"/>
        <v>1.1140829412852633</v>
      </c>
      <c r="AS10" s="142">
        <f t="shared" si="23"/>
        <v>3.0467728280542432</v>
      </c>
      <c r="AT10">
        <v>0.72299999999999998</v>
      </c>
      <c r="AU10">
        <v>0.3</v>
      </c>
    </row>
    <row r="11" spans="1:47" ht="15.75" x14ac:dyDescent="0.25">
      <c r="A11" s="126">
        <v>9</v>
      </c>
      <c r="B11">
        <v>0.60960000000000003</v>
      </c>
      <c r="C11">
        <f t="shared" si="0"/>
        <v>609.6</v>
      </c>
      <c r="D11">
        <v>1.1130000000000001E-2</v>
      </c>
      <c r="E11">
        <f t="shared" si="1"/>
        <v>11.13</v>
      </c>
      <c r="F11" s="4">
        <f t="shared" si="2"/>
        <v>54.770889487870619</v>
      </c>
      <c r="G11" s="126">
        <v>150</v>
      </c>
      <c r="H11" s="126" t="s">
        <v>187</v>
      </c>
      <c r="I11" s="126">
        <f t="shared" si="5"/>
        <v>3</v>
      </c>
      <c r="J11" s="126">
        <f t="shared" si="6"/>
        <v>9</v>
      </c>
      <c r="K11" s="126">
        <f t="shared" si="7"/>
        <v>290000</v>
      </c>
      <c r="L11" s="126">
        <f t="shared" si="8"/>
        <v>414000</v>
      </c>
      <c r="M11" s="126">
        <f t="shared" si="9"/>
        <v>1.7363704307629526</v>
      </c>
      <c r="N11" t="s">
        <v>9</v>
      </c>
      <c r="O11" t="s">
        <v>270</v>
      </c>
      <c r="P11">
        <f t="shared" si="10"/>
        <v>19</v>
      </c>
      <c r="Q11">
        <f t="shared" si="11"/>
        <v>43</v>
      </c>
      <c r="R11">
        <f t="shared" si="12"/>
        <v>0</v>
      </c>
      <c r="S11">
        <f t="shared" si="13"/>
        <v>0</v>
      </c>
      <c r="T11">
        <v>0.9</v>
      </c>
      <c r="U11" s="126">
        <v>1</v>
      </c>
      <c r="V11">
        <f t="shared" si="14"/>
        <v>29.151630415531248</v>
      </c>
      <c r="W11">
        <f t="shared" si="15"/>
        <v>2.5345463138869703E-2</v>
      </c>
      <c r="X11">
        <f t="shared" si="16"/>
        <v>0.20709526914689702</v>
      </c>
      <c r="Y11">
        <f t="shared" si="17"/>
        <v>1.707095269146897</v>
      </c>
      <c r="Z11" s="126">
        <v>1.5</v>
      </c>
      <c r="AA11">
        <f t="shared" si="3"/>
        <v>0</v>
      </c>
      <c r="AB11">
        <f t="shared" si="4"/>
        <v>0</v>
      </c>
      <c r="AC11">
        <f t="shared" si="18"/>
        <v>1</v>
      </c>
      <c r="AD11" s="129">
        <v>-2.307229</v>
      </c>
      <c r="AE11">
        <v>0.5852366</v>
      </c>
      <c r="AF11">
        <v>0.201322</v>
      </c>
      <c r="AG11">
        <v>1.4274935</v>
      </c>
      <c r="AH11">
        <v>-7.1050000000000002E-3</v>
      </c>
      <c r="AI11">
        <v>5.1415999999999996E-3</v>
      </c>
      <c r="AJ11">
        <v>-1.4290590000000001</v>
      </c>
      <c r="AK11">
        <v>4.9200300000000002E-2</v>
      </c>
      <c r="AL11">
        <v>0.14513599999999999</v>
      </c>
      <c r="AM11">
        <v>2.0170299999999999E-2</v>
      </c>
      <c r="AN11">
        <v>-1.032025</v>
      </c>
      <c r="AO11">
        <f t="shared" si="19"/>
        <v>0</v>
      </c>
      <c r="AP11">
        <f t="shared" si="20"/>
        <v>0</v>
      </c>
      <c r="AQ11">
        <f t="shared" si="21"/>
        <v>0</v>
      </c>
      <c r="AR11">
        <f t="shared" si="22"/>
        <v>0.71452669621160059</v>
      </c>
      <c r="AS11" s="142">
        <f t="shared" si="23"/>
        <v>2.0432193898872777</v>
      </c>
      <c r="AT11">
        <v>0.72299999999999998</v>
      </c>
      <c r="AU11">
        <v>0.3</v>
      </c>
    </row>
    <row r="12" spans="1:47" ht="15.75" x14ac:dyDescent="0.25">
      <c r="A12" s="126">
        <v>10</v>
      </c>
      <c r="B12">
        <v>0.60960000000000003</v>
      </c>
      <c r="C12">
        <f t="shared" si="0"/>
        <v>609.6</v>
      </c>
      <c r="D12">
        <v>1.1130000000000001E-2</v>
      </c>
      <c r="E12">
        <f t="shared" si="1"/>
        <v>11.13</v>
      </c>
      <c r="F12" s="4">
        <f t="shared" si="2"/>
        <v>54.770889487870619</v>
      </c>
      <c r="G12" s="126">
        <v>200</v>
      </c>
      <c r="H12" s="126" t="s">
        <v>186</v>
      </c>
      <c r="I12" s="126">
        <f t="shared" si="5"/>
        <v>3</v>
      </c>
      <c r="J12" s="126">
        <f t="shared" si="6"/>
        <v>8</v>
      </c>
      <c r="K12" s="126">
        <f t="shared" si="7"/>
        <v>241000</v>
      </c>
      <c r="L12" s="126">
        <f t="shared" si="8"/>
        <v>344000</v>
      </c>
      <c r="M12" s="126">
        <f t="shared" si="9"/>
        <v>1.1599577949833839</v>
      </c>
      <c r="N12" t="s">
        <v>9</v>
      </c>
      <c r="O12" t="s">
        <v>270</v>
      </c>
      <c r="P12">
        <f t="shared" si="10"/>
        <v>19</v>
      </c>
      <c r="Q12">
        <f t="shared" si="11"/>
        <v>43</v>
      </c>
      <c r="R12">
        <f t="shared" si="12"/>
        <v>0</v>
      </c>
      <c r="S12">
        <f t="shared" si="13"/>
        <v>0</v>
      </c>
      <c r="T12">
        <v>0.9</v>
      </c>
      <c r="U12" s="126">
        <v>2</v>
      </c>
      <c r="V12">
        <f t="shared" si="14"/>
        <v>58.303260831062495</v>
      </c>
      <c r="W12">
        <f t="shared" si="15"/>
        <v>4.7691565842539682E-2</v>
      </c>
      <c r="X12">
        <f t="shared" si="16"/>
        <v>0.31151836593386051</v>
      </c>
      <c r="Y12">
        <f t="shared" si="17"/>
        <v>1.8115183659338605</v>
      </c>
      <c r="Z12" s="126">
        <v>2.75</v>
      </c>
      <c r="AA12">
        <f t="shared" si="3"/>
        <v>0</v>
      </c>
      <c r="AB12">
        <f t="shared" si="4"/>
        <v>0</v>
      </c>
      <c r="AC12">
        <f t="shared" si="18"/>
        <v>1</v>
      </c>
      <c r="AD12" s="129">
        <v>-2.307229</v>
      </c>
      <c r="AE12">
        <v>0.5852366</v>
      </c>
      <c r="AF12">
        <v>0.201322</v>
      </c>
      <c r="AG12">
        <v>1.4274935</v>
      </c>
      <c r="AH12">
        <v>-7.1050000000000002E-3</v>
      </c>
      <c r="AI12">
        <v>5.1415999999999996E-3</v>
      </c>
      <c r="AJ12">
        <v>-1.4290590000000001</v>
      </c>
      <c r="AK12">
        <v>4.9200300000000002E-2</v>
      </c>
      <c r="AL12">
        <v>0.14513599999999999</v>
      </c>
      <c r="AM12">
        <v>2.0170299999999999E-2</v>
      </c>
      <c r="AN12">
        <v>-1.032025</v>
      </c>
      <c r="AO12">
        <f t="shared" si="19"/>
        <v>0</v>
      </c>
      <c r="AP12">
        <f t="shared" si="20"/>
        <v>0</v>
      </c>
      <c r="AQ12">
        <f t="shared" si="21"/>
        <v>0</v>
      </c>
      <c r="AR12">
        <f t="shared" si="22"/>
        <v>0.85407247289628985</v>
      </c>
      <c r="AS12" s="142">
        <f t="shared" si="23"/>
        <v>2.3491944282446702</v>
      </c>
      <c r="AT12">
        <v>0.72299999999999998</v>
      </c>
      <c r="AU12">
        <v>0.3</v>
      </c>
    </row>
    <row r="13" spans="1:47" ht="15.75" x14ac:dyDescent="0.25">
      <c r="A13" s="126">
        <v>11</v>
      </c>
      <c r="B13">
        <v>0.20319999999999999</v>
      </c>
      <c r="C13">
        <f t="shared" si="0"/>
        <v>203.2</v>
      </c>
      <c r="D13">
        <v>5.5599999999999998E-3</v>
      </c>
      <c r="E13">
        <f t="shared" si="1"/>
        <v>5.56</v>
      </c>
      <c r="F13" s="4">
        <f t="shared" si="2"/>
        <v>36.546762589928058</v>
      </c>
      <c r="G13" s="126">
        <v>15</v>
      </c>
      <c r="H13" s="126" t="s">
        <v>117</v>
      </c>
      <c r="I13" s="126">
        <f t="shared" si="5"/>
        <v>8</v>
      </c>
      <c r="J13" s="126">
        <f t="shared" si="6"/>
        <v>10</v>
      </c>
      <c r="K13" s="126">
        <f t="shared" si="7"/>
        <v>359000</v>
      </c>
      <c r="L13" s="126">
        <f t="shared" si="8"/>
        <v>455000</v>
      </c>
      <c r="M13" s="126">
        <f t="shared" si="9"/>
        <v>1.9969902892117808</v>
      </c>
      <c r="N13" t="s">
        <v>10</v>
      </c>
      <c r="O13" t="s">
        <v>265</v>
      </c>
      <c r="P13">
        <f t="shared" si="10"/>
        <v>17.5</v>
      </c>
      <c r="Q13">
        <f t="shared" si="11"/>
        <v>0</v>
      </c>
      <c r="R13">
        <f t="shared" si="12"/>
        <v>37.5</v>
      </c>
      <c r="S13">
        <f t="shared" si="13"/>
        <v>1.1000000000000001</v>
      </c>
      <c r="T13">
        <v>0.9</v>
      </c>
      <c r="U13" s="126">
        <v>0</v>
      </c>
      <c r="V13">
        <f t="shared" si="14"/>
        <v>26.332829622389642</v>
      </c>
      <c r="W13">
        <f t="shared" si="15"/>
        <v>2.350134533617947E-2</v>
      </c>
      <c r="X13">
        <f t="shared" si="16"/>
        <v>7.0401619555061065E-2</v>
      </c>
      <c r="Y13">
        <f t="shared" si="17"/>
        <v>1.070401619555061</v>
      </c>
      <c r="Z13" s="126">
        <v>0.75</v>
      </c>
      <c r="AA13">
        <f t="shared" si="3"/>
        <v>1</v>
      </c>
      <c r="AB13">
        <f t="shared" si="4"/>
        <v>0</v>
      </c>
      <c r="AC13">
        <f t="shared" si="18"/>
        <v>0</v>
      </c>
      <c r="AD13" s="129">
        <v>-2.307229</v>
      </c>
      <c r="AE13">
        <v>0.5852366</v>
      </c>
      <c r="AF13">
        <v>0.201322</v>
      </c>
      <c r="AG13">
        <v>1.4274935</v>
      </c>
      <c r="AH13">
        <v>-7.1050000000000002E-3</v>
      </c>
      <c r="AI13">
        <v>5.1415999999999996E-3</v>
      </c>
      <c r="AJ13">
        <v>-1.4290590000000001</v>
      </c>
      <c r="AK13">
        <v>4.9200300000000002E-2</v>
      </c>
      <c r="AL13">
        <v>0.14513599999999999</v>
      </c>
      <c r="AM13">
        <v>2.0170299999999999E-2</v>
      </c>
      <c r="AN13">
        <v>-1.032025</v>
      </c>
      <c r="AO13">
        <f t="shared" si="19"/>
        <v>-0.51145365159113909</v>
      </c>
      <c r="AP13">
        <f t="shared" si="20"/>
        <v>0</v>
      </c>
      <c r="AQ13">
        <f t="shared" si="21"/>
        <v>-0.51145365159113909</v>
      </c>
      <c r="AR13">
        <f t="shared" si="22"/>
        <v>-0.58479113632895929</v>
      </c>
      <c r="AS13" s="142">
        <f t="shared" si="23"/>
        <v>0.55722223314007857</v>
      </c>
      <c r="AT13">
        <v>0.72299999999999998</v>
      </c>
      <c r="AU13">
        <v>0.3</v>
      </c>
    </row>
    <row r="14" spans="1:47" ht="15.75" x14ac:dyDescent="0.25">
      <c r="A14" s="126">
        <v>12</v>
      </c>
      <c r="B14">
        <v>0.30480000000000002</v>
      </c>
      <c r="C14">
        <f t="shared" si="0"/>
        <v>304.8</v>
      </c>
      <c r="D14">
        <v>7.1399999999999996E-3</v>
      </c>
      <c r="E14">
        <f t="shared" si="1"/>
        <v>7.14</v>
      </c>
      <c r="F14" s="4">
        <f t="shared" si="2"/>
        <v>42.689075630252105</v>
      </c>
      <c r="G14" s="126">
        <v>30</v>
      </c>
      <c r="H14" s="126" t="s">
        <v>118</v>
      </c>
      <c r="I14" s="126">
        <f t="shared" si="5"/>
        <v>8</v>
      </c>
      <c r="J14" s="126">
        <f t="shared" si="6"/>
        <v>12</v>
      </c>
      <c r="K14" s="126">
        <f t="shared" si="7"/>
        <v>414000</v>
      </c>
      <c r="L14" s="126">
        <f t="shared" si="8"/>
        <v>517000</v>
      </c>
      <c r="M14" s="126">
        <f t="shared" si="9"/>
        <v>2.5466769467238102</v>
      </c>
      <c r="N14" t="s">
        <v>10</v>
      </c>
      <c r="O14" t="s">
        <v>265</v>
      </c>
      <c r="P14">
        <f t="shared" si="10"/>
        <v>17.5</v>
      </c>
      <c r="Q14">
        <f t="shared" si="11"/>
        <v>0</v>
      </c>
      <c r="R14">
        <f t="shared" si="12"/>
        <v>37.5</v>
      </c>
      <c r="S14">
        <f t="shared" si="13"/>
        <v>1.1000000000000001</v>
      </c>
      <c r="T14">
        <v>0.9</v>
      </c>
      <c r="U14" s="126">
        <v>0</v>
      </c>
      <c r="V14">
        <f t="shared" si="14"/>
        <v>39.499244433584465</v>
      </c>
      <c r="W14">
        <f t="shared" si="15"/>
        <v>3.4929626553889231E-2</v>
      </c>
      <c r="X14">
        <f t="shared" si="16"/>
        <v>0.15301812852026347</v>
      </c>
      <c r="Y14">
        <f t="shared" si="17"/>
        <v>1.1530181285202634</v>
      </c>
      <c r="Z14" s="126">
        <v>0.75</v>
      </c>
      <c r="AA14">
        <f t="shared" si="3"/>
        <v>1</v>
      </c>
      <c r="AB14">
        <f t="shared" si="4"/>
        <v>0</v>
      </c>
      <c r="AC14">
        <f t="shared" si="18"/>
        <v>0</v>
      </c>
      <c r="AD14" s="129">
        <v>-2.307229</v>
      </c>
      <c r="AE14">
        <v>0.5852366</v>
      </c>
      <c r="AF14">
        <v>0.201322</v>
      </c>
      <c r="AG14">
        <v>1.4274935</v>
      </c>
      <c r="AH14">
        <v>-7.1050000000000002E-3</v>
      </c>
      <c r="AI14">
        <v>5.1415999999999996E-3</v>
      </c>
      <c r="AJ14">
        <v>-1.4290590000000001</v>
      </c>
      <c r="AK14">
        <v>4.9200300000000002E-2</v>
      </c>
      <c r="AL14">
        <v>0.14513599999999999</v>
      </c>
      <c r="AM14">
        <v>2.0170299999999999E-2</v>
      </c>
      <c r="AN14">
        <v>-1.032025</v>
      </c>
      <c r="AO14">
        <f t="shared" si="19"/>
        <v>-0.60214698226649055</v>
      </c>
      <c r="AP14">
        <f t="shared" si="20"/>
        <v>0</v>
      </c>
      <c r="AQ14">
        <f t="shared" si="21"/>
        <v>-0.60214698226649055</v>
      </c>
      <c r="AR14">
        <f t="shared" si="22"/>
        <v>-0.56189437101015471</v>
      </c>
      <c r="AS14" s="142">
        <f t="shared" si="23"/>
        <v>0.57012800624291049</v>
      </c>
      <c r="AT14">
        <v>0.72299999999999998</v>
      </c>
      <c r="AU14">
        <v>0.3</v>
      </c>
    </row>
    <row r="15" spans="1:47" ht="15.75" x14ac:dyDescent="0.25">
      <c r="A15" s="126">
        <v>13</v>
      </c>
      <c r="B15">
        <v>0.40639999999999998</v>
      </c>
      <c r="C15">
        <f t="shared" si="0"/>
        <v>406.4</v>
      </c>
      <c r="D15">
        <v>9.5299999999999985E-3</v>
      </c>
      <c r="E15">
        <f t="shared" si="1"/>
        <v>9.5299999999999994</v>
      </c>
      <c r="F15" s="4">
        <f t="shared" si="2"/>
        <v>42.644281217208821</v>
      </c>
      <c r="G15" s="126">
        <v>50</v>
      </c>
      <c r="H15" s="126" t="s">
        <v>119</v>
      </c>
      <c r="I15" s="126">
        <f t="shared" si="5"/>
        <v>14</v>
      </c>
      <c r="J15" s="126">
        <f t="shared" si="6"/>
        <v>15</v>
      </c>
      <c r="K15" s="126">
        <f t="shared" si="7"/>
        <v>483000</v>
      </c>
      <c r="L15" s="126">
        <f t="shared" si="8"/>
        <v>565000</v>
      </c>
      <c r="M15" s="126">
        <f t="shared" si="9"/>
        <v>2.8799444073326219</v>
      </c>
      <c r="N15" t="s">
        <v>10</v>
      </c>
      <c r="O15" t="s">
        <v>265</v>
      </c>
      <c r="P15">
        <f t="shared" si="10"/>
        <v>17.5</v>
      </c>
      <c r="Q15">
        <f t="shared" si="11"/>
        <v>0</v>
      </c>
      <c r="R15">
        <f t="shared" si="12"/>
        <v>37.5</v>
      </c>
      <c r="S15">
        <f t="shared" si="13"/>
        <v>1.1000000000000001</v>
      </c>
      <c r="T15">
        <v>0.9</v>
      </c>
      <c r="U15" s="126">
        <v>0</v>
      </c>
      <c r="V15">
        <f t="shared" si="14"/>
        <v>52.665659244779285</v>
      </c>
      <c r="W15">
        <f t="shared" si="15"/>
        <v>4.5980584899860635E-2</v>
      </c>
      <c r="X15">
        <f t="shared" si="16"/>
        <v>0.22103278039106702</v>
      </c>
      <c r="Y15">
        <f t="shared" si="17"/>
        <v>1.221032780391067</v>
      </c>
      <c r="Z15" s="126">
        <v>0.75</v>
      </c>
      <c r="AA15">
        <f t="shared" si="3"/>
        <v>1</v>
      </c>
      <c r="AB15">
        <f t="shared" si="4"/>
        <v>0</v>
      </c>
      <c r="AC15">
        <f t="shared" si="18"/>
        <v>0</v>
      </c>
      <c r="AD15" s="129">
        <v>-2.307229</v>
      </c>
      <c r="AE15">
        <v>0.5852366</v>
      </c>
      <c r="AF15">
        <v>0.201322</v>
      </c>
      <c r="AG15">
        <v>1.4274935</v>
      </c>
      <c r="AH15">
        <v>-7.1050000000000002E-3</v>
      </c>
      <c r="AI15">
        <v>5.1415999999999996E-3</v>
      </c>
      <c r="AJ15">
        <v>-1.4290590000000001</v>
      </c>
      <c r="AK15">
        <v>4.9200300000000002E-2</v>
      </c>
      <c r="AL15">
        <v>0.14513599999999999</v>
      </c>
      <c r="AM15">
        <v>2.0170299999999999E-2</v>
      </c>
      <c r="AN15">
        <v>-1.032025</v>
      </c>
      <c r="AO15">
        <f t="shared" si="19"/>
        <v>-0.6473721201748025</v>
      </c>
      <c r="AP15">
        <f t="shared" si="20"/>
        <v>0</v>
      </c>
      <c r="AQ15">
        <f t="shared" si="21"/>
        <v>-0.6473721201748025</v>
      </c>
      <c r="AR15">
        <f t="shared" si="22"/>
        <v>-0.59642764612512122</v>
      </c>
      <c r="AS15" s="142">
        <f t="shared" si="23"/>
        <v>0.55077569153060479</v>
      </c>
      <c r="AT15">
        <v>0.72299999999999998</v>
      </c>
      <c r="AU15">
        <v>0.3</v>
      </c>
    </row>
    <row r="16" spans="1:47" ht="15.75" x14ac:dyDescent="0.25">
      <c r="A16" s="126">
        <v>14</v>
      </c>
      <c r="B16">
        <v>0.50800000000000001</v>
      </c>
      <c r="C16">
        <f t="shared" si="0"/>
        <v>508</v>
      </c>
      <c r="D16">
        <v>1.1130000000000001E-2</v>
      </c>
      <c r="E16">
        <f t="shared" si="1"/>
        <v>11.13</v>
      </c>
      <c r="F16" s="4">
        <f t="shared" si="2"/>
        <v>45.642407906558844</v>
      </c>
      <c r="G16" s="126">
        <v>100</v>
      </c>
      <c r="H16" s="126" t="s">
        <v>120</v>
      </c>
      <c r="I16" s="126">
        <f t="shared" si="5"/>
        <v>15</v>
      </c>
      <c r="J16" s="126">
        <f t="shared" si="6"/>
        <v>20</v>
      </c>
      <c r="K16" s="126">
        <f t="shared" si="7"/>
        <v>552000</v>
      </c>
      <c r="L16" s="126">
        <f t="shared" si="8"/>
        <v>625000</v>
      </c>
      <c r="M16" s="126">
        <f t="shared" si="9"/>
        <v>2.9888368774026359</v>
      </c>
      <c r="N16" t="s">
        <v>10</v>
      </c>
      <c r="O16" t="s">
        <v>265</v>
      </c>
      <c r="P16">
        <f t="shared" si="10"/>
        <v>17.5</v>
      </c>
      <c r="Q16">
        <f t="shared" si="11"/>
        <v>0</v>
      </c>
      <c r="R16">
        <f t="shared" si="12"/>
        <v>37.5</v>
      </c>
      <c r="S16">
        <f t="shared" si="13"/>
        <v>1.1000000000000001</v>
      </c>
      <c r="T16">
        <v>0.9</v>
      </c>
      <c r="U16" s="126">
        <v>0</v>
      </c>
      <c r="V16">
        <f t="shared" si="14"/>
        <v>65.832074055974104</v>
      </c>
      <c r="W16">
        <f t="shared" si="15"/>
        <v>5.6761916710913081E-2</v>
      </c>
      <c r="X16">
        <f t="shared" si="16"/>
        <v>0.30141505236031529</v>
      </c>
      <c r="Y16">
        <f t="shared" si="17"/>
        <v>1.8014150523603152</v>
      </c>
      <c r="Z16" s="126">
        <v>0.75</v>
      </c>
      <c r="AA16">
        <f t="shared" si="3"/>
        <v>1</v>
      </c>
      <c r="AB16">
        <f t="shared" si="4"/>
        <v>0</v>
      </c>
      <c r="AC16">
        <f t="shared" si="18"/>
        <v>0</v>
      </c>
      <c r="AD16" s="129">
        <v>-2.307229</v>
      </c>
      <c r="AE16">
        <v>0.5852366</v>
      </c>
      <c r="AF16">
        <v>0.201322</v>
      </c>
      <c r="AG16">
        <v>1.4274935</v>
      </c>
      <c r="AH16">
        <v>-7.1050000000000002E-3</v>
      </c>
      <c r="AI16">
        <v>5.1415999999999996E-3</v>
      </c>
      <c r="AJ16">
        <v>-1.4290590000000001</v>
      </c>
      <c r="AK16">
        <v>4.9200300000000002E-2</v>
      </c>
      <c r="AL16">
        <v>0.14513599999999999</v>
      </c>
      <c r="AM16">
        <v>2.0170299999999999E-2</v>
      </c>
      <c r="AN16">
        <v>-1.032025</v>
      </c>
      <c r="AO16">
        <f t="shared" si="19"/>
        <v>-0.70363623213972026</v>
      </c>
      <c r="AP16">
        <f t="shared" si="20"/>
        <v>0</v>
      </c>
      <c r="AQ16">
        <f t="shared" si="21"/>
        <v>-0.70363623213972026</v>
      </c>
      <c r="AR16">
        <f t="shared" si="22"/>
        <v>-0.59886235386354869</v>
      </c>
      <c r="AS16" s="142">
        <f t="shared" si="23"/>
        <v>0.54943634481282166</v>
      </c>
      <c r="AT16">
        <v>0.72299999999999998</v>
      </c>
      <c r="AU16">
        <v>0.3</v>
      </c>
    </row>
    <row r="17" spans="1:47" ht="15.75" x14ac:dyDescent="0.25">
      <c r="A17" s="126">
        <v>15</v>
      </c>
      <c r="B17">
        <v>0.60960000000000003</v>
      </c>
      <c r="C17">
        <f t="shared" si="0"/>
        <v>609.6</v>
      </c>
      <c r="D17">
        <v>9.5299999999999985E-3</v>
      </c>
      <c r="E17">
        <f t="shared" si="1"/>
        <v>9.5299999999999994</v>
      </c>
      <c r="F17" s="4">
        <f t="shared" si="2"/>
        <v>63.966421825813235</v>
      </c>
      <c r="G17" s="126">
        <v>15</v>
      </c>
      <c r="H17" s="126" t="s">
        <v>117</v>
      </c>
      <c r="I17" s="126">
        <f t="shared" si="5"/>
        <v>8</v>
      </c>
      <c r="J17" s="126">
        <f t="shared" si="6"/>
        <v>10</v>
      </c>
      <c r="K17" s="126">
        <f t="shared" si="7"/>
        <v>359000</v>
      </c>
      <c r="L17" s="126">
        <f t="shared" si="8"/>
        <v>455000</v>
      </c>
      <c r="M17" s="126">
        <f t="shared" si="9"/>
        <v>1.9969902892117808</v>
      </c>
      <c r="N17" t="s">
        <v>10</v>
      </c>
      <c r="O17" t="s">
        <v>269</v>
      </c>
      <c r="P17">
        <f t="shared" si="10"/>
        <v>18</v>
      </c>
      <c r="Q17">
        <f t="shared" si="11"/>
        <v>0</v>
      </c>
      <c r="R17">
        <f t="shared" si="12"/>
        <v>75</v>
      </c>
      <c r="S17">
        <f t="shared" si="13"/>
        <v>0.72</v>
      </c>
      <c r="T17">
        <v>0.9</v>
      </c>
      <c r="U17" s="126">
        <v>0</v>
      </c>
      <c r="V17">
        <f t="shared" si="14"/>
        <v>103.41620360793024</v>
      </c>
      <c r="W17">
        <f t="shared" si="15"/>
        <v>8.5938878264467361E-2</v>
      </c>
      <c r="X17">
        <f t="shared" si="16"/>
        <v>0.34319449854464201</v>
      </c>
      <c r="Y17">
        <f t="shared" si="17"/>
        <v>1.343194498544642</v>
      </c>
      <c r="Z17" s="126">
        <v>0.75</v>
      </c>
      <c r="AA17">
        <f t="shared" si="3"/>
        <v>1</v>
      </c>
      <c r="AB17">
        <f t="shared" si="4"/>
        <v>0</v>
      </c>
      <c r="AC17">
        <f t="shared" si="18"/>
        <v>0</v>
      </c>
      <c r="AD17" s="129">
        <v>-2.307229</v>
      </c>
      <c r="AE17">
        <v>0.5852366</v>
      </c>
      <c r="AF17">
        <v>0.201322</v>
      </c>
      <c r="AG17">
        <v>1.4274935</v>
      </c>
      <c r="AH17">
        <v>-7.1050000000000002E-3</v>
      </c>
      <c r="AI17">
        <v>5.1415999999999996E-3</v>
      </c>
      <c r="AJ17">
        <v>-1.4290590000000001</v>
      </c>
      <c r="AK17">
        <v>4.9200300000000002E-2</v>
      </c>
      <c r="AL17">
        <v>0.14513599999999999</v>
      </c>
      <c r="AM17">
        <v>2.0170299999999999E-2</v>
      </c>
      <c r="AN17">
        <v>-1.032025</v>
      </c>
      <c r="AO17">
        <f t="shared" si="19"/>
        <v>-0.64451052521418639</v>
      </c>
      <c r="AP17">
        <f t="shared" si="20"/>
        <v>0</v>
      </c>
      <c r="AQ17">
        <f t="shared" si="21"/>
        <v>-0.64451052521418639</v>
      </c>
      <c r="AR17">
        <f t="shared" si="22"/>
        <v>-0.35698842861680458</v>
      </c>
      <c r="AS17" s="142">
        <f t="shared" si="23"/>
        <v>0.69978059511718083</v>
      </c>
      <c r="AT17">
        <v>0.72299999999999998</v>
      </c>
      <c r="AU17">
        <v>0.3</v>
      </c>
    </row>
    <row r="18" spans="1:47" ht="15.75" x14ac:dyDescent="0.25">
      <c r="A18" s="126">
        <v>16</v>
      </c>
      <c r="B18">
        <v>0.76200000000000001</v>
      </c>
      <c r="C18">
        <f t="shared" si="0"/>
        <v>762</v>
      </c>
      <c r="D18">
        <v>1.2699999999999999E-2</v>
      </c>
      <c r="E18">
        <f t="shared" si="1"/>
        <v>12.7</v>
      </c>
      <c r="F18" s="4">
        <f t="shared" si="2"/>
        <v>60</v>
      </c>
      <c r="G18" s="126">
        <v>30</v>
      </c>
      <c r="H18" s="126" t="s">
        <v>118</v>
      </c>
      <c r="I18" s="126">
        <f t="shared" si="5"/>
        <v>8</v>
      </c>
      <c r="J18" s="126">
        <f t="shared" si="6"/>
        <v>12</v>
      </c>
      <c r="K18" s="126">
        <f t="shared" si="7"/>
        <v>414000</v>
      </c>
      <c r="L18" s="126">
        <f t="shared" si="8"/>
        <v>517000</v>
      </c>
      <c r="M18" s="126">
        <f t="shared" si="9"/>
        <v>2.5466769467238102</v>
      </c>
      <c r="N18" t="s">
        <v>10</v>
      </c>
      <c r="O18" t="s">
        <v>269</v>
      </c>
      <c r="P18">
        <f t="shared" si="10"/>
        <v>18</v>
      </c>
      <c r="Q18">
        <f t="shared" si="11"/>
        <v>0</v>
      </c>
      <c r="R18">
        <f t="shared" si="12"/>
        <v>75</v>
      </c>
      <c r="S18">
        <f t="shared" si="13"/>
        <v>0.72</v>
      </c>
      <c r="T18">
        <v>0.9</v>
      </c>
      <c r="U18" s="126">
        <v>0</v>
      </c>
      <c r="V18">
        <f t="shared" si="14"/>
        <v>129.2702545099128</v>
      </c>
      <c r="W18">
        <f t="shared" si="15"/>
        <v>0.10764414471571518</v>
      </c>
      <c r="X18">
        <f t="shared" si="16"/>
        <v>0.46262651833971924</v>
      </c>
      <c r="Y18">
        <f t="shared" si="17"/>
        <v>1.4626265183397194</v>
      </c>
      <c r="Z18" s="126">
        <v>1.5</v>
      </c>
      <c r="AA18">
        <f t="shared" si="3"/>
        <v>1</v>
      </c>
      <c r="AB18">
        <f t="shared" si="4"/>
        <v>0</v>
      </c>
      <c r="AC18">
        <f t="shared" si="18"/>
        <v>0</v>
      </c>
      <c r="AD18" s="129">
        <v>-2.307229</v>
      </c>
      <c r="AE18">
        <v>0.5852366</v>
      </c>
      <c r="AF18">
        <v>0.201322</v>
      </c>
      <c r="AG18">
        <v>1.4274935</v>
      </c>
      <c r="AH18">
        <v>-7.1050000000000002E-3</v>
      </c>
      <c r="AI18">
        <v>5.1415999999999996E-3</v>
      </c>
      <c r="AJ18">
        <v>-1.4290590000000001</v>
      </c>
      <c r="AK18">
        <v>4.9200300000000002E-2</v>
      </c>
      <c r="AL18">
        <v>0.14513599999999999</v>
      </c>
      <c r="AM18">
        <v>2.0170299999999999E-2</v>
      </c>
      <c r="AN18">
        <v>-1.032025</v>
      </c>
      <c r="AO18">
        <f t="shared" si="19"/>
        <v>-4.6730844270599627E-2</v>
      </c>
      <c r="AP18">
        <f t="shared" si="20"/>
        <v>0</v>
      </c>
      <c r="AQ18">
        <f t="shared" si="21"/>
        <v>-4.6730844270599627E-2</v>
      </c>
      <c r="AR18">
        <f t="shared" si="22"/>
        <v>1.8835024417450885E-2</v>
      </c>
      <c r="AS18" s="142">
        <f t="shared" si="23"/>
        <v>1.0190135223999457</v>
      </c>
      <c r="AT18">
        <v>0.72299999999999998</v>
      </c>
      <c r="AU18">
        <v>0.3</v>
      </c>
    </row>
    <row r="19" spans="1:47" ht="15.75" x14ac:dyDescent="0.25">
      <c r="A19" s="126">
        <v>17</v>
      </c>
      <c r="B19">
        <v>0.86360000000000003</v>
      </c>
      <c r="C19">
        <f t="shared" si="0"/>
        <v>863.6</v>
      </c>
      <c r="D19">
        <v>1.1130000000000001E-2</v>
      </c>
      <c r="E19">
        <f t="shared" si="1"/>
        <v>11.13</v>
      </c>
      <c r="F19" s="4">
        <f t="shared" si="2"/>
        <v>77.592093441150041</v>
      </c>
      <c r="G19" s="126">
        <v>50</v>
      </c>
      <c r="H19" s="126" t="s">
        <v>119</v>
      </c>
      <c r="I19" s="126">
        <f t="shared" si="5"/>
        <v>14</v>
      </c>
      <c r="J19" s="126">
        <f t="shared" si="6"/>
        <v>15</v>
      </c>
      <c r="K19" s="126">
        <f t="shared" si="7"/>
        <v>483000</v>
      </c>
      <c r="L19" s="126">
        <f t="shared" si="8"/>
        <v>565000</v>
      </c>
      <c r="M19" s="126">
        <f t="shared" si="9"/>
        <v>2.8799444073326219</v>
      </c>
      <c r="N19" t="s">
        <v>10</v>
      </c>
      <c r="O19" t="s">
        <v>269</v>
      </c>
      <c r="P19">
        <f t="shared" si="10"/>
        <v>18</v>
      </c>
      <c r="Q19">
        <f t="shared" si="11"/>
        <v>0</v>
      </c>
      <c r="R19">
        <f t="shared" si="12"/>
        <v>75</v>
      </c>
      <c r="S19">
        <f t="shared" si="13"/>
        <v>0.72</v>
      </c>
      <c r="T19">
        <v>0.9</v>
      </c>
      <c r="U19" s="126">
        <v>0</v>
      </c>
      <c r="V19">
        <f t="shared" si="14"/>
        <v>146.50628844456784</v>
      </c>
      <c r="W19">
        <f t="shared" si="15"/>
        <v>0.12199149455168937</v>
      </c>
      <c r="X19">
        <f t="shared" si="16"/>
        <v>0.57931434087634726</v>
      </c>
      <c r="Y19">
        <f t="shared" si="17"/>
        <v>1.5793143408763473</v>
      </c>
      <c r="Z19" s="126">
        <v>1.5</v>
      </c>
      <c r="AA19">
        <f t="shared" si="3"/>
        <v>1</v>
      </c>
      <c r="AB19">
        <f t="shared" si="4"/>
        <v>0</v>
      </c>
      <c r="AC19">
        <f t="shared" si="18"/>
        <v>0</v>
      </c>
      <c r="AD19" s="129">
        <v>-2.307229</v>
      </c>
      <c r="AE19">
        <v>0.5852366</v>
      </c>
      <c r="AF19">
        <v>0.201322</v>
      </c>
      <c r="AG19">
        <v>1.4274935</v>
      </c>
      <c r="AH19">
        <v>-7.1050000000000002E-3</v>
      </c>
      <c r="AI19">
        <v>5.1415999999999996E-3</v>
      </c>
      <c r="AJ19">
        <v>-1.4290590000000001</v>
      </c>
      <c r="AK19">
        <v>4.9200300000000002E-2</v>
      </c>
      <c r="AL19">
        <v>0.14513599999999999</v>
      </c>
      <c r="AM19">
        <v>2.0170299999999999E-2</v>
      </c>
      <c r="AN19">
        <v>-1.032025</v>
      </c>
      <c r="AO19">
        <f t="shared" si="19"/>
        <v>-0.13656097636803749</v>
      </c>
      <c r="AP19">
        <f t="shared" si="20"/>
        <v>0</v>
      </c>
      <c r="AQ19">
        <f t="shared" si="21"/>
        <v>-0.13656097636803749</v>
      </c>
      <c r="AR19">
        <f t="shared" si="22"/>
        <v>3.4566429204756499E-2</v>
      </c>
      <c r="AS19" s="142">
        <f t="shared" si="23"/>
        <v>1.0351707916646211</v>
      </c>
      <c r="AT19">
        <v>0.72299999999999998</v>
      </c>
      <c r="AU19">
        <v>0.3</v>
      </c>
    </row>
    <row r="20" spans="1:47" ht="15.75" x14ac:dyDescent="0.25">
      <c r="A20" s="126">
        <v>18</v>
      </c>
      <c r="B20">
        <v>1.0668</v>
      </c>
      <c r="C20">
        <f t="shared" si="0"/>
        <v>1066.8</v>
      </c>
      <c r="D20">
        <v>1.2699999999999999E-2</v>
      </c>
      <c r="E20">
        <f t="shared" si="1"/>
        <v>12.7</v>
      </c>
      <c r="F20" s="4">
        <f t="shared" si="2"/>
        <v>84</v>
      </c>
      <c r="G20" s="126">
        <v>100</v>
      </c>
      <c r="H20" s="126" t="s">
        <v>120</v>
      </c>
      <c r="I20" s="126">
        <f t="shared" si="5"/>
        <v>15</v>
      </c>
      <c r="J20" s="126">
        <f t="shared" si="6"/>
        <v>20</v>
      </c>
      <c r="K20" s="126">
        <f t="shared" si="7"/>
        <v>552000</v>
      </c>
      <c r="L20" s="126">
        <f t="shared" si="8"/>
        <v>625000</v>
      </c>
      <c r="M20" s="126">
        <f t="shared" si="9"/>
        <v>2.9888368774026359</v>
      </c>
      <c r="N20" t="s">
        <v>10</v>
      </c>
      <c r="O20" t="s">
        <v>266</v>
      </c>
      <c r="P20">
        <f t="shared" si="10"/>
        <v>18.5</v>
      </c>
      <c r="Q20">
        <f t="shared" si="11"/>
        <v>0</v>
      </c>
      <c r="R20">
        <f t="shared" si="12"/>
        <v>125</v>
      </c>
      <c r="S20">
        <f t="shared" si="13"/>
        <v>0.4</v>
      </c>
      <c r="T20">
        <v>0.9</v>
      </c>
      <c r="U20" s="126">
        <v>0</v>
      </c>
      <c r="V20">
        <f t="shared" si="14"/>
        <v>167.57255214247957</v>
      </c>
      <c r="W20">
        <f t="shared" si="15"/>
        <v>0.13917170396098252</v>
      </c>
      <c r="X20">
        <f t="shared" si="16"/>
        <v>0.70118132861093019</v>
      </c>
      <c r="Y20">
        <f t="shared" si="17"/>
        <v>2.2011813286109301</v>
      </c>
      <c r="Z20" s="126">
        <v>1.5</v>
      </c>
      <c r="AA20">
        <f t="shared" si="3"/>
        <v>1</v>
      </c>
      <c r="AB20">
        <f t="shared" si="4"/>
        <v>0</v>
      </c>
      <c r="AC20">
        <f t="shared" si="18"/>
        <v>0</v>
      </c>
      <c r="AD20" s="129">
        <v>-2.307229</v>
      </c>
      <c r="AE20">
        <v>0.5852366</v>
      </c>
      <c r="AF20">
        <v>0.201322</v>
      </c>
      <c r="AG20">
        <v>1.4274935</v>
      </c>
      <c r="AH20">
        <v>-7.1050000000000002E-3</v>
      </c>
      <c r="AI20">
        <v>5.1415999999999996E-3</v>
      </c>
      <c r="AJ20">
        <v>-1.4290590000000001</v>
      </c>
      <c r="AK20">
        <v>4.9200300000000002E-2</v>
      </c>
      <c r="AL20">
        <v>0.14513599999999999</v>
      </c>
      <c r="AM20">
        <v>2.0170299999999999E-2</v>
      </c>
      <c r="AN20">
        <v>-1.032025</v>
      </c>
      <c r="AO20">
        <f t="shared" si="19"/>
        <v>-0.19777054799268215</v>
      </c>
      <c r="AP20">
        <f t="shared" si="20"/>
        <v>0</v>
      </c>
      <c r="AQ20">
        <f t="shared" si="21"/>
        <v>-0.19777054799268215</v>
      </c>
      <c r="AR20">
        <f t="shared" si="22"/>
        <v>-1.0808663411078889E-2</v>
      </c>
      <c r="AS20" s="142">
        <f t="shared" si="23"/>
        <v>0.98924954030109691</v>
      </c>
      <c r="AT20">
        <v>0.72299999999999998</v>
      </c>
      <c r="AU20">
        <v>0.3</v>
      </c>
    </row>
    <row r="21" spans="1:47" ht="15.75" x14ac:dyDescent="0.25">
      <c r="A21" s="126">
        <v>19</v>
      </c>
      <c r="B21">
        <v>0.60960000000000003</v>
      </c>
      <c r="C21">
        <f t="shared" si="0"/>
        <v>609.6</v>
      </c>
      <c r="D21">
        <v>1.1130000000000001E-2</v>
      </c>
      <c r="E21">
        <f t="shared" si="1"/>
        <v>11.13</v>
      </c>
      <c r="F21" s="4">
        <f t="shared" si="2"/>
        <v>54.770889487870619</v>
      </c>
      <c r="G21" s="126">
        <v>150</v>
      </c>
      <c r="H21" s="126" t="s">
        <v>187</v>
      </c>
      <c r="I21" s="126">
        <f t="shared" si="5"/>
        <v>3</v>
      </c>
      <c r="J21" s="126">
        <f t="shared" si="6"/>
        <v>9</v>
      </c>
      <c r="K21" s="126">
        <f t="shared" si="7"/>
        <v>290000</v>
      </c>
      <c r="L21" s="126">
        <f t="shared" si="8"/>
        <v>414000</v>
      </c>
      <c r="M21" s="126">
        <f t="shared" si="9"/>
        <v>1.7363704307629526</v>
      </c>
      <c r="N21" t="s">
        <v>10</v>
      </c>
      <c r="O21" t="s">
        <v>266</v>
      </c>
      <c r="P21">
        <f t="shared" si="10"/>
        <v>18.5</v>
      </c>
      <c r="Q21">
        <f t="shared" si="11"/>
        <v>0</v>
      </c>
      <c r="R21">
        <f t="shared" si="12"/>
        <v>125</v>
      </c>
      <c r="S21">
        <f t="shared" si="13"/>
        <v>0.4</v>
      </c>
      <c r="T21">
        <v>0.9</v>
      </c>
      <c r="U21" s="126">
        <v>0</v>
      </c>
      <c r="V21">
        <f t="shared" si="14"/>
        <v>95.755744081416907</v>
      </c>
      <c r="W21">
        <f t="shared" si="15"/>
        <v>7.9294795208237082E-2</v>
      </c>
      <c r="X21">
        <f t="shared" si="16"/>
        <v>0.42306301468311602</v>
      </c>
      <c r="Y21">
        <f t="shared" si="17"/>
        <v>1.923063014683116</v>
      </c>
      <c r="Z21" s="126">
        <v>7.5</v>
      </c>
      <c r="AA21">
        <f t="shared" si="3"/>
        <v>0</v>
      </c>
      <c r="AB21">
        <f t="shared" si="4"/>
        <v>1</v>
      </c>
      <c r="AC21">
        <f t="shared" si="18"/>
        <v>0</v>
      </c>
      <c r="AD21" s="129">
        <v>-2.307229</v>
      </c>
      <c r="AE21">
        <v>0.5852366</v>
      </c>
      <c r="AF21">
        <v>0.201322</v>
      </c>
      <c r="AG21">
        <v>1.4274935</v>
      </c>
      <c r="AH21">
        <v>-7.1050000000000002E-3</v>
      </c>
      <c r="AI21">
        <v>5.1415999999999996E-3</v>
      </c>
      <c r="AJ21">
        <v>-1.4290590000000001</v>
      </c>
      <c r="AK21">
        <v>4.9200300000000002E-2</v>
      </c>
      <c r="AL21">
        <v>0.14513599999999999</v>
      </c>
      <c r="AM21">
        <v>2.0170299999999999E-2</v>
      </c>
      <c r="AN21">
        <v>-1.032025</v>
      </c>
      <c r="AO21">
        <f t="shared" si="19"/>
        <v>0</v>
      </c>
      <c r="AP21">
        <f t="shared" si="20"/>
        <v>2.3499863959925666</v>
      </c>
      <c r="AQ21">
        <f t="shared" si="21"/>
        <v>2.3499863959925666</v>
      </c>
      <c r="AR21">
        <f t="shared" si="22"/>
        <v>17.660464038190291</v>
      </c>
      <c r="AS21" s="142">
        <f t="shared" si="23"/>
        <v>100</v>
      </c>
      <c r="AT21">
        <v>0.72299999999999998</v>
      </c>
      <c r="AU21">
        <v>0.3</v>
      </c>
    </row>
    <row r="22" spans="1:47" ht="15.75" x14ac:dyDescent="0.25">
      <c r="A22" s="126">
        <v>20</v>
      </c>
      <c r="B22">
        <v>0.60960000000000003</v>
      </c>
      <c r="C22">
        <f t="shared" si="0"/>
        <v>609.6</v>
      </c>
      <c r="D22">
        <v>1.1130000000000001E-2</v>
      </c>
      <c r="E22">
        <f t="shared" si="1"/>
        <v>11.13</v>
      </c>
      <c r="F22" s="4">
        <f t="shared" si="2"/>
        <v>54.770889487870619</v>
      </c>
      <c r="G22" s="126">
        <v>200</v>
      </c>
      <c r="H22" s="126" t="s">
        <v>186</v>
      </c>
      <c r="I22" s="126">
        <f t="shared" si="5"/>
        <v>3</v>
      </c>
      <c r="J22" s="126">
        <f t="shared" si="6"/>
        <v>8</v>
      </c>
      <c r="K22" s="126">
        <f t="shared" si="7"/>
        <v>241000</v>
      </c>
      <c r="L22" s="126">
        <f t="shared" si="8"/>
        <v>344000</v>
      </c>
      <c r="M22" s="126">
        <f t="shared" si="9"/>
        <v>1.1599577949833839</v>
      </c>
      <c r="N22" t="s">
        <v>10</v>
      </c>
      <c r="O22" t="s">
        <v>266</v>
      </c>
      <c r="P22">
        <f t="shared" si="10"/>
        <v>18.5</v>
      </c>
      <c r="Q22">
        <f t="shared" si="11"/>
        <v>0</v>
      </c>
      <c r="R22">
        <f t="shared" si="12"/>
        <v>125</v>
      </c>
      <c r="S22">
        <f t="shared" si="13"/>
        <v>0.4</v>
      </c>
      <c r="T22">
        <v>0.9</v>
      </c>
      <c r="U22" s="126">
        <v>0</v>
      </c>
      <c r="V22">
        <f t="shared" si="14"/>
        <v>95.755744081416907</v>
      </c>
      <c r="W22">
        <f t="shared" si="15"/>
        <v>7.8028077275326749E-2</v>
      </c>
      <c r="X22">
        <f t="shared" si="16"/>
        <v>0.43296023982302467</v>
      </c>
      <c r="Y22">
        <f t="shared" si="17"/>
        <v>1.9329602398230246</v>
      </c>
      <c r="Z22" s="126">
        <v>3.5</v>
      </c>
      <c r="AA22">
        <f t="shared" si="3"/>
        <v>0</v>
      </c>
      <c r="AB22">
        <f t="shared" si="4"/>
        <v>0</v>
      </c>
      <c r="AC22">
        <f t="shared" si="18"/>
        <v>0</v>
      </c>
      <c r="AD22" s="129">
        <v>-2.307229</v>
      </c>
      <c r="AE22">
        <v>0.5852366</v>
      </c>
      <c r="AF22">
        <v>0.201322</v>
      </c>
      <c r="AG22">
        <v>1.4274935</v>
      </c>
      <c r="AH22">
        <v>-7.1050000000000002E-3</v>
      </c>
      <c r="AI22">
        <v>5.1415999999999996E-3</v>
      </c>
      <c r="AJ22">
        <v>-1.4290590000000001</v>
      </c>
      <c r="AK22">
        <v>4.9200300000000002E-2</v>
      </c>
      <c r="AL22">
        <v>0.14513599999999999</v>
      </c>
      <c r="AM22">
        <v>2.0170299999999999E-2</v>
      </c>
      <c r="AN22">
        <v>-1.032025</v>
      </c>
      <c r="AO22">
        <f t="shared" si="19"/>
        <v>0</v>
      </c>
      <c r="AP22">
        <f t="shared" si="20"/>
        <v>0</v>
      </c>
      <c r="AQ22">
        <f t="shared" si="21"/>
        <v>0</v>
      </c>
      <c r="AR22">
        <f t="shared" si="22"/>
        <v>3.5566068246042359E-2</v>
      </c>
      <c r="AS22" s="142">
        <f t="shared" si="23"/>
        <v>1.0362061061865622</v>
      </c>
      <c r="AT22">
        <v>0.72299999999999998</v>
      </c>
      <c r="AU22">
        <v>0.3</v>
      </c>
    </row>
    <row r="24" spans="1:47" x14ac:dyDescent="0.25">
      <c r="A24" s="126" t="s">
        <v>38</v>
      </c>
      <c r="B24" t="s">
        <v>288</v>
      </c>
      <c r="C24" t="s">
        <v>1</v>
      </c>
      <c r="D24" t="s">
        <v>289</v>
      </c>
      <c r="E24" t="s">
        <v>2</v>
      </c>
      <c r="F24" t="s">
        <v>124</v>
      </c>
      <c r="G24" t="s">
        <v>125</v>
      </c>
      <c r="H24" t="s">
        <v>15</v>
      </c>
      <c r="I24" t="s">
        <v>4</v>
      </c>
      <c r="J24" t="s">
        <v>5</v>
      </c>
      <c r="K24" t="s">
        <v>3</v>
      </c>
      <c r="L24" t="s">
        <v>16</v>
      </c>
      <c r="M24" t="s">
        <v>17</v>
      </c>
      <c r="N24" t="s">
        <v>0</v>
      </c>
      <c r="O24" s="126" t="s">
        <v>86</v>
      </c>
      <c r="P24" t="s">
        <v>84</v>
      </c>
      <c r="Q24" t="s">
        <v>85</v>
      </c>
      <c r="R24" t="s">
        <v>83</v>
      </c>
      <c r="S24" t="s">
        <v>82</v>
      </c>
      <c r="T24" t="s">
        <v>406</v>
      </c>
      <c r="U24" t="s">
        <v>287</v>
      </c>
      <c r="V24" t="s">
        <v>7</v>
      </c>
      <c r="W24" t="s">
        <v>11</v>
      </c>
      <c r="X24" t="s">
        <v>388</v>
      </c>
      <c r="Y24" t="s">
        <v>271</v>
      </c>
      <c r="Z24" t="s">
        <v>6</v>
      </c>
      <c r="AA24" t="s">
        <v>389</v>
      </c>
      <c r="AB24" t="s">
        <v>390</v>
      </c>
      <c r="AC24" t="s">
        <v>286</v>
      </c>
      <c r="AD24" t="s">
        <v>18</v>
      </c>
      <c r="AE24" t="s">
        <v>104</v>
      </c>
      <c r="AF24" t="s">
        <v>105</v>
      </c>
      <c r="AG24" t="s">
        <v>374</v>
      </c>
      <c r="AH24" t="s">
        <v>375</v>
      </c>
      <c r="AI24" t="s">
        <v>376</v>
      </c>
      <c r="AJ24" t="s">
        <v>377</v>
      </c>
      <c r="AK24" t="s">
        <v>378</v>
      </c>
      <c r="AL24" t="s">
        <v>379</v>
      </c>
      <c r="AM24" t="s">
        <v>380</v>
      </c>
      <c r="AN24" t="s">
        <v>381</v>
      </c>
      <c r="AO24" t="s">
        <v>404</v>
      </c>
      <c r="AP24" t="s">
        <v>405</v>
      </c>
      <c r="AQ24" t="s">
        <v>19</v>
      </c>
      <c r="AR24" t="s">
        <v>284</v>
      </c>
      <c r="AS24" t="s">
        <v>8</v>
      </c>
      <c r="AT24" t="s">
        <v>290</v>
      </c>
      <c r="AU24" t="s">
        <v>291</v>
      </c>
    </row>
    <row r="25" spans="1:47" x14ac:dyDescent="0.25">
      <c r="A25" s="126">
        <v>1</v>
      </c>
      <c r="B25">
        <v>0.20319999999999999</v>
      </c>
      <c r="C25">
        <v>203.2</v>
      </c>
      <c r="D25">
        <v>5.5599999999999998E-3</v>
      </c>
      <c r="E25">
        <v>5.56</v>
      </c>
      <c r="F25">
        <v>36.546762589928058</v>
      </c>
      <c r="G25">
        <v>15</v>
      </c>
      <c r="H25" t="s">
        <v>117</v>
      </c>
      <c r="I25">
        <v>8</v>
      </c>
      <c r="J25">
        <v>10</v>
      </c>
      <c r="K25">
        <v>359000</v>
      </c>
      <c r="L25">
        <v>455000</v>
      </c>
      <c r="M25">
        <v>1.9969902892117808</v>
      </c>
      <c r="N25" t="s">
        <v>9</v>
      </c>
      <c r="O25" s="126" t="s">
        <v>267</v>
      </c>
      <c r="P25">
        <v>18</v>
      </c>
      <c r="Q25">
        <v>37</v>
      </c>
      <c r="R25">
        <v>0</v>
      </c>
      <c r="S25">
        <v>0</v>
      </c>
      <c r="T25">
        <v>0.9</v>
      </c>
      <c r="U25">
        <v>1</v>
      </c>
      <c r="V25">
        <v>7.5479720641402661</v>
      </c>
      <c r="W25">
        <v>8.2856107139974745E-3</v>
      </c>
      <c r="X25">
        <v>1.5646389426880153E-2</v>
      </c>
      <c r="Y25">
        <v>1.0156463894268801</v>
      </c>
      <c r="Z25">
        <v>0.75</v>
      </c>
      <c r="AA25">
        <v>1</v>
      </c>
      <c r="AB25">
        <v>0</v>
      </c>
      <c r="AC25">
        <v>1</v>
      </c>
      <c r="AD25">
        <v>-2.307229</v>
      </c>
      <c r="AE25">
        <v>0.5852366</v>
      </c>
      <c r="AF25">
        <v>0.201322</v>
      </c>
      <c r="AG25">
        <v>1.4274935</v>
      </c>
      <c r="AH25">
        <v>-7.1050000000000002E-3</v>
      </c>
      <c r="AI25">
        <v>5.1415999999999996E-3</v>
      </c>
      <c r="AJ25">
        <v>-1.4290590000000001</v>
      </c>
      <c r="AK25">
        <v>4.9200300000000002E-2</v>
      </c>
      <c r="AL25">
        <v>0.14513599999999999</v>
      </c>
      <c r="AM25">
        <v>2.0170299999999999E-2</v>
      </c>
      <c r="AN25">
        <v>-1.032025</v>
      </c>
      <c r="AO25">
        <v>-0.47373050310383741</v>
      </c>
      <c r="AP25">
        <v>0</v>
      </c>
      <c r="AQ25">
        <v>-0.47373050310383741</v>
      </c>
      <c r="AR25">
        <v>-0.14957085894174343</v>
      </c>
      <c r="AS25">
        <v>0.86107742082312089</v>
      </c>
      <c r="AT25">
        <v>0.72299999999999998</v>
      </c>
      <c r="AU25">
        <v>0.3</v>
      </c>
    </row>
    <row r="26" spans="1:47" x14ac:dyDescent="0.25">
      <c r="A26" s="126">
        <v>2</v>
      </c>
      <c r="B26">
        <v>0.30480000000000002</v>
      </c>
      <c r="C26">
        <v>304.8</v>
      </c>
      <c r="D26">
        <v>7.1399999999999996E-3</v>
      </c>
      <c r="E26">
        <v>7.14</v>
      </c>
      <c r="F26">
        <v>42.689075630252105</v>
      </c>
      <c r="G26">
        <v>30</v>
      </c>
      <c r="H26" t="s">
        <v>118</v>
      </c>
      <c r="I26">
        <v>8</v>
      </c>
      <c r="J26">
        <v>12</v>
      </c>
      <c r="K26">
        <v>414000</v>
      </c>
      <c r="L26">
        <v>517000</v>
      </c>
      <c r="M26">
        <v>2.5466769467238102</v>
      </c>
      <c r="N26" t="s">
        <v>9</v>
      </c>
      <c r="O26" s="126" t="s">
        <v>267</v>
      </c>
      <c r="P26">
        <v>18</v>
      </c>
      <c r="Q26">
        <v>37</v>
      </c>
      <c r="R26">
        <v>0</v>
      </c>
      <c r="S26">
        <v>0</v>
      </c>
      <c r="T26">
        <v>0.9</v>
      </c>
      <c r="U26">
        <v>2</v>
      </c>
      <c r="V26">
        <v>22.6439161924208</v>
      </c>
      <c r="W26">
        <v>2.1276810678546657E-2</v>
      </c>
      <c r="X26">
        <v>0.10176623528675607</v>
      </c>
      <c r="Y26">
        <v>1.1017662352867561</v>
      </c>
      <c r="Z26">
        <v>0.75</v>
      </c>
      <c r="AA26">
        <v>1</v>
      </c>
      <c r="AB26">
        <v>0</v>
      </c>
      <c r="AC26">
        <v>1</v>
      </c>
      <c r="AD26">
        <v>-2.307229</v>
      </c>
      <c r="AE26">
        <v>0.5852366</v>
      </c>
      <c r="AF26">
        <v>0.201322</v>
      </c>
      <c r="AG26">
        <v>1.4274935</v>
      </c>
      <c r="AH26">
        <v>-7.1050000000000002E-3</v>
      </c>
      <c r="AI26">
        <v>5.1415999999999996E-3</v>
      </c>
      <c r="AJ26">
        <v>-1.4290590000000001</v>
      </c>
      <c r="AK26">
        <v>4.9200300000000002E-2</v>
      </c>
      <c r="AL26">
        <v>0.14513599999999999</v>
      </c>
      <c r="AM26">
        <v>2.0170299999999999E-2</v>
      </c>
      <c r="AN26">
        <v>-1.032025</v>
      </c>
      <c r="AO26">
        <v>-0.57875859530607965</v>
      </c>
      <c r="AP26">
        <v>0</v>
      </c>
      <c r="AQ26">
        <v>-0.57875859530607965</v>
      </c>
      <c r="AR26">
        <v>8.374965841113402E-2</v>
      </c>
      <c r="AS26">
        <v>1.0873566491419566</v>
      </c>
      <c r="AT26">
        <v>0.72299999999999998</v>
      </c>
      <c r="AU26">
        <v>0.3</v>
      </c>
    </row>
    <row r="27" spans="1:47" x14ac:dyDescent="0.25">
      <c r="A27" s="126">
        <v>3</v>
      </c>
      <c r="B27">
        <v>0.40639999999999998</v>
      </c>
      <c r="C27">
        <v>406.4</v>
      </c>
      <c r="D27">
        <v>9.5299999999999985E-3</v>
      </c>
      <c r="E27">
        <v>9.5299999999999994</v>
      </c>
      <c r="F27">
        <v>42.644281217208821</v>
      </c>
      <c r="G27">
        <v>50</v>
      </c>
      <c r="H27" t="s">
        <v>119</v>
      </c>
      <c r="I27">
        <v>14</v>
      </c>
      <c r="J27">
        <v>15</v>
      </c>
      <c r="K27">
        <v>483000</v>
      </c>
      <c r="L27">
        <v>565000</v>
      </c>
      <c r="M27">
        <v>2.8799444073326219</v>
      </c>
      <c r="N27" t="s">
        <v>9</v>
      </c>
      <c r="O27" s="126" t="s">
        <v>267</v>
      </c>
      <c r="P27">
        <v>18</v>
      </c>
      <c r="Q27">
        <v>37</v>
      </c>
      <c r="R27">
        <v>0</v>
      </c>
      <c r="S27">
        <v>0</v>
      </c>
      <c r="T27">
        <v>0.9</v>
      </c>
      <c r="U27">
        <v>1</v>
      </c>
      <c r="V27">
        <v>15.095944128280532</v>
      </c>
      <c r="W27">
        <v>1.5549115655496644E-2</v>
      </c>
      <c r="X27">
        <v>0.10682672704917365</v>
      </c>
      <c r="Y27">
        <v>1.1068267270491736</v>
      </c>
      <c r="Z27">
        <v>0.75</v>
      </c>
      <c r="AA27">
        <v>1</v>
      </c>
      <c r="AB27">
        <v>0</v>
      </c>
      <c r="AC27">
        <v>1</v>
      </c>
      <c r="AD27">
        <v>-2.307229</v>
      </c>
      <c r="AE27">
        <v>0.5852366</v>
      </c>
      <c r="AF27">
        <v>0.201322</v>
      </c>
      <c r="AG27">
        <v>1.4274935</v>
      </c>
      <c r="AH27">
        <v>-7.1050000000000002E-3</v>
      </c>
      <c r="AI27">
        <v>5.1415999999999996E-3</v>
      </c>
      <c r="AJ27">
        <v>-1.4290590000000001</v>
      </c>
      <c r="AK27">
        <v>4.9200300000000002E-2</v>
      </c>
      <c r="AL27">
        <v>0.14513599999999999</v>
      </c>
      <c r="AM27">
        <v>2.0170299999999999E-2</v>
      </c>
      <c r="AN27">
        <v>-1.032025</v>
      </c>
      <c r="AO27">
        <v>-0.60734497651924468</v>
      </c>
      <c r="AP27">
        <v>0</v>
      </c>
      <c r="AQ27">
        <v>-0.60734497651924468</v>
      </c>
      <c r="AR27">
        <v>-1.9933595677024019E-2</v>
      </c>
      <c r="AS27">
        <v>0.9802637648971958</v>
      </c>
      <c r="AT27">
        <v>0.72299999999999998</v>
      </c>
      <c r="AU27">
        <v>0.3</v>
      </c>
    </row>
    <row r="28" spans="1:47" x14ac:dyDescent="0.25">
      <c r="A28" s="126">
        <v>4</v>
      </c>
      <c r="B28">
        <v>0.50800000000000001</v>
      </c>
      <c r="C28">
        <v>508</v>
      </c>
      <c r="D28">
        <v>1.1130000000000001E-2</v>
      </c>
      <c r="E28">
        <v>11.13</v>
      </c>
      <c r="F28">
        <v>45.642407906558844</v>
      </c>
      <c r="G28">
        <v>100</v>
      </c>
      <c r="H28" t="s">
        <v>120</v>
      </c>
      <c r="I28">
        <v>15</v>
      </c>
      <c r="J28">
        <v>20</v>
      </c>
      <c r="K28">
        <v>552000</v>
      </c>
      <c r="L28">
        <v>625000</v>
      </c>
      <c r="M28">
        <v>2.9888368774026359</v>
      </c>
      <c r="N28" t="s">
        <v>9</v>
      </c>
      <c r="O28" s="126" t="s">
        <v>267</v>
      </c>
      <c r="P28">
        <v>18</v>
      </c>
      <c r="Q28">
        <v>37</v>
      </c>
      <c r="R28">
        <v>0</v>
      </c>
      <c r="S28">
        <v>0</v>
      </c>
      <c r="T28">
        <v>0.9</v>
      </c>
      <c r="U28">
        <v>2</v>
      </c>
      <c r="V28">
        <v>37.739860320701332</v>
      </c>
      <c r="W28">
        <v>3.4007223585342139E-2</v>
      </c>
      <c r="X28">
        <v>0.21447307251904243</v>
      </c>
      <c r="Y28">
        <v>1.7144730725190425</v>
      </c>
      <c r="Z28">
        <v>0.75</v>
      </c>
      <c r="AA28">
        <v>1</v>
      </c>
      <c r="AB28">
        <v>0</v>
      </c>
      <c r="AC28">
        <v>1</v>
      </c>
      <c r="AD28">
        <v>-2.307229</v>
      </c>
      <c r="AE28">
        <v>0.5852366</v>
      </c>
      <c r="AF28">
        <v>0.201322</v>
      </c>
      <c r="AG28">
        <v>1.4274935</v>
      </c>
      <c r="AH28">
        <v>-7.1050000000000002E-3</v>
      </c>
      <c r="AI28">
        <v>5.1415999999999996E-3</v>
      </c>
      <c r="AJ28">
        <v>-1.4290590000000001</v>
      </c>
      <c r="AK28">
        <v>4.9200300000000002E-2</v>
      </c>
      <c r="AL28">
        <v>0.14513599999999999</v>
      </c>
      <c r="AM28">
        <v>2.0170299999999999E-2</v>
      </c>
      <c r="AN28">
        <v>-1.032025</v>
      </c>
      <c r="AO28">
        <v>-0.70001772829745168</v>
      </c>
      <c r="AP28">
        <v>0</v>
      </c>
      <c r="AQ28">
        <v>-0.70001772829745168</v>
      </c>
      <c r="AR28">
        <v>0.13479469944695044</v>
      </c>
      <c r="AS28">
        <v>1.1443018344350007</v>
      </c>
      <c r="AT28">
        <v>0.72299999999999998</v>
      </c>
      <c r="AU28">
        <v>0.3</v>
      </c>
    </row>
    <row r="29" spans="1:47" x14ac:dyDescent="0.25">
      <c r="A29" s="126">
        <v>5</v>
      </c>
      <c r="B29">
        <v>0.60960000000000003</v>
      </c>
      <c r="C29">
        <v>609.6</v>
      </c>
      <c r="D29">
        <v>9.5299999999999985E-3</v>
      </c>
      <c r="E29">
        <v>9.5299999999999994</v>
      </c>
      <c r="F29">
        <v>63.966421825813235</v>
      </c>
      <c r="G29">
        <v>15</v>
      </c>
      <c r="H29" t="s">
        <v>117</v>
      </c>
      <c r="I29">
        <v>8</v>
      </c>
      <c r="J29">
        <v>10</v>
      </c>
      <c r="K29">
        <v>359000</v>
      </c>
      <c r="L29">
        <v>455000</v>
      </c>
      <c r="M29">
        <v>1.9969902892117808</v>
      </c>
      <c r="N29" t="s">
        <v>9</v>
      </c>
      <c r="O29" s="126" t="s">
        <v>268</v>
      </c>
      <c r="P29">
        <v>18.5</v>
      </c>
      <c r="Q29">
        <v>40</v>
      </c>
      <c r="R29">
        <v>0</v>
      </c>
      <c r="S29">
        <v>0</v>
      </c>
      <c r="T29">
        <v>0.9</v>
      </c>
      <c r="U29">
        <v>1</v>
      </c>
      <c r="V29">
        <v>25.741129539100392</v>
      </c>
      <c r="W29">
        <v>2.3022068268715178E-2</v>
      </c>
      <c r="X29">
        <v>8.1563860325678486E-2</v>
      </c>
      <c r="Y29">
        <v>1.0815638603256785</v>
      </c>
      <c r="Z29">
        <v>2.75</v>
      </c>
      <c r="AA29">
        <v>0</v>
      </c>
      <c r="AB29">
        <v>0</v>
      </c>
      <c r="AC29">
        <v>1</v>
      </c>
      <c r="AD29">
        <v>-2.307229</v>
      </c>
      <c r="AE29">
        <v>0.5852366</v>
      </c>
      <c r="AF29">
        <v>0.201322</v>
      </c>
      <c r="AG29">
        <v>1.4274935</v>
      </c>
      <c r="AH29">
        <v>-7.1050000000000002E-3</v>
      </c>
      <c r="AI29">
        <v>5.1415999999999996E-3</v>
      </c>
      <c r="AJ29">
        <v>-1.4290590000000001</v>
      </c>
      <c r="AK29">
        <v>4.9200300000000002E-2</v>
      </c>
      <c r="AL29">
        <v>0.14513599999999999</v>
      </c>
      <c r="AM29">
        <v>2.0170299999999999E-2</v>
      </c>
      <c r="AN29">
        <v>-1.032025</v>
      </c>
      <c r="AO29">
        <v>0</v>
      </c>
      <c r="AP29">
        <v>0</v>
      </c>
      <c r="AQ29">
        <v>0</v>
      </c>
      <c r="AR29">
        <v>0.78030645715329561</v>
      </c>
      <c r="AS29">
        <v>2.1821408957267043</v>
      </c>
      <c r="AT29">
        <v>0.72299999999999998</v>
      </c>
      <c r="AU29">
        <v>0.3</v>
      </c>
    </row>
    <row r="30" spans="1:47" x14ac:dyDescent="0.25">
      <c r="A30" s="126">
        <v>6</v>
      </c>
      <c r="B30">
        <v>0.76200000000000001</v>
      </c>
      <c r="C30">
        <v>762</v>
      </c>
      <c r="D30">
        <v>1.2699999999999999E-2</v>
      </c>
      <c r="E30">
        <v>12.7</v>
      </c>
      <c r="F30">
        <v>60</v>
      </c>
      <c r="G30">
        <v>30</v>
      </c>
      <c r="H30" t="s">
        <v>118</v>
      </c>
      <c r="I30">
        <v>8</v>
      </c>
      <c r="J30">
        <v>12</v>
      </c>
      <c r="K30">
        <v>414000</v>
      </c>
      <c r="L30">
        <v>517000</v>
      </c>
      <c r="M30">
        <v>2.5466769467238102</v>
      </c>
      <c r="N30" t="s">
        <v>9</v>
      </c>
      <c r="O30" s="126" t="s">
        <v>268</v>
      </c>
      <c r="P30">
        <v>18.5</v>
      </c>
      <c r="Q30">
        <v>40</v>
      </c>
      <c r="R30">
        <v>0</v>
      </c>
      <c r="S30">
        <v>0</v>
      </c>
      <c r="T30">
        <v>0.9</v>
      </c>
      <c r="U30">
        <v>2</v>
      </c>
      <c r="V30">
        <v>64.352823847750969</v>
      </c>
      <c r="W30">
        <v>5.5061025879364095E-2</v>
      </c>
      <c r="X30">
        <v>0.24733311166742666</v>
      </c>
      <c r="Y30">
        <v>1.2473331116674267</v>
      </c>
      <c r="Z30">
        <v>3.5</v>
      </c>
      <c r="AA30">
        <v>0</v>
      </c>
      <c r="AB30">
        <v>1</v>
      </c>
      <c r="AC30">
        <v>1</v>
      </c>
      <c r="AD30">
        <v>-2.307229</v>
      </c>
      <c r="AE30">
        <v>0.5852366</v>
      </c>
      <c r="AF30">
        <v>0.201322</v>
      </c>
      <c r="AG30">
        <v>1.4274935</v>
      </c>
      <c r="AH30">
        <v>-7.1050000000000002E-3</v>
      </c>
      <c r="AI30">
        <v>5.1415999999999996E-3</v>
      </c>
      <c r="AJ30">
        <v>-1.4290590000000001</v>
      </c>
      <c r="AK30">
        <v>4.9200300000000002E-2</v>
      </c>
      <c r="AL30">
        <v>0.14513599999999999</v>
      </c>
      <c r="AM30">
        <v>2.0170299999999999E-2</v>
      </c>
      <c r="AN30">
        <v>-1.032025</v>
      </c>
      <c r="AO30">
        <v>0</v>
      </c>
      <c r="AP30">
        <v>3.440732629929924E-2</v>
      </c>
      <c r="AQ30">
        <v>3.440732629929924E-2</v>
      </c>
      <c r="AR30">
        <v>1.0477384074527265</v>
      </c>
      <c r="AS30">
        <v>2.8511955782437828</v>
      </c>
      <c r="AT30">
        <v>0.72299999999999998</v>
      </c>
      <c r="AU30">
        <v>0.3</v>
      </c>
    </row>
    <row r="31" spans="1:47" x14ac:dyDescent="0.25">
      <c r="A31" s="126">
        <v>7</v>
      </c>
      <c r="B31">
        <v>0.86360000000000003</v>
      </c>
      <c r="C31">
        <v>863.6</v>
      </c>
      <c r="D31">
        <v>1.1130000000000001E-2</v>
      </c>
      <c r="E31">
        <v>11.13</v>
      </c>
      <c r="F31">
        <v>77.592093441150041</v>
      </c>
      <c r="G31">
        <v>50</v>
      </c>
      <c r="H31" t="s">
        <v>119</v>
      </c>
      <c r="I31">
        <v>14</v>
      </c>
      <c r="J31">
        <v>15</v>
      </c>
      <c r="K31">
        <v>483000</v>
      </c>
      <c r="L31">
        <v>565000</v>
      </c>
      <c r="M31">
        <v>2.8799444073326219</v>
      </c>
      <c r="N31" t="s">
        <v>9</v>
      </c>
      <c r="O31" s="126" t="s">
        <v>268</v>
      </c>
      <c r="P31">
        <v>18.5</v>
      </c>
      <c r="Q31">
        <v>40</v>
      </c>
      <c r="R31">
        <v>0</v>
      </c>
      <c r="S31">
        <v>0</v>
      </c>
      <c r="T31">
        <v>0.9</v>
      </c>
      <c r="U31">
        <v>1</v>
      </c>
      <c r="V31">
        <v>36.46660018039222</v>
      </c>
      <c r="W31">
        <v>3.2859347057707114E-2</v>
      </c>
      <c r="X31">
        <v>0.19145887314252977</v>
      </c>
      <c r="Y31">
        <v>1.1914588731425297</v>
      </c>
      <c r="Z31">
        <v>1.5</v>
      </c>
      <c r="AA31">
        <v>0</v>
      </c>
      <c r="AB31">
        <v>0</v>
      </c>
      <c r="AC31">
        <v>1</v>
      </c>
      <c r="AD31">
        <v>-2.307229</v>
      </c>
      <c r="AE31">
        <v>0.5852366</v>
      </c>
      <c r="AF31">
        <v>0.201322</v>
      </c>
      <c r="AG31">
        <v>1.4274935</v>
      </c>
      <c r="AH31">
        <v>-7.1050000000000002E-3</v>
      </c>
      <c r="AI31">
        <v>5.1415999999999996E-3</v>
      </c>
      <c r="AJ31">
        <v>-1.4290590000000001</v>
      </c>
      <c r="AK31">
        <v>4.9200300000000002E-2</v>
      </c>
      <c r="AL31">
        <v>0.14513599999999999</v>
      </c>
      <c r="AM31">
        <v>2.0170299999999999E-2</v>
      </c>
      <c r="AN31">
        <v>-1.032025</v>
      </c>
      <c r="AO31">
        <v>0</v>
      </c>
      <c r="AP31">
        <v>0</v>
      </c>
      <c r="AQ31">
        <v>0</v>
      </c>
      <c r="AR31">
        <v>0.963441685919739</v>
      </c>
      <c r="AS31">
        <v>2.6207005981990892</v>
      </c>
      <c r="AT31">
        <v>0.72299999999999998</v>
      </c>
      <c r="AU31">
        <v>0.3</v>
      </c>
    </row>
    <row r="32" spans="1:47" x14ac:dyDescent="0.25">
      <c r="A32" s="126">
        <v>8</v>
      </c>
      <c r="B32">
        <v>1.0668</v>
      </c>
      <c r="C32">
        <v>1066.8</v>
      </c>
      <c r="D32">
        <v>1.2699999999999999E-2</v>
      </c>
      <c r="E32">
        <v>12.7</v>
      </c>
      <c r="F32">
        <v>84</v>
      </c>
      <c r="G32">
        <v>100</v>
      </c>
      <c r="H32" t="s">
        <v>120</v>
      </c>
      <c r="I32">
        <v>15</v>
      </c>
      <c r="J32">
        <v>20</v>
      </c>
      <c r="K32">
        <v>552000</v>
      </c>
      <c r="L32">
        <v>625000</v>
      </c>
      <c r="M32">
        <v>2.9888368774026359</v>
      </c>
      <c r="N32" t="s">
        <v>9</v>
      </c>
      <c r="O32" s="126" t="s">
        <v>270</v>
      </c>
      <c r="P32">
        <v>19</v>
      </c>
      <c r="Q32">
        <v>43</v>
      </c>
      <c r="R32">
        <v>0</v>
      </c>
      <c r="S32">
        <v>0</v>
      </c>
      <c r="T32">
        <v>0.9</v>
      </c>
      <c r="U32">
        <v>2</v>
      </c>
      <c r="V32">
        <v>102.03070645435936</v>
      </c>
      <c r="W32">
        <v>8.6082808953605136E-2</v>
      </c>
      <c r="X32">
        <v>0.46595416078021362</v>
      </c>
      <c r="Y32">
        <v>1.9659541607802136</v>
      </c>
      <c r="Z32">
        <v>1.5</v>
      </c>
      <c r="AA32">
        <v>1</v>
      </c>
      <c r="AB32">
        <v>0</v>
      </c>
      <c r="AC32">
        <v>1</v>
      </c>
      <c r="AD32">
        <v>-2.307229</v>
      </c>
      <c r="AE32">
        <v>0.5852366</v>
      </c>
      <c r="AF32">
        <v>0.201322</v>
      </c>
      <c r="AG32">
        <v>1.4274935</v>
      </c>
      <c r="AH32">
        <v>-7.1050000000000002E-3</v>
      </c>
      <c r="AI32">
        <v>5.1415999999999996E-3</v>
      </c>
      <c r="AJ32">
        <v>-1.4290590000000001</v>
      </c>
      <c r="AK32">
        <v>4.9200300000000002E-2</v>
      </c>
      <c r="AL32">
        <v>0.14513599999999999</v>
      </c>
      <c r="AM32">
        <v>2.0170299999999999E-2</v>
      </c>
      <c r="AN32">
        <v>-1.032025</v>
      </c>
      <c r="AO32">
        <v>-6.8622394401109219E-2</v>
      </c>
      <c r="AP32">
        <v>0</v>
      </c>
      <c r="AQ32">
        <v>-6.8622394401109219E-2</v>
      </c>
      <c r="AR32">
        <v>1.1140829412852633</v>
      </c>
      <c r="AS32">
        <v>3.0467728280542432</v>
      </c>
      <c r="AT32">
        <v>0.72299999999999998</v>
      </c>
      <c r="AU32">
        <v>0.3</v>
      </c>
    </row>
    <row r="33" spans="1:47" x14ac:dyDescent="0.25">
      <c r="A33" s="126">
        <v>9</v>
      </c>
      <c r="B33">
        <v>0.60960000000000003</v>
      </c>
      <c r="C33">
        <v>609.6</v>
      </c>
      <c r="D33">
        <v>1.1130000000000001E-2</v>
      </c>
      <c r="E33">
        <v>11.13</v>
      </c>
      <c r="F33">
        <v>54.770889487870619</v>
      </c>
      <c r="G33">
        <v>150</v>
      </c>
      <c r="H33" t="s">
        <v>187</v>
      </c>
      <c r="I33">
        <v>3</v>
      </c>
      <c r="J33">
        <v>9</v>
      </c>
      <c r="K33">
        <v>290000</v>
      </c>
      <c r="L33">
        <v>414000</v>
      </c>
      <c r="M33">
        <v>1.7363704307629526</v>
      </c>
      <c r="N33" t="s">
        <v>9</v>
      </c>
      <c r="O33" s="126" t="s">
        <v>270</v>
      </c>
      <c r="P33">
        <v>19</v>
      </c>
      <c r="Q33">
        <v>43</v>
      </c>
      <c r="R33">
        <v>0</v>
      </c>
      <c r="S33">
        <v>0</v>
      </c>
      <c r="T33">
        <v>0.9</v>
      </c>
      <c r="U33">
        <v>1</v>
      </c>
      <c r="V33">
        <v>29.151630415531248</v>
      </c>
      <c r="W33">
        <v>2.5345463138869703E-2</v>
      </c>
      <c r="X33">
        <v>0.20709526914689702</v>
      </c>
      <c r="Y33">
        <v>1.707095269146897</v>
      </c>
      <c r="Z33">
        <v>1.5</v>
      </c>
      <c r="AA33">
        <v>0</v>
      </c>
      <c r="AB33">
        <v>0</v>
      </c>
      <c r="AC33">
        <v>1</v>
      </c>
      <c r="AD33">
        <v>-2.307229</v>
      </c>
      <c r="AE33">
        <v>0.5852366</v>
      </c>
      <c r="AF33">
        <v>0.201322</v>
      </c>
      <c r="AG33">
        <v>1.4274935</v>
      </c>
      <c r="AH33">
        <v>-7.1050000000000002E-3</v>
      </c>
      <c r="AI33">
        <v>5.1415999999999996E-3</v>
      </c>
      <c r="AJ33">
        <v>-1.4290590000000001</v>
      </c>
      <c r="AK33">
        <v>4.9200300000000002E-2</v>
      </c>
      <c r="AL33">
        <v>0.14513599999999999</v>
      </c>
      <c r="AM33">
        <v>2.0170299999999999E-2</v>
      </c>
      <c r="AN33">
        <v>-1.032025</v>
      </c>
      <c r="AO33">
        <v>0</v>
      </c>
      <c r="AP33">
        <v>0</v>
      </c>
      <c r="AQ33">
        <v>0</v>
      </c>
      <c r="AR33">
        <v>0.71452669621160059</v>
      </c>
      <c r="AS33">
        <v>2.0432193898872777</v>
      </c>
      <c r="AT33">
        <v>0.72299999999999998</v>
      </c>
      <c r="AU33">
        <v>0.3</v>
      </c>
    </row>
    <row r="34" spans="1:47" x14ac:dyDescent="0.25">
      <c r="A34" s="126">
        <v>10</v>
      </c>
      <c r="B34">
        <v>0.60960000000000003</v>
      </c>
      <c r="C34">
        <v>609.6</v>
      </c>
      <c r="D34">
        <v>1.1130000000000001E-2</v>
      </c>
      <c r="E34">
        <v>11.13</v>
      </c>
      <c r="F34">
        <v>54.770889487870619</v>
      </c>
      <c r="G34">
        <v>200</v>
      </c>
      <c r="H34" t="s">
        <v>186</v>
      </c>
      <c r="I34">
        <v>3</v>
      </c>
      <c r="J34">
        <v>8</v>
      </c>
      <c r="K34">
        <v>241000</v>
      </c>
      <c r="L34">
        <v>344000</v>
      </c>
      <c r="M34">
        <v>1.1599577949833839</v>
      </c>
      <c r="N34" t="s">
        <v>9</v>
      </c>
      <c r="O34" s="126" t="s">
        <v>270</v>
      </c>
      <c r="P34">
        <v>19</v>
      </c>
      <c r="Q34">
        <v>43</v>
      </c>
      <c r="R34">
        <v>0</v>
      </c>
      <c r="S34">
        <v>0</v>
      </c>
      <c r="T34">
        <v>0.9</v>
      </c>
      <c r="U34">
        <v>2</v>
      </c>
      <c r="V34">
        <v>58.303260831062495</v>
      </c>
      <c r="W34">
        <v>4.7691565842539682E-2</v>
      </c>
      <c r="X34">
        <v>0.31151836593386051</v>
      </c>
      <c r="Y34">
        <v>1.8115183659338605</v>
      </c>
      <c r="Z34">
        <v>2.75</v>
      </c>
      <c r="AA34">
        <v>0</v>
      </c>
      <c r="AB34">
        <v>0</v>
      </c>
      <c r="AC34">
        <v>1</v>
      </c>
      <c r="AD34">
        <v>-2.307229</v>
      </c>
      <c r="AE34">
        <v>0.5852366</v>
      </c>
      <c r="AF34">
        <v>0.201322</v>
      </c>
      <c r="AG34">
        <v>1.4274935</v>
      </c>
      <c r="AH34">
        <v>-7.1050000000000002E-3</v>
      </c>
      <c r="AI34">
        <v>5.1415999999999996E-3</v>
      </c>
      <c r="AJ34">
        <v>-1.4290590000000001</v>
      </c>
      <c r="AK34">
        <v>4.9200300000000002E-2</v>
      </c>
      <c r="AL34">
        <v>0.14513599999999999</v>
      </c>
      <c r="AM34">
        <v>2.0170299999999999E-2</v>
      </c>
      <c r="AN34">
        <v>-1.032025</v>
      </c>
      <c r="AO34">
        <v>0</v>
      </c>
      <c r="AP34">
        <v>0</v>
      </c>
      <c r="AQ34">
        <v>0</v>
      </c>
      <c r="AR34">
        <v>0.85407247289628985</v>
      </c>
      <c r="AS34">
        <v>2.3491944282446702</v>
      </c>
      <c r="AT34">
        <v>0.72299999999999998</v>
      </c>
      <c r="AU34">
        <v>0.3</v>
      </c>
    </row>
    <row r="35" spans="1:47" x14ac:dyDescent="0.25">
      <c r="A35" s="126">
        <v>11</v>
      </c>
      <c r="B35">
        <v>0.20319999999999999</v>
      </c>
      <c r="C35">
        <v>203.2</v>
      </c>
      <c r="D35">
        <v>5.5599999999999998E-3</v>
      </c>
      <c r="E35">
        <v>5.56</v>
      </c>
      <c r="F35">
        <v>36.546762589928058</v>
      </c>
      <c r="G35">
        <v>15</v>
      </c>
      <c r="H35" t="s">
        <v>117</v>
      </c>
      <c r="I35">
        <v>8</v>
      </c>
      <c r="J35">
        <v>10</v>
      </c>
      <c r="K35">
        <v>359000</v>
      </c>
      <c r="L35">
        <v>455000</v>
      </c>
      <c r="M35">
        <v>1.9969902892117808</v>
      </c>
      <c r="N35" t="s">
        <v>10</v>
      </c>
      <c r="O35" s="126" t="s">
        <v>265</v>
      </c>
      <c r="P35">
        <v>17.5</v>
      </c>
      <c r="Q35">
        <v>0</v>
      </c>
      <c r="R35">
        <v>37.5</v>
      </c>
      <c r="S35">
        <v>1.1000000000000001</v>
      </c>
      <c r="T35">
        <v>0.9</v>
      </c>
      <c r="U35">
        <v>0</v>
      </c>
      <c r="V35">
        <v>26.332829622389642</v>
      </c>
      <c r="W35">
        <v>2.350134533617947E-2</v>
      </c>
      <c r="X35">
        <v>7.0401619555061065E-2</v>
      </c>
      <c r="Y35">
        <v>1.070401619555061</v>
      </c>
      <c r="Z35">
        <v>0.75</v>
      </c>
      <c r="AA35">
        <v>1</v>
      </c>
      <c r="AB35">
        <v>0</v>
      </c>
      <c r="AC35">
        <v>0</v>
      </c>
      <c r="AD35">
        <v>-2.307229</v>
      </c>
      <c r="AE35">
        <v>0.5852366</v>
      </c>
      <c r="AF35">
        <v>0.201322</v>
      </c>
      <c r="AG35">
        <v>1.4274935</v>
      </c>
      <c r="AH35">
        <v>-7.1050000000000002E-3</v>
      </c>
      <c r="AI35">
        <v>5.1415999999999996E-3</v>
      </c>
      <c r="AJ35">
        <v>-1.4290590000000001</v>
      </c>
      <c r="AK35">
        <v>4.9200300000000002E-2</v>
      </c>
      <c r="AL35">
        <v>0.14513599999999999</v>
      </c>
      <c r="AM35">
        <v>2.0170299999999999E-2</v>
      </c>
      <c r="AN35">
        <v>-1.032025</v>
      </c>
      <c r="AO35">
        <v>-0.51145365159113909</v>
      </c>
      <c r="AP35">
        <v>0</v>
      </c>
      <c r="AQ35">
        <v>-0.51145365159113909</v>
      </c>
      <c r="AR35">
        <v>-0.58479113632895929</v>
      </c>
      <c r="AS35">
        <v>0.55722223314007857</v>
      </c>
      <c r="AT35">
        <v>0.72299999999999998</v>
      </c>
      <c r="AU35">
        <v>0.3</v>
      </c>
    </row>
    <row r="36" spans="1:47" x14ac:dyDescent="0.25">
      <c r="A36" s="126">
        <v>12</v>
      </c>
      <c r="B36">
        <v>0.30480000000000002</v>
      </c>
      <c r="C36">
        <v>304.8</v>
      </c>
      <c r="D36">
        <v>7.1399999999999996E-3</v>
      </c>
      <c r="E36">
        <v>7.14</v>
      </c>
      <c r="F36">
        <v>42.689075630252105</v>
      </c>
      <c r="G36">
        <v>30</v>
      </c>
      <c r="H36" t="s">
        <v>118</v>
      </c>
      <c r="I36">
        <v>8</v>
      </c>
      <c r="J36">
        <v>12</v>
      </c>
      <c r="K36">
        <v>414000</v>
      </c>
      <c r="L36">
        <v>517000</v>
      </c>
      <c r="M36">
        <v>2.5466769467238102</v>
      </c>
      <c r="N36" t="s">
        <v>10</v>
      </c>
      <c r="O36" s="126" t="s">
        <v>265</v>
      </c>
      <c r="P36">
        <v>17.5</v>
      </c>
      <c r="Q36">
        <v>0</v>
      </c>
      <c r="R36">
        <v>37.5</v>
      </c>
      <c r="S36">
        <v>1.1000000000000001</v>
      </c>
      <c r="T36">
        <v>0.9</v>
      </c>
      <c r="U36">
        <v>0</v>
      </c>
      <c r="V36">
        <v>39.499244433584465</v>
      </c>
      <c r="W36">
        <v>3.4929626553889231E-2</v>
      </c>
      <c r="X36">
        <v>0.15301812852026347</v>
      </c>
      <c r="Y36">
        <v>1.1530181285202634</v>
      </c>
      <c r="Z36">
        <v>0.75</v>
      </c>
      <c r="AA36">
        <v>1</v>
      </c>
      <c r="AB36">
        <v>0</v>
      </c>
      <c r="AC36">
        <v>0</v>
      </c>
      <c r="AD36">
        <v>-2.307229</v>
      </c>
      <c r="AE36">
        <v>0.5852366</v>
      </c>
      <c r="AF36">
        <v>0.201322</v>
      </c>
      <c r="AG36">
        <v>1.4274935</v>
      </c>
      <c r="AH36">
        <v>-7.1050000000000002E-3</v>
      </c>
      <c r="AI36">
        <v>5.1415999999999996E-3</v>
      </c>
      <c r="AJ36">
        <v>-1.4290590000000001</v>
      </c>
      <c r="AK36">
        <v>4.9200300000000002E-2</v>
      </c>
      <c r="AL36">
        <v>0.14513599999999999</v>
      </c>
      <c r="AM36">
        <v>2.0170299999999999E-2</v>
      </c>
      <c r="AN36">
        <v>-1.032025</v>
      </c>
      <c r="AO36">
        <v>-0.60214698226649055</v>
      </c>
      <c r="AP36">
        <v>0</v>
      </c>
      <c r="AQ36">
        <v>-0.60214698226649055</v>
      </c>
      <c r="AR36">
        <v>-0.56189437101015471</v>
      </c>
      <c r="AS36">
        <v>0.57012800624291049</v>
      </c>
      <c r="AT36">
        <v>0.72299999999999998</v>
      </c>
      <c r="AU36">
        <v>0.3</v>
      </c>
    </row>
    <row r="37" spans="1:47" x14ac:dyDescent="0.25">
      <c r="A37" s="126">
        <v>13</v>
      </c>
      <c r="B37">
        <v>0.40639999999999998</v>
      </c>
      <c r="C37">
        <v>406.4</v>
      </c>
      <c r="D37">
        <v>9.5299999999999985E-3</v>
      </c>
      <c r="E37">
        <v>9.5299999999999994</v>
      </c>
      <c r="F37">
        <v>42.644281217208821</v>
      </c>
      <c r="G37">
        <v>50</v>
      </c>
      <c r="H37" t="s">
        <v>119</v>
      </c>
      <c r="I37">
        <v>14</v>
      </c>
      <c r="J37">
        <v>15</v>
      </c>
      <c r="K37">
        <v>483000</v>
      </c>
      <c r="L37">
        <v>565000</v>
      </c>
      <c r="M37">
        <v>2.8799444073326219</v>
      </c>
      <c r="N37" t="s">
        <v>10</v>
      </c>
      <c r="O37" s="126" t="s">
        <v>265</v>
      </c>
      <c r="P37">
        <v>17.5</v>
      </c>
      <c r="Q37">
        <v>0</v>
      </c>
      <c r="R37">
        <v>37.5</v>
      </c>
      <c r="S37">
        <v>1.1000000000000001</v>
      </c>
      <c r="T37">
        <v>0.9</v>
      </c>
      <c r="U37">
        <v>0</v>
      </c>
      <c r="V37">
        <v>52.665659244779285</v>
      </c>
      <c r="W37">
        <v>4.5980584899860635E-2</v>
      </c>
      <c r="X37">
        <v>0.22103278039106702</v>
      </c>
      <c r="Y37">
        <v>1.221032780391067</v>
      </c>
      <c r="Z37">
        <v>0.75</v>
      </c>
      <c r="AA37">
        <v>1</v>
      </c>
      <c r="AB37">
        <v>0</v>
      </c>
      <c r="AC37">
        <v>0</v>
      </c>
      <c r="AD37">
        <v>-2.307229</v>
      </c>
      <c r="AE37">
        <v>0.5852366</v>
      </c>
      <c r="AF37">
        <v>0.201322</v>
      </c>
      <c r="AG37">
        <v>1.4274935</v>
      </c>
      <c r="AH37">
        <v>-7.1050000000000002E-3</v>
      </c>
      <c r="AI37">
        <v>5.1415999999999996E-3</v>
      </c>
      <c r="AJ37">
        <v>-1.4290590000000001</v>
      </c>
      <c r="AK37">
        <v>4.9200300000000002E-2</v>
      </c>
      <c r="AL37">
        <v>0.14513599999999999</v>
      </c>
      <c r="AM37">
        <v>2.0170299999999999E-2</v>
      </c>
      <c r="AN37">
        <v>-1.032025</v>
      </c>
      <c r="AO37">
        <v>-0.6473721201748025</v>
      </c>
      <c r="AP37">
        <v>0</v>
      </c>
      <c r="AQ37">
        <v>-0.6473721201748025</v>
      </c>
      <c r="AR37">
        <v>-0.59642764612512122</v>
      </c>
      <c r="AS37">
        <v>0.55077569153060479</v>
      </c>
      <c r="AT37">
        <v>0.72299999999999998</v>
      </c>
      <c r="AU37">
        <v>0.3</v>
      </c>
    </row>
    <row r="38" spans="1:47" x14ac:dyDescent="0.25">
      <c r="A38" s="126">
        <v>14</v>
      </c>
      <c r="B38">
        <v>0.50800000000000001</v>
      </c>
      <c r="C38">
        <v>508</v>
      </c>
      <c r="D38">
        <v>1.1130000000000001E-2</v>
      </c>
      <c r="E38">
        <v>11.13</v>
      </c>
      <c r="F38">
        <v>45.642407906558844</v>
      </c>
      <c r="G38">
        <v>100</v>
      </c>
      <c r="H38" t="s">
        <v>120</v>
      </c>
      <c r="I38">
        <v>15</v>
      </c>
      <c r="J38">
        <v>20</v>
      </c>
      <c r="K38">
        <v>552000</v>
      </c>
      <c r="L38">
        <v>625000</v>
      </c>
      <c r="M38">
        <v>2.9888368774026359</v>
      </c>
      <c r="N38" t="s">
        <v>10</v>
      </c>
      <c r="O38" s="126" t="s">
        <v>265</v>
      </c>
      <c r="P38">
        <v>17.5</v>
      </c>
      <c r="Q38">
        <v>0</v>
      </c>
      <c r="R38">
        <v>37.5</v>
      </c>
      <c r="S38">
        <v>1.1000000000000001</v>
      </c>
      <c r="T38">
        <v>0.9</v>
      </c>
      <c r="U38">
        <v>0</v>
      </c>
      <c r="V38">
        <v>65.832074055974104</v>
      </c>
      <c r="W38">
        <v>5.6761916710913081E-2</v>
      </c>
      <c r="X38">
        <v>0.30141505236031529</v>
      </c>
      <c r="Y38">
        <v>1.8014150523603152</v>
      </c>
      <c r="Z38">
        <v>0.75</v>
      </c>
      <c r="AA38">
        <v>1</v>
      </c>
      <c r="AB38">
        <v>0</v>
      </c>
      <c r="AC38">
        <v>0</v>
      </c>
      <c r="AD38">
        <v>-2.307229</v>
      </c>
      <c r="AE38">
        <v>0.5852366</v>
      </c>
      <c r="AF38">
        <v>0.201322</v>
      </c>
      <c r="AG38">
        <v>1.4274935</v>
      </c>
      <c r="AH38">
        <v>-7.1050000000000002E-3</v>
      </c>
      <c r="AI38">
        <v>5.1415999999999996E-3</v>
      </c>
      <c r="AJ38">
        <v>-1.4290590000000001</v>
      </c>
      <c r="AK38">
        <v>4.9200300000000002E-2</v>
      </c>
      <c r="AL38">
        <v>0.14513599999999999</v>
      </c>
      <c r="AM38">
        <v>2.0170299999999999E-2</v>
      </c>
      <c r="AN38">
        <v>-1.032025</v>
      </c>
      <c r="AO38">
        <v>-0.70363623213972026</v>
      </c>
      <c r="AP38">
        <v>0</v>
      </c>
      <c r="AQ38">
        <v>-0.70363623213972026</v>
      </c>
      <c r="AR38">
        <v>-0.59886235386354869</v>
      </c>
      <c r="AS38">
        <v>0.54943634481282166</v>
      </c>
      <c r="AT38">
        <v>0.72299999999999998</v>
      </c>
      <c r="AU38">
        <v>0.3</v>
      </c>
    </row>
    <row r="39" spans="1:47" x14ac:dyDescent="0.25">
      <c r="A39" s="126">
        <v>15</v>
      </c>
      <c r="B39">
        <v>0.60960000000000003</v>
      </c>
      <c r="C39">
        <v>609.6</v>
      </c>
      <c r="D39">
        <v>9.5299999999999985E-3</v>
      </c>
      <c r="E39">
        <v>9.5299999999999994</v>
      </c>
      <c r="F39">
        <v>63.966421825813235</v>
      </c>
      <c r="G39">
        <v>15</v>
      </c>
      <c r="H39" t="s">
        <v>117</v>
      </c>
      <c r="I39">
        <v>8</v>
      </c>
      <c r="J39">
        <v>10</v>
      </c>
      <c r="K39">
        <v>359000</v>
      </c>
      <c r="L39">
        <v>455000</v>
      </c>
      <c r="M39">
        <v>1.9969902892117808</v>
      </c>
      <c r="N39" t="s">
        <v>10</v>
      </c>
      <c r="O39" s="126" t="s">
        <v>269</v>
      </c>
      <c r="P39">
        <v>18</v>
      </c>
      <c r="Q39">
        <v>0</v>
      </c>
      <c r="R39">
        <v>75</v>
      </c>
      <c r="S39">
        <v>0.72</v>
      </c>
      <c r="T39">
        <v>0.9</v>
      </c>
      <c r="U39">
        <v>0</v>
      </c>
      <c r="V39">
        <v>103.41620360793024</v>
      </c>
      <c r="W39">
        <v>8.5938878264467361E-2</v>
      </c>
      <c r="X39">
        <v>0.34319449854464201</v>
      </c>
      <c r="Y39">
        <v>1.343194498544642</v>
      </c>
      <c r="Z39">
        <v>0.75</v>
      </c>
      <c r="AA39">
        <v>1</v>
      </c>
      <c r="AB39">
        <v>0</v>
      </c>
      <c r="AC39">
        <v>0</v>
      </c>
      <c r="AD39">
        <v>-2.307229</v>
      </c>
      <c r="AE39">
        <v>0.5852366</v>
      </c>
      <c r="AF39">
        <v>0.201322</v>
      </c>
      <c r="AG39">
        <v>1.4274935</v>
      </c>
      <c r="AH39">
        <v>-7.1050000000000002E-3</v>
      </c>
      <c r="AI39">
        <v>5.1415999999999996E-3</v>
      </c>
      <c r="AJ39">
        <v>-1.4290590000000001</v>
      </c>
      <c r="AK39">
        <v>4.9200300000000002E-2</v>
      </c>
      <c r="AL39">
        <v>0.14513599999999999</v>
      </c>
      <c r="AM39">
        <v>2.0170299999999999E-2</v>
      </c>
      <c r="AN39">
        <v>-1.032025</v>
      </c>
      <c r="AO39">
        <v>-0.64451052521418639</v>
      </c>
      <c r="AP39">
        <v>0</v>
      </c>
      <c r="AQ39">
        <v>-0.64451052521418639</v>
      </c>
      <c r="AR39">
        <v>-0.35698842861680458</v>
      </c>
      <c r="AS39">
        <v>0.69978059511718083</v>
      </c>
      <c r="AT39">
        <v>0.72299999999999998</v>
      </c>
      <c r="AU39">
        <v>0.3</v>
      </c>
    </row>
    <row r="40" spans="1:47" x14ac:dyDescent="0.25">
      <c r="A40" s="126">
        <v>16</v>
      </c>
      <c r="B40">
        <v>0.76200000000000001</v>
      </c>
      <c r="C40">
        <v>762</v>
      </c>
      <c r="D40">
        <v>1.2699999999999999E-2</v>
      </c>
      <c r="E40">
        <v>12.7</v>
      </c>
      <c r="F40">
        <v>60</v>
      </c>
      <c r="G40">
        <v>30</v>
      </c>
      <c r="H40" t="s">
        <v>118</v>
      </c>
      <c r="I40">
        <v>8</v>
      </c>
      <c r="J40">
        <v>12</v>
      </c>
      <c r="K40">
        <v>414000</v>
      </c>
      <c r="L40">
        <v>517000</v>
      </c>
      <c r="M40">
        <v>2.5466769467238102</v>
      </c>
      <c r="N40" t="s">
        <v>10</v>
      </c>
      <c r="O40" s="126" t="s">
        <v>269</v>
      </c>
      <c r="P40">
        <v>18</v>
      </c>
      <c r="Q40">
        <v>0</v>
      </c>
      <c r="R40">
        <v>75</v>
      </c>
      <c r="S40">
        <v>0.72</v>
      </c>
      <c r="T40">
        <v>0.9</v>
      </c>
      <c r="U40">
        <v>0</v>
      </c>
      <c r="V40">
        <v>129.2702545099128</v>
      </c>
      <c r="W40">
        <v>0.10764414471571518</v>
      </c>
      <c r="X40">
        <v>0.46262651833971924</v>
      </c>
      <c r="Y40">
        <v>1.4626265183397194</v>
      </c>
      <c r="Z40">
        <v>1.5</v>
      </c>
      <c r="AA40">
        <v>1</v>
      </c>
      <c r="AB40">
        <v>0</v>
      </c>
      <c r="AC40">
        <v>0</v>
      </c>
      <c r="AD40">
        <v>-2.307229</v>
      </c>
      <c r="AE40">
        <v>0.5852366</v>
      </c>
      <c r="AF40">
        <v>0.201322</v>
      </c>
      <c r="AG40">
        <v>1.4274935</v>
      </c>
      <c r="AH40">
        <v>-7.1050000000000002E-3</v>
      </c>
      <c r="AI40">
        <v>5.1415999999999996E-3</v>
      </c>
      <c r="AJ40">
        <v>-1.4290590000000001</v>
      </c>
      <c r="AK40">
        <v>4.9200300000000002E-2</v>
      </c>
      <c r="AL40">
        <v>0.14513599999999999</v>
      </c>
      <c r="AM40">
        <v>2.0170299999999999E-2</v>
      </c>
      <c r="AN40">
        <v>-1.032025</v>
      </c>
      <c r="AO40">
        <v>-4.6730844270599627E-2</v>
      </c>
      <c r="AP40">
        <v>0</v>
      </c>
      <c r="AQ40">
        <v>-4.6730844270599627E-2</v>
      </c>
      <c r="AR40">
        <v>1.8835024417450885E-2</v>
      </c>
      <c r="AS40">
        <v>1.0190135223999457</v>
      </c>
      <c r="AT40">
        <v>0.72299999999999998</v>
      </c>
      <c r="AU40">
        <v>0.3</v>
      </c>
    </row>
    <row r="41" spans="1:47" x14ac:dyDescent="0.25">
      <c r="A41" s="126">
        <v>17</v>
      </c>
      <c r="B41">
        <v>0.86360000000000003</v>
      </c>
      <c r="C41">
        <v>863.6</v>
      </c>
      <c r="D41">
        <v>1.1130000000000001E-2</v>
      </c>
      <c r="E41">
        <v>11.13</v>
      </c>
      <c r="F41">
        <v>77.592093441150041</v>
      </c>
      <c r="G41">
        <v>50</v>
      </c>
      <c r="H41" t="s">
        <v>119</v>
      </c>
      <c r="I41">
        <v>14</v>
      </c>
      <c r="J41">
        <v>15</v>
      </c>
      <c r="K41">
        <v>483000</v>
      </c>
      <c r="L41">
        <v>565000</v>
      </c>
      <c r="M41">
        <v>2.8799444073326219</v>
      </c>
      <c r="N41" t="s">
        <v>10</v>
      </c>
      <c r="O41" s="126" t="s">
        <v>269</v>
      </c>
      <c r="P41">
        <v>18</v>
      </c>
      <c r="Q41">
        <v>0</v>
      </c>
      <c r="R41">
        <v>75</v>
      </c>
      <c r="S41">
        <v>0.72</v>
      </c>
      <c r="T41">
        <v>0.9</v>
      </c>
      <c r="U41">
        <v>0</v>
      </c>
      <c r="V41">
        <v>146.50628844456784</v>
      </c>
      <c r="W41">
        <v>0.12199149455168937</v>
      </c>
      <c r="X41">
        <v>0.57931434087634726</v>
      </c>
      <c r="Y41">
        <v>1.5793143408763473</v>
      </c>
      <c r="Z41">
        <v>1.5</v>
      </c>
      <c r="AA41">
        <v>1</v>
      </c>
      <c r="AB41">
        <v>0</v>
      </c>
      <c r="AC41">
        <v>0</v>
      </c>
      <c r="AD41">
        <v>-2.307229</v>
      </c>
      <c r="AE41">
        <v>0.5852366</v>
      </c>
      <c r="AF41">
        <v>0.201322</v>
      </c>
      <c r="AG41">
        <v>1.4274935</v>
      </c>
      <c r="AH41">
        <v>-7.1050000000000002E-3</v>
      </c>
      <c r="AI41">
        <v>5.1415999999999996E-3</v>
      </c>
      <c r="AJ41">
        <v>-1.4290590000000001</v>
      </c>
      <c r="AK41">
        <v>4.9200300000000002E-2</v>
      </c>
      <c r="AL41">
        <v>0.14513599999999999</v>
      </c>
      <c r="AM41">
        <v>2.0170299999999999E-2</v>
      </c>
      <c r="AN41">
        <v>-1.032025</v>
      </c>
      <c r="AO41">
        <v>-0.13656097636803749</v>
      </c>
      <c r="AP41">
        <v>0</v>
      </c>
      <c r="AQ41">
        <v>-0.13656097636803749</v>
      </c>
      <c r="AR41">
        <v>3.4566429204756499E-2</v>
      </c>
      <c r="AS41">
        <v>1.0351707916646211</v>
      </c>
      <c r="AT41">
        <v>0.72299999999999998</v>
      </c>
      <c r="AU41">
        <v>0.3</v>
      </c>
    </row>
    <row r="42" spans="1:47" x14ac:dyDescent="0.25">
      <c r="A42" s="126">
        <v>18</v>
      </c>
      <c r="B42">
        <v>1.0668</v>
      </c>
      <c r="C42">
        <v>1066.8</v>
      </c>
      <c r="D42">
        <v>1.2699999999999999E-2</v>
      </c>
      <c r="E42">
        <v>12.7</v>
      </c>
      <c r="F42">
        <v>84</v>
      </c>
      <c r="G42">
        <v>100</v>
      </c>
      <c r="H42" t="s">
        <v>120</v>
      </c>
      <c r="I42">
        <v>15</v>
      </c>
      <c r="J42">
        <v>20</v>
      </c>
      <c r="K42">
        <v>552000</v>
      </c>
      <c r="L42">
        <v>625000</v>
      </c>
      <c r="M42">
        <v>2.9888368774026359</v>
      </c>
      <c r="N42" t="s">
        <v>10</v>
      </c>
      <c r="O42" s="126" t="s">
        <v>266</v>
      </c>
      <c r="P42">
        <v>18.5</v>
      </c>
      <c r="Q42">
        <v>0</v>
      </c>
      <c r="R42">
        <v>125</v>
      </c>
      <c r="S42">
        <v>0.4</v>
      </c>
      <c r="T42">
        <v>0.9</v>
      </c>
      <c r="U42">
        <v>0</v>
      </c>
      <c r="V42">
        <v>167.57255214247957</v>
      </c>
      <c r="W42">
        <v>0.13917170396098252</v>
      </c>
      <c r="X42">
        <v>0.70118132861093019</v>
      </c>
      <c r="Y42">
        <v>2.2011813286109301</v>
      </c>
      <c r="Z42">
        <v>1.5</v>
      </c>
      <c r="AA42">
        <v>1</v>
      </c>
      <c r="AB42">
        <v>0</v>
      </c>
      <c r="AC42">
        <v>0</v>
      </c>
      <c r="AD42">
        <v>-2.307229</v>
      </c>
      <c r="AE42">
        <v>0.5852366</v>
      </c>
      <c r="AF42">
        <v>0.201322</v>
      </c>
      <c r="AG42">
        <v>1.4274935</v>
      </c>
      <c r="AH42">
        <v>-7.1050000000000002E-3</v>
      </c>
      <c r="AI42">
        <v>5.1415999999999996E-3</v>
      </c>
      <c r="AJ42">
        <v>-1.4290590000000001</v>
      </c>
      <c r="AK42">
        <v>4.9200300000000002E-2</v>
      </c>
      <c r="AL42">
        <v>0.14513599999999999</v>
      </c>
      <c r="AM42">
        <v>2.0170299999999999E-2</v>
      </c>
      <c r="AN42">
        <v>-1.032025</v>
      </c>
      <c r="AO42">
        <v>-0.19777054799268215</v>
      </c>
      <c r="AP42">
        <v>0</v>
      </c>
      <c r="AQ42">
        <v>-0.19777054799268215</v>
      </c>
      <c r="AR42">
        <v>-1.0808663411078889E-2</v>
      </c>
      <c r="AS42">
        <v>0.98924954030109691</v>
      </c>
      <c r="AT42">
        <v>0.72299999999999998</v>
      </c>
      <c r="AU42">
        <v>0.3</v>
      </c>
    </row>
    <row r="43" spans="1:47" x14ac:dyDescent="0.25">
      <c r="A43" s="126">
        <v>19</v>
      </c>
      <c r="B43">
        <v>0.60960000000000003</v>
      </c>
      <c r="C43">
        <v>609.6</v>
      </c>
      <c r="D43">
        <v>1.1130000000000001E-2</v>
      </c>
      <c r="E43">
        <v>11.13</v>
      </c>
      <c r="F43">
        <v>54.770889487870619</v>
      </c>
      <c r="G43">
        <v>150</v>
      </c>
      <c r="H43" t="s">
        <v>187</v>
      </c>
      <c r="I43">
        <v>3</v>
      </c>
      <c r="J43">
        <v>9</v>
      </c>
      <c r="K43">
        <v>290000</v>
      </c>
      <c r="L43">
        <v>414000</v>
      </c>
      <c r="M43">
        <v>1.7363704307629526</v>
      </c>
      <c r="N43" t="s">
        <v>10</v>
      </c>
      <c r="O43" s="126" t="s">
        <v>266</v>
      </c>
      <c r="P43">
        <v>18.5</v>
      </c>
      <c r="Q43">
        <v>0</v>
      </c>
      <c r="R43">
        <v>125</v>
      </c>
      <c r="S43">
        <v>0.4</v>
      </c>
      <c r="T43">
        <v>0.9</v>
      </c>
      <c r="U43">
        <v>0</v>
      </c>
      <c r="V43">
        <v>95.755744081416907</v>
      </c>
      <c r="W43">
        <v>7.9294795208237082E-2</v>
      </c>
      <c r="X43">
        <v>0.42306301468311602</v>
      </c>
      <c r="Y43">
        <v>1.923063014683116</v>
      </c>
      <c r="Z43">
        <v>7.5</v>
      </c>
      <c r="AA43">
        <v>0</v>
      </c>
      <c r="AB43">
        <v>1</v>
      </c>
      <c r="AC43">
        <v>0</v>
      </c>
      <c r="AD43">
        <v>-2.307229</v>
      </c>
      <c r="AE43">
        <v>0.5852366</v>
      </c>
      <c r="AF43">
        <v>0.201322</v>
      </c>
      <c r="AG43">
        <v>1.4274935</v>
      </c>
      <c r="AH43">
        <v>-7.1050000000000002E-3</v>
      </c>
      <c r="AI43">
        <v>5.1415999999999996E-3</v>
      </c>
      <c r="AJ43">
        <v>-1.4290590000000001</v>
      </c>
      <c r="AK43">
        <v>4.9200300000000002E-2</v>
      </c>
      <c r="AL43">
        <v>0.14513599999999999</v>
      </c>
      <c r="AM43">
        <v>2.0170299999999999E-2</v>
      </c>
      <c r="AN43">
        <v>-1.032025</v>
      </c>
      <c r="AO43">
        <v>0</v>
      </c>
      <c r="AP43">
        <v>2.3499863959925666</v>
      </c>
      <c r="AQ43">
        <v>2.3499863959925666</v>
      </c>
      <c r="AR43">
        <v>17.660464038190291</v>
      </c>
      <c r="AS43">
        <v>100</v>
      </c>
      <c r="AT43">
        <v>0.72299999999999998</v>
      </c>
      <c r="AU43">
        <v>0.3</v>
      </c>
    </row>
    <row r="44" spans="1:47" x14ac:dyDescent="0.25">
      <c r="A44" s="126">
        <v>20</v>
      </c>
      <c r="B44">
        <v>0.60960000000000003</v>
      </c>
      <c r="C44">
        <v>609.6</v>
      </c>
      <c r="D44">
        <v>1.1130000000000001E-2</v>
      </c>
      <c r="E44">
        <v>11.13</v>
      </c>
      <c r="F44">
        <v>54.770889487870619</v>
      </c>
      <c r="G44">
        <v>200</v>
      </c>
      <c r="H44" t="s">
        <v>186</v>
      </c>
      <c r="I44">
        <v>3</v>
      </c>
      <c r="J44">
        <v>8</v>
      </c>
      <c r="K44">
        <v>241000</v>
      </c>
      <c r="L44">
        <v>344000</v>
      </c>
      <c r="M44">
        <v>1.1599577949833839</v>
      </c>
      <c r="N44" t="s">
        <v>10</v>
      </c>
      <c r="O44" s="126" t="s">
        <v>266</v>
      </c>
      <c r="P44">
        <v>18.5</v>
      </c>
      <c r="Q44">
        <v>0</v>
      </c>
      <c r="R44">
        <v>125</v>
      </c>
      <c r="S44">
        <v>0.4</v>
      </c>
      <c r="T44">
        <v>0.9</v>
      </c>
      <c r="U44">
        <v>0</v>
      </c>
      <c r="V44">
        <v>95.755744081416907</v>
      </c>
      <c r="W44">
        <v>7.8028077275326749E-2</v>
      </c>
      <c r="X44">
        <v>0.43296023982302467</v>
      </c>
      <c r="Y44">
        <v>1.9329602398230246</v>
      </c>
      <c r="Z44">
        <v>3.5</v>
      </c>
      <c r="AA44">
        <v>0</v>
      </c>
      <c r="AB44">
        <v>0</v>
      </c>
      <c r="AC44">
        <v>0</v>
      </c>
      <c r="AD44">
        <v>-2.307229</v>
      </c>
      <c r="AE44">
        <v>0.5852366</v>
      </c>
      <c r="AF44">
        <v>0.201322</v>
      </c>
      <c r="AG44">
        <v>1.4274935</v>
      </c>
      <c r="AH44">
        <v>-7.1050000000000002E-3</v>
      </c>
      <c r="AI44">
        <v>5.1415999999999996E-3</v>
      </c>
      <c r="AJ44">
        <v>-1.4290590000000001</v>
      </c>
      <c r="AK44">
        <v>4.9200300000000002E-2</v>
      </c>
      <c r="AL44">
        <v>0.14513599999999999</v>
      </c>
      <c r="AM44">
        <v>2.0170299999999999E-2</v>
      </c>
      <c r="AN44">
        <v>-1.032025</v>
      </c>
      <c r="AO44">
        <v>0</v>
      </c>
      <c r="AP44">
        <v>0</v>
      </c>
      <c r="AQ44">
        <v>0</v>
      </c>
      <c r="AR44">
        <v>3.5566068246042359E-2</v>
      </c>
      <c r="AS44">
        <v>1.0362061061865622</v>
      </c>
      <c r="AT44">
        <v>0.72299999999999998</v>
      </c>
      <c r="AU44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AF8F-DC61-47E3-BD43-5FA40AEA5E96}">
  <sheetPr>
    <tabColor theme="9" tint="0.59999389629810485"/>
  </sheetPr>
  <dimension ref="A1:AE111"/>
  <sheetViews>
    <sheetView workbookViewId="0">
      <selection activeCell="G25" sqref="G25"/>
    </sheetView>
  </sheetViews>
  <sheetFormatPr defaultColWidth="8.7109375" defaultRowHeight="15" x14ac:dyDescent="0.25"/>
  <cols>
    <col min="1" max="1" width="15.14062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29.42578125" style="10" bestFit="1" customWidth="1"/>
    <col min="8" max="8" width="55.42578125" style="10" bestFit="1" customWidth="1"/>
    <col min="9" max="9" width="8.7109375" style="10" customWidth="1"/>
    <col min="10" max="13" width="8.7109375" style="10"/>
    <col min="14" max="15" width="8.7109375" style="10" customWidth="1"/>
    <col min="16" max="20" width="8.7109375" style="10"/>
  </cols>
  <sheetData>
    <row r="1" spans="1:31" x14ac:dyDescent="0.25">
      <c r="A1" s="47" t="s">
        <v>188</v>
      </c>
      <c r="B1" s="48"/>
      <c r="C1" s="48"/>
      <c r="D1" s="48"/>
      <c r="E1" s="48"/>
      <c r="F1" s="48"/>
      <c r="G1" s="48"/>
      <c r="H1" s="48"/>
    </row>
    <row r="2" spans="1:31" x14ac:dyDescent="0.25">
      <c r="A2" s="15" t="s">
        <v>189</v>
      </c>
      <c r="C2" s="49" t="s">
        <v>190</v>
      </c>
      <c r="D2" s="15"/>
      <c r="E2" s="15"/>
      <c r="F2" s="15"/>
    </row>
    <row r="3" spans="1:31" x14ac:dyDescent="0.25">
      <c r="A3" s="15" t="s">
        <v>191</v>
      </c>
      <c r="C3" s="10">
        <v>1</v>
      </c>
      <c r="E3" s="15" t="s">
        <v>192</v>
      </c>
      <c r="J3" s="48"/>
      <c r="K3" s="15" t="s">
        <v>193</v>
      </c>
    </row>
    <row r="4" spans="1:31" x14ac:dyDescent="0.25">
      <c r="A4" s="15" t="s">
        <v>194</v>
      </c>
      <c r="C4" s="50">
        <v>44675</v>
      </c>
      <c r="D4" s="51"/>
      <c r="E4" s="52" t="s">
        <v>195</v>
      </c>
      <c r="F4" s="51"/>
      <c r="J4" s="53"/>
      <c r="K4" s="15" t="s">
        <v>196</v>
      </c>
    </row>
    <row r="5" spans="1:31" x14ac:dyDescent="0.25">
      <c r="A5" s="15" t="s">
        <v>197</v>
      </c>
      <c r="C5" s="10">
        <v>1</v>
      </c>
      <c r="D5" s="51"/>
      <c r="E5" s="54" t="s">
        <v>198</v>
      </c>
      <c r="F5" s="51"/>
      <c r="I5" s="15"/>
      <c r="J5" s="15"/>
    </row>
    <row r="7" spans="1:31" ht="15.75" thickBot="1" x14ac:dyDescent="0.3">
      <c r="A7" s="153" t="s">
        <v>199</v>
      </c>
      <c r="B7" s="153"/>
      <c r="C7" s="153"/>
      <c r="D7" s="153"/>
      <c r="E7" s="153"/>
      <c r="F7" s="153"/>
      <c r="G7" s="153"/>
      <c r="H7" s="153"/>
      <c r="J7" s="154" t="s">
        <v>292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97"/>
      <c r="X7" s="97"/>
      <c r="Y7" s="97"/>
      <c r="Z7" s="97"/>
      <c r="AA7" s="97"/>
      <c r="AB7" s="97"/>
      <c r="AC7" s="97"/>
      <c r="AD7" s="97"/>
      <c r="AE7" s="98"/>
    </row>
    <row r="8" spans="1:31" ht="18.75" thickTop="1" x14ac:dyDescent="0.25">
      <c r="A8" s="17"/>
      <c r="B8" s="17" t="s">
        <v>200</v>
      </c>
      <c r="C8" s="17" t="s">
        <v>201</v>
      </c>
      <c r="D8" s="17" t="s">
        <v>202</v>
      </c>
      <c r="E8" s="17" t="s">
        <v>203</v>
      </c>
      <c r="F8" s="17" t="s">
        <v>204</v>
      </c>
      <c r="G8" s="55" t="s">
        <v>205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31" x14ac:dyDescent="0.25">
      <c r="A9" s="56" t="s">
        <v>88</v>
      </c>
      <c r="B9" s="48">
        <v>0.20319999999999999</v>
      </c>
      <c r="C9" s="57"/>
      <c r="D9" s="58">
        <v>1</v>
      </c>
      <c r="E9" s="10">
        <v>0.1016</v>
      </c>
      <c r="F9" s="10">
        <v>1.0669999999999999</v>
      </c>
      <c r="G9" s="10" t="s">
        <v>35</v>
      </c>
      <c r="H9" s="15" t="s">
        <v>207</v>
      </c>
      <c r="J9" s="158" t="s">
        <v>293</v>
      </c>
      <c r="K9" s="158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31" x14ac:dyDescent="0.25">
      <c r="A10" s="56" t="s">
        <v>89</v>
      </c>
      <c r="B10" s="48">
        <v>1.1129999999999999E-2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35</v>
      </c>
      <c r="H10" s="15" t="s">
        <v>208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</row>
    <row r="11" spans="1:31" x14ac:dyDescent="0.25">
      <c r="A11" s="10" t="s">
        <v>90</v>
      </c>
      <c r="B11" s="59">
        <f>B9/B10</f>
        <v>18.256963162623542</v>
      </c>
      <c r="H11" s="15" t="s">
        <v>209</v>
      </c>
      <c r="J11" s="158" t="s">
        <v>294</v>
      </c>
      <c r="K11" s="158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</row>
    <row r="12" spans="1:31" ht="18.75" x14ac:dyDescent="0.35">
      <c r="A12" s="60" t="s">
        <v>210</v>
      </c>
      <c r="B12" s="61">
        <v>30</v>
      </c>
      <c r="C12" s="58"/>
      <c r="D12" s="58">
        <v>40</v>
      </c>
      <c r="E12" s="58"/>
      <c r="F12" s="58"/>
      <c r="G12" s="58" t="s">
        <v>211</v>
      </c>
      <c r="H12" s="62" t="s">
        <v>212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</row>
    <row r="13" spans="1:31" x14ac:dyDescent="0.25">
      <c r="A13" s="10" t="s">
        <v>99</v>
      </c>
      <c r="B13" s="61">
        <f>LN(B11)</f>
        <v>2.9045465504168733</v>
      </c>
      <c r="C13" s="58"/>
      <c r="D13" s="58"/>
      <c r="E13" s="58"/>
      <c r="F13" s="58"/>
      <c r="G13" s="58"/>
      <c r="H13" s="6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</row>
    <row r="14" spans="1:31" ht="18" x14ac:dyDescent="0.25">
      <c r="A14" s="10" t="s">
        <v>138</v>
      </c>
      <c r="B14" s="59">
        <f>LN(B27)</f>
        <v>1.6633066962458134</v>
      </c>
      <c r="C14" s="58"/>
      <c r="D14" s="58"/>
      <c r="E14" s="58"/>
      <c r="F14" s="58"/>
      <c r="H14" s="1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</row>
    <row r="15" spans="1:31" x14ac:dyDescent="0.25"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</row>
    <row r="16" spans="1:31" x14ac:dyDescent="0.25">
      <c r="I16" s="1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98"/>
      <c r="X16" s="99"/>
      <c r="Y16" s="99"/>
      <c r="Z16" s="99"/>
      <c r="AA16" s="99"/>
      <c r="AB16" s="99"/>
      <c r="AC16" s="99"/>
      <c r="AD16" s="99"/>
      <c r="AE16" s="98"/>
    </row>
    <row r="17" spans="1:31" ht="15.75" thickBot="1" x14ac:dyDescent="0.3">
      <c r="A17" s="153" t="s">
        <v>220</v>
      </c>
      <c r="B17" s="153"/>
      <c r="C17" s="153"/>
      <c r="D17" s="153"/>
      <c r="E17" s="153"/>
      <c r="F17" s="153"/>
      <c r="G17" s="153"/>
      <c r="H17" s="15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</row>
    <row r="18" spans="1:31" ht="18.75" thickTop="1" x14ac:dyDescent="0.25">
      <c r="A18" s="17"/>
      <c r="B18" s="17" t="s">
        <v>200</v>
      </c>
      <c r="C18" s="17" t="s">
        <v>201</v>
      </c>
      <c r="D18" s="17" t="s">
        <v>202</v>
      </c>
      <c r="E18" s="17" t="s">
        <v>203</v>
      </c>
      <c r="F18" s="17" t="s">
        <v>204</v>
      </c>
      <c r="G18" s="55" t="s">
        <v>205</v>
      </c>
      <c r="H18" s="5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</row>
    <row r="19" spans="1:31" x14ac:dyDescent="0.25">
      <c r="A19" s="13" t="s">
        <v>222</v>
      </c>
      <c r="B19" s="48">
        <v>75</v>
      </c>
      <c r="C19" s="58"/>
      <c r="D19" s="58">
        <v>10</v>
      </c>
      <c r="E19" s="10">
        <v>15</v>
      </c>
      <c r="F19" s="10">
        <v>89</v>
      </c>
      <c r="G19" s="10" t="s">
        <v>35</v>
      </c>
      <c r="H19" s="49" t="s">
        <v>223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</row>
    <row r="20" spans="1:31" x14ac:dyDescent="0.25">
      <c r="A20" s="10" t="s">
        <v>95</v>
      </c>
      <c r="B20" s="48" t="s">
        <v>121</v>
      </c>
      <c r="D20" s="58"/>
      <c r="H20" s="49" t="s">
        <v>224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</row>
    <row r="21" spans="1:31" x14ac:dyDescent="0.25">
      <c r="A21" s="10" t="s">
        <v>96</v>
      </c>
      <c r="B21" s="48" t="s">
        <v>122</v>
      </c>
      <c r="D21" s="58"/>
      <c r="H21" s="49" t="s">
        <v>225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</row>
    <row r="22" spans="1:31" ht="17.25" x14ac:dyDescent="0.25">
      <c r="A22" s="13" t="s">
        <v>129</v>
      </c>
      <c r="B22" s="10">
        <f>IF(B21="Medium Dense (Sand)",18,IF(B21="Dense (Sand)",18.5,IF(B21="Very Dense (Sand)",19,IF(B21="Soft (Clay)",17.5,IF(B21="Medium (Clay)",18,IF(B21="Stiff (Clay)",18.5,0))))))</f>
        <v>18</v>
      </c>
      <c r="D22" s="58"/>
      <c r="H22" s="15" t="s">
        <v>226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1" ht="17.25" x14ac:dyDescent="0.25">
      <c r="A23" s="13" t="s">
        <v>130</v>
      </c>
      <c r="B23" s="10">
        <f>IF(B21="Medium Dense (Sand)",37,IF(B21="Dense (Sand)",40,IF(B21="Very Dense (Sand)",43,0)))</f>
        <v>37</v>
      </c>
      <c r="D23" s="58"/>
      <c r="H23" s="49" t="s">
        <v>227</v>
      </c>
      <c r="J23" s="158"/>
      <c r="K23" s="158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1" ht="18" x14ac:dyDescent="0.25">
      <c r="A24" s="10" t="s">
        <v>131</v>
      </c>
      <c r="B24" s="10">
        <f>IF(B21="Soft (Clay)",37.5,IF(B21="Medium (Clay)",75,IF(B21="Stiff (Clay)",125,0)))</f>
        <v>0</v>
      </c>
      <c r="D24" s="58"/>
      <c r="H24" s="49" t="s">
        <v>228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1" x14ac:dyDescent="0.25">
      <c r="A25" s="13" t="s">
        <v>132</v>
      </c>
      <c r="B25" s="10">
        <f>IF(B21="Soft (Clay)",1.1,IF(B21="Medium (Clay)",0.72,IF(B21="Stiff (Clay)",0.4,0)))</f>
        <v>0</v>
      </c>
      <c r="D25" s="58"/>
      <c r="H25" s="49" t="s">
        <v>229</v>
      </c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1" x14ac:dyDescent="0.25">
      <c r="A26" s="10" t="s">
        <v>97</v>
      </c>
      <c r="B26" s="48">
        <v>1</v>
      </c>
      <c r="D26" s="58"/>
      <c r="H26" s="49" t="s">
        <v>230</v>
      </c>
      <c r="J26" s="158" t="s">
        <v>295</v>
      </c>
      <c r="K26" s="158"/>
      <c r="L26" s="34" t="s">
        <v>296</v>
      </c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1" ht="18" x14ac:dyDescent="0.25">
      <c r="A27" s="10" t="s">
        <v>133</v>
      </c>
      <c r="B27" s="68">
        <f>IF(B20="Cohesionless (Sand)", PI() * B9 * B26*B22* 0.5 * (1 + (1 - SIN(RADIANS(B23)))) * TAN(RADIANS(0.9*B23)), PI() * B9 * B25 * B24)</f>
        <v>5.2767305728744729</v>
      </c>
      <c r="C27" s="65" t="s">
        <v>231</v>
      </c>
      <c r="D27" s="58"/>
      <c r="E27" s="65"/>
      <c r="F27" s="65"/>
      <c r="H27" s="15" t="s">
        <v>232</v>
      </c>
      <c r="J27" s="99"/>
      <c r="K27" s="99"/>
      <c r="L27" s="34" t="s">
        <v>297</v>
      </c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1" ht="18" x14ac:dyDescent="0.25">
      <c r="A28" s="17"/>
      <c r="C28" s="15"/>
      <c r="D28" s="15"/>
      <c r="E28" s="15"/>
      <c r="F28" s="15"/>
      <c r="J28" s="99"/>
      <c r="K28" s="99"/>
      <c r="L28" s="34" t="s">
        <v>298</v>
      </c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1" ht="18.75" thickBot="1" x14ac:dyDescent="0.3">
      <c r="A29" s="75" t="s">
        <v>299</v>
      </c>
      <c r="B29" s="69"/>
      <c r="C29" s="69"/>
      <c r="D29" s="69"/>
      <c r="E29" s="69"/>
      <c r="F29" s="69"/>
      <c r="G29" s="69"/>
      <c r="H29" s="69"/>
      <c r="J29" s="99"/>
      <c r="K29" s="99"/>
      <c r="L29" s="104" t="s">
        <v>300</v>
      </c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1" ht="18.75" thickTop="1" x14ac:dyDescent="0.25">
      <c r="A30" s="17" t="s">
        <v>301</v>
      </c>
      <c r="B30" s="105">
        <f>IF(AND(B19&lt;=90,B19&gt;60),60-B19,0)</f>
        <v>-15</v>
      </c>
      <c r="H30" s="15" t="s">
        <v>302</v>
      </c>
      <c r="J30" s="99"/>
      <c r="K30" s="99"/>
      <c r="L30" s="104" t="s">
        <v>303</v>
      </c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1" ht="18" x14ac:dyDescent="0.25">
      <c r="A31" s="17" t="s">
        <v>304</v>
      </c>
      <c r="B31" s="105">
        <f>IF(B9&lt;0.5,1,0)</f>
        <v>1</v>
      </c>
      <c r="H31" s="15" t="s">
        <v>302</v>
      </c>
      <c r="J31" s="99"/>
      <c r="K31" s="99"/>
      <c r="L31" s="34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1" ht="15.75" thickBot="1" x14ac:dyDescent="0.3">
      <c r="A32" s="17"/>
      <c r="B32" s="105"/>
      <c r="H32" s="15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ht="15.75" thickTop="1" x14ac:dyDescent="0.25">
      <c r="A33" s="71" t="s">
        <v>305</v>
      </c>
      <c r="B33" s="71"/>
      <c r="C33" s="71"/>
      <c r="D33" s="71"/>
      <c r="E33"/>
      <c r="F33"/>
      <c r="H33" s="15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x14ac:dyDescent="0.25">
      <c r="A34" s="17" t="s">
        <v>18</v>
      </c>
      <c r="B34" s="74">
        <f>-4.11127 + 0.6064 * B9 + 0.002805 * B12 + 0.038944*B30</f>
        <v>-4.4880595200000002</v>
      </c>
      <c r="D34" s="73"/>
      <c r="F34" s="73"/>
      <c r="H34" s="1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x14ac:dyDescent="0.25">
      <c r="A35" s="10" t="s">
        <v>19</v>
      </c>
      <c r="B35" s="74">
        <f>2.29445 + (-0.04675*B9) + (-0.00104 * B12) + (-0.09201 * B30)</f>
        <v>3.6339003999999999</v>
      </c>
      <c r="C35" s="1"/>
      <c r="D35" s="3"/>
      <c r="F35" s="73"/>
      <c r="H35" s="15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x14ac:dyDescent="0.25">
      <c r="A36" s="10" t="s">
        <v>104</v>
      </c>
      <c r="B36" s="74">
        <f>0.42882 + 0.09845 * B9 + 0.0006 * B12 + 0.01203*B30</f>
        <v>0.28637503999999997</v>
      </c>
      <c r="D36" s="73"/>
      <c r="F36" s="73"/>
      <c r="H36" s="15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x14ac:dyDescent="0.25">
      <c r="A37" s="10" t="s">
        <v>105</v>
      </c>
      <c r="B37" s="74">
        <f>2.64335 + (-0.36353*B9) + 0.00086 * B12 + (-0.05422*B30)</f>
        <v>3.4085807039999998</v>
      </c>
      <c r="D37" s="73"/>
      <c r="F37" s="73"/>
      <c r="H37" s="15"/>
      <c r="J37" s="98"/>
      <c r="K37" s="98"/>
      <c r="L37" s="98"/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x14ac:dyDescent="0.25">
      <c r="A38" s="10" t="s">
        <v>106</v>
      </c>
      <c r="B38" s="74">
        <f>-4.57877 + (-0.04142 * (B13*B13)) + (0.9346 * B13) + (0.4714 * B14) + (0.00007*(180-B19)) + (-5.2467 * B31 * (B9-0.5)) + (-0.28986 * (1-B31))</f>
        <v>0.13503724134611872</v>
      </c>
      <c r="D38" s="73"/>
      <c r="F38" s="73"/>
      <c r="H38" s="15"/>
      <c r="J38" s="99"/>
      <c r="K38" s="99"/>
      <c r="L38" s="98"/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x14ac:dyDescent="0.25">
      <c r="B39" s="73"/>
      <c r="D39" s="73"/>
      <c r="F39" s="73"/>
      <c r="H39" s="15"/>
      <c r="J39" s="98"/>
      <c r="K39" s="98"/>
      <c r="L39" s="98"/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ht="15.75" thickBot="1" x14ac:dyDescent="0.3">
      <c r="A40" s="75" t="s">
        <v>237</v>
      </c>
      <c r="B40" s="69"/>
      <c r="C40" s="69"/>
      <c r="D40" s="69"/>
      <c r="E40" s="69"/>
      <c r="F40" s="69"/>
      <c r="G40" s="69"/>
      <c r="H40" s="69"/>
      <c r="J40" s="106"/>
      <c r="K40" s="106"/>
      <c r="L40" s="98"/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ht="15.75" thickTop="1" x14ac:dyDescent="0.25">
      <c r="A41" s="18" t="s">
        <v>238</v>
      </c>
      <c r="B41" s="107">
        <v>0.1</v>
      </c>
      <c r="C41" s="15" t="s">
        <v>306</v>
      </c>
      <c r="D41" s="15"/>
      <c r="E41" s="15"/>
      <c r="F41" s="15"/>
      <c r="J41" s="97"/>
      <c r="K41" s="99"/>
      <c r="L41" s="98"/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x14ac:dyDescent="0.25">
      <c r="A42" s="18" t="s">
        <v>240</v>
      </c>
      <c r="B42" s="10">
        <f>LN(B41)</f>
        <v>-2.3025850929940455</v>
      </c>
      <c r="C42" s="15"/>
      <c r="D42" s="15"/>
      <c r="E42" s="15"/>
      <c r="F42" s="15"/>
      <c r="J42" s="97"/>
      <c r="K42" s="99"/>
      <c r="L42" s="98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x14ac:dyDescent="0.25">
      <c r="J43" s="97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5.75" thickBot="1" x14ac:dyDescent="0.3">
      <c r="A44" s="75" t="s">
        <v>241</v>
      </c>
      <c r="B44" s="69"/>
      <c r="C44" s="69"/>
      <c r="D44" s="69"/>
      <c r="E44" s="69"/>
      <c r="F44" s="69"/>
      <c r="G44" s="69"/>
      <c r="H44" s="69"/>
      <c r="J44" s="97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ht="15.75" thickTop="1" x14ac:dyDescent="0.25">
      <c r="A45" s="17" t="s">
        <v>307</v>
      </c>
      <c r="B45" s="108">
        <f>(ATANH((B42-B34)/B35) / B36) - B37+B38</f>
        <v>-0.84540690615109559</v>
      </c>
      <c r="C45" s="10" t="s">
        <v>308</v>
      </c>
      <c r="D45" s="15"/>
      <c r="E45" s="15"/>
      <c r="F45" s="15"/>
      <c r="J45" s="97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x14ac:dyDescent="0.25">
      <c r="A46" s="17" t="s">
        <v>309</v>
      </c>
      <c r="B46" s="109">
        <f>EXP(B45)</f>
        <v>0.42938260423607966</v>
      </c>
      <c r="C46" s="15"/>
      <c r="D46" s="15"/>
      <c r="E46" s="15"/>
      <c r="F46" s="15"/>
      <c r="J46" s="97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x14ac:dyDescent="0.25">
      <c r="A47" s="17" t="s">
        <v>201</v>
      </c>
      <c r="B47" s="110" t="s">
        <v>310</v>
      </c>
      <c r="C47" s="15"/>
      <c r="D47" s="15"/>
      <c r="E47" s="15"/>
      <c r="F47" s="15"/>
      <c r="J47" s="97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8" x14ac:dyDescent="0.25">
      <c r="A48" s="17"/>
      <c r="B48" s="111" t="s">
        <v>311</v>
      </c>
      <c r="C48" s="15">
        <v>-0.28299999999999997</v>
      </c>
      <c r="D48" s="15"/>
      <c r="E48" s="15"/>
      <c r="F48" s="15"/>
      <c r="J48" s="97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8" x14ac:dyDescent="0.25">
      <c r="A49" s="17"/>
      <c r="B49" s="111" t="s">
        <v>312</v>
      </c>
      <c r="C49" s="15">
        <v>-0.625</v>
      </c>
      <c r="D49" s="15"/>
      <c r="E49" s="15"/>
      <c r="F49" s="15"/>
      <c r="J49" s="97"/>
      <c r="K49" s="99"/>
      <c r="L49" s="34"/>
      <c r="M49" s="99"/>
      <c r="N49" s="99"/>
      <c r="O49" s="99"/>
      <c r="P49" s="99"/>
      <c r="Q49" s="99"/>
      <c r="R49" s="99"/>
      <c r="S49" s="99"/>
      <c r="T49" s="99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ht="18" x14ac:dyDescent="0.25">
      <c r="A50" s="17"/>
      <c r="B50" s="111" t="s">
        <v>313</v>
      </c>
      <c r="C50" s="15">
        <v>0.46</v>
      </c>
      <c r="D50" s="15"/>
      <c r="E50" s="15"/>
      <c r="F50" s="15"/>
      <c r="J50" s="97"/>
      <c r="K50" s="99"/>
      <c r="L50" s="34"/>
      <c r="M50" s="99"/>
      <c r="N50" s="99"/>
      <c r="O50" s="99"/>
      <c r="P50" s="99"/>
      <c r="Q50" s="99"/>
      <c r="R50" s="99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ht="18" x14ac:dyDescent="0.25">
      <c r="A51" s="17"/>
      <c r="B51" s="111" t="s">
        <v>314</v>
      </c>
      <c r="C51" s="15">
        <v>0.70899999999999996</v>
      </c>
      <c r="D51" s="15"/>
      <c r="E51" s="15"/>
      <c r="F51" s="15"/>
      <c r="J51" s="97"/>
      <c r="K51" s="99"/>
      <c r="L51" s="34"/>
      <c r="M51" s="99"/>
      <c r="N51" s="99"/>
      <c r="O51" s="99"/>
      <c r="P51" s="99"/>
      <c r="Q51" s="99"/>
      <c r="R51" s="99"/>
      <c r="S51" s="99"/>
      <c r="T51" s="99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ht="18" x14ac:dyDescent="0.25">
      <c r="A52" s="17"/>
      <c r="B52" s="111" t="s">
        <v>315</v>
      </c>
      <c r="C52" s="15">
        <v>0.68799999999999994</v>
      </c>
      <c r="D52" s="15"/>
      <c r="E52" s="15"/>
      <c r="F52" s="15"/>
      <c r="J52" s="97"/>
      <c r="K52" s="99"/>
      <c r="L52" s="34"/>
      <c r="M52" s="99"/>
      <c r="N52" s="99"/>
      <c r="O52" s="99"/>
      <c r="P52" s="99"/>
      <c r="Q52" s="99"/>
      <c r="R52" s="99"/>
      <c r="S52" s="99"/>
      <c r="T52" s="99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ht="18" x14ac:dyDescent="0.25">
      <c r="A53" s="17"/>
      <c r="B53" s="111" t="s">
        <v>316</v>
      </c>
      <c r="C53" s="15">
        <v>0.312</v>
      </c>
      <c r="D53" s="15"/>
      <c r="E53" s="15"/>
      <c r="F53" s="15"/>
      <c r="J53" s="97"/>
      <c r="K53" s="99"/>
      <c r="L53" s="34"/>
      <c r="M53" s="99"/>
      <c r="N53" s="99"/>
      <c r="O53" s="99"/>
      <c r="P53" s="99"/>
      <c r="Q53" s="99"/>
      <c r="R53" s="99"/>
      <c r="S53" s="99"/>
      <c r="T53" s="99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x14ac:dyDescent="0.25">
      <c r="A54" s="17" t="s">
        <v>244</v>
      </c>
      <c r="B54" s="79">
        <v>0.3</v>
      </c>
      <c r="C54" s="15" t="s">
        <v>245</v>
      </c>
      <c r="D54" s="15"/>
      <c r="E54" s="15"/>
      <c r="F54" s="15"/>
      <c r="J54" s="97"/>
      <c r="K54" s="99"/>
      <c r="L54" s="34"/>
      <c r="M54" s="99"/>
      <c r="N54" s="99"/>
      <c r="O54" s="99"/>
      <c r="P54" s="99"/>
      <c r="Q54" s="99"/>
      <c r="R54" s="99"/>
      <c r="S54" s="99"/>
      <c r="T54" s="99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x14ac:dyDescent="0.25">
      <c r="A55"/>
      <c r="B55"/>
      <c r="C55"/>
      <c r="J55" s="97"/>
      <c r="K55" s="99"/>
      <c r="L55" s="34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J56" s="97"/>
      <c r="K56" s="99"/>
      <c r="L56" s="34"/>
      <c r="M56" s="99"/>
      <c r="N56" s="99"/>
      <c r="O56" s="99"/>
      <c r="P56" s="99"/>
      <c r="Q56" s="99"/>
      <c r="R56" s="99"/>
      <c r="S56" s="99"/>
      <c r="T56" s="99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10" t="s">
        <v>246</v>
      </c>
      <c r="J57" s="97"/>
      <c r="K57" s="99"/>
      <c r="L57" s="34"/>
      <c r="M57" s="99"/>
      <c r="N57" s="99"/>
      <c r="O57" s="99"/>
      <c r="P57" s="99"/>
      <c r="Q57" s="99"/>
      <c r="R57" s="99"/>
      <c r="S57" s="99"/>
      <c r="T57" s="99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15" t="s">
        <v>247</v>
      </c>
      <c r="J58" s="97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15" t="s">
        <v>248</v>
      </c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J60" s="165"/>
      <c r="K60" s="165"/>
      <c r="L60" s="165"/>
      <c r="M60" s="99"/>
      <c r="N60" s="99"/>
      <c r="O60" s="99"/>
      <c r="P60" s="99"/>
      <c r="Q60" s="99"/>
      <c r="R60" s="99"/>
      <c r="S60" s="99"/>
      <c r="T60" s="99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J61" s="99"/>
      <c r="K61" s="112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47" t="s">
        <v>249</v>
      </c>
      <c r="B62" s="48"/>
      <c r="C62" s="48"/>
      <c r="D62" s="48"/>
      <c r="E62" s="48"/>
      <c r="F62" s="48"/>
      <c r="G62" s="48"/>
      <c r="H62" s="48"/>
      <c r="J62" s="99"/>
      <c r="K62" s="169"/>
      <c r="L62" s="113"/>
      <c r="M62" s="99"/>
      <c r="N62" s="103"/>
      <c r="O62" s="99"/>
      <c r="P62" s="99"/>
      <c r="Q62" s="99"/>
      <c r="R62" s="99"/>
      <c r="S62" s="99"/>
      <c r="T62" s="99"/>
      <c r="U62" s="99"/>
      <c r="V62" s="99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15" t="s">
        <v>250</v>
      </c>
      <c r="J63" s="99"/>
      <c r="K63" s="169"/>
      <c r="L63" s="113"/>
      <c r="M63" s="99"/>
      <c r="N63" s="103"/>
      <c r="O63" s="99"/>
      <c r="P63" s="99"/>
      <c r="Q63" s="99"/>
      <c r="R63" s="99"/>
      <c r="S63" s="99"/>
      <c r="T63" s="99"/>
      <c r="U63" s="99"/>
      <c r="V63" s="99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3" t="s">
        <v>238</v>
      </c>
      <c r="B64" s="83" t="s">
        <v>251</v>
      </c>
      <c r="C64" s="33" t="s">
        <v>252</v>
      </c>
      <c r="D64"/>
      <c r="E64" s="150" t="s">
        <v>253</v>
      </c>
      <c r="F64" s="150"/>
      <c r="G64" s="15" t="s">
        <v>254</v>
      </c>
      <c r="J64" s="99"/>
      <c r="K64" s="169"/>
      <c r="L64" s="113"/>
      <c r="M64" s="99"/>
      <c r="N64" s="103"/>
      <c r="O64" s="99"/>
      <c r="P64" s="99"/>
      <c r="Q64" s="99"/>
      <c r="R64" s="99"/>
      <c r="S64" s="99"/>
      <c r="T64" s="99"/>
      <c r="U64" s="99"/>
      <c r="V64" s="99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1" ht="15.75" x14ac:dyDescent="0.25">
      <c r="A65" s="84">
        <v>0.01</v>
      </c>
      <c r="B65" s="84">
        <f>SQRT(A65*A66)</f>
        <v>1.222844544993852E-2</v>
      </c>
      <c r="C65" s="84">
        <f>IF($B65&lt;F$66,0,NORMDIST(LN($B65),LN(F$65),F$67,1))</f>
        <v>2.3059338971538875E-4</v>
      </c>
      <c r="D65"/>
      <c r="E65" s="85" t="s">
        <v>255</v>
      </c>
      <c r="F65" s="86">
        <f>B41</f>
        <v>0.1</v>
      </c>
      <c r="G65" s="15" t="s">
        <v>256</v>
      </c>
      <c r="J65" s="99"/>
      <c r="K65" s="169"/>
      <c r="L65" s="113"/>
      <c r="M65" s="99"/>
      <c r="N65" s="103"/>
      <c r="O65" s="99"/>
      <c r="P65" s="99"/>
      <c r="Q65" s="99"/>
      <c r="R65" s="99"/>
      <c r="S65" s="99"/>
      <c r="T65" s="99"/>
      <c r="U65" s="99"/>
      <c r="V65" s="99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1" ht="15.75" x14ac:dyDescent="0.25">
      <c r="A66" s="84">
        <f>EXP(LN(A69/A65)/4+LN(A65))</f>
        <v>1.4953487812212209E-2</v>
      </c>
      <c r="B66" s="84">
        <f t="shared" ref="B66:B108" si="0">SQRT(A66*A67)</f>
        <v>1.8285790999795749E-2</v>
      </c>
      <c r="C66" s="84">
        <f t="shared" ref="C66:C109" si="1">IF($B66&lt;F$66,0,NORMDIST(LN($B66),LN(F$65),F$67,1))</f>
        <v>2.3147511707623204E-3</v>
      </c>
      <c r="D66"/>
      <c r="E66" s="85" t="s">
        <v>257</v>
      </c>
      <c r="F66">
        <v>0.01</v>
      </c>
      <c r="G66" s="15" t="s">
        <v>258</v>
      </c>
      <c r="J66" s="99"/>
      <c r="K66" s="169"/>
      <c r="L66" s="113"/>
      <c r="M66" s="99"/>
      <c r="N66" s="103"/>
      <c r="O66" s="99"/>
      <c r="P66" s="99"/>
      <c r="Q66" s="99"/>
      <c r="R66" s="99"/>
      <c r="S66" s="99"/>
      <c r="T66" s="99"/>
      <c r="U66" s="99"/>
      <c r="V66" s="99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1" ht="15.75" x14ac:dyDescent="0.25">
      <c r="A67" s="84">
        <f>EXP(2*LN(A69/A65)/4+LN(A65))</f>
        <v>2.2360679774997907E-2</v>
      </c>
      <c r="B67" s="84">
        <f t="shared" si="0"/>
        <v>2.7343635285210541E-2</v>
      </c>
      <c r="C67" s="84">
        <f t="shared" si="1"/>
        <v>1.5342108961265734E-2</v>
      </c>
      <c r="D67"/>
      <c r="E67" s="87" t="s">
        <v>201</v>
      </c>
      <c r="F67">
        <v>0.6</v>
      </c>
      <c r="G67" s="15" t="s">
        <v>259</v>
      </c>
      <c r="J67" s="99"/>
      <c r="K67" s="169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1" x14ac:dyDescent="0.25">
      <c r="A68" s="84">
        <f>EXP(3*LN(A69/A65)/4+LN(A65))</f>
        <v>3.343701524882111E-2</v>
      </c>
      <c r="B68" s="84">
        <f t="shared" si="0"/>
        <v>4.0888271697897133E-2</v>
      </c>
      <c r="C68" s="84">
        <f t="shared" si="1"/>
        <v>6.8040514359285792E-2</v>
      </c>
      <c r="D68"/>
      <c r="E68"/>
      <c r="F68"/>
      <c r="J68" s="99"/>
      <c r="K68" s="169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1" ht="15.75" x14ac:dyDescent="0.25">
      <c r="A69" s="84">
        <v>0.05</v>
      </c>
      <c r="B69" s="84">
        <f t="shared" si="0"/>
        <v>5.4525386633262889E-2</v>
      </c>
      <c r="C69" s="84">
        <f t="shared" si="1"/>
        <v>0.15604659402560925</v>
      </c>
      <c r="D69"/>
      <c r="E69" s="85" t="s">
        <v>260</v>
      </c>
      <c r="F69"/>
      <c r="J69" s="99"/>
      <c r="K69" s="169"/>
      <c r="L69" s="114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1" ht="15.75" x14ac:dyDescent="0.25">
      <c r="A70" s="84">
        <f>EXP(LN(A73/A69)/4+LN(A69))</f>
        <v>5.9460355750136064E-2</v>
      </c>
      <c r="B70" s="84">
        <f t="shared" si="0"/>
        <v>6.4841977732550501E-2</v>
      </c>
      <c r="C70" s="84">
        <f t="shared" si="1"/>
        <v>0.23513853519175701</v>
      </c>
      <c r="D70"/>
      <c r="E70" s="85" t="s">
        <v>261</v>
      </c>
      <c r="F70"/>
      <c r="J70" s="99"/>
      <c r="K70" s="169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1" ht="15.75" x14ac:dyDescent="0.25">
      <c r="A71" s="84">
        <f>EXP(2*LN(A73/A69)/4+LN(A69))</f>
        <v>7.0710678118654766E-2</v>
      </c>
      <c r="B71" s="84">
        <f t="shared" si="0"/>
        <v>7.7110541270397057E-2</v>
      </c>
      <c r="C71" s="84">
        <f t="shared" si="1"/>
        <v>0.33242856928156472</v>
      </c>
      <c r="D71"/>
      <c r="E71" s="85" t="s">
        <v>262</v>
      </c>
      <c r="F71"/>
      <c r="J71" s="99"/>
      <c r="K71" s="169"/>
      <c r="L71" s="113"/>
      <c r="M71" s="99"/>
      <c r="N71" s="99"/>
      <c r="O71" s="99"/>
      <c r="P71" s="99"/>
      <c r="Q71" s="99"/>
      <c r="R71" s="99"/>
      <c r="S71" s="99"/>
      <c r="T71" s="99"/>
      <c r="U71" s="99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1" x14ac:dyDescent="0.25">
      <c r="A72" s="84">
        <f>EXP(3*LN(A73/A69)/4+LN(A69))</f>
        <v>8.4089641525371475E-2</v>
      </c>
      <c r="B72" s="84">
        <f t="shared" si="0"/>
        <v>9.1700404320467138E-2</v>
      </c>
      <c r="C72" s="84">
        <f t="shared" si="1"/>
        <v>0.44259007277827317</v>
      </c>
      <c r="D72"/>
      <c r="E72"/>
      <c r="F72"/>
      <c r="J72" s="99"/>
      <c r="K72" s="169"/>
      <c r="L72" s="113"/>
      <c r="M72" s="99"/>
      <c r="N72" s="99"/>
      <c r="O72" s="99"/>
      <c r="P72" s="99"/>
      <c r="Q72" s="99"/>
      <c r="R72" s="99"/>
      <c r="S72" s="99"/>
      <c r="T72" s="99"/>
      <c r="U72" s="99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1" x14ac:dyDescent="0.25">
      <c r="A73" s="84">
        <v>0.1</v>
      </c>
      <c r="B73" s="84">
        <f t="shared" si="0"/>
        <v>0.10905077326652579</v>
      </c>
      <c r="C73" s="84">
        <f t="shared" si="1"/>
        <v>0.55740992722172655</v>
      </c>
      <c r="D73"/>
      <c r="E73"/>
      <c r="F73"/>
      <c r="J73" s="99"/>
      <c r="K73" s="169"/>
      <c r="L73" s="113"/>
      <c r="M73" s="99"/>
      <c r="N73" s="99"/>
      <c r="O73" s="99"/>
      <c r="P73" s="99"/>
      <c r="Q73" s="99"/>
      <c r="R73" s="99"/>
      <c r="S73" s="99"/>
      <c r="T73" s="99"/>
      <c r="U73" s="99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1" x14ac:dyDescent="0.25">
      <c r="A74" s="84">
        <f>EXP(LN(A77/A73)/4+LN(A73))</f>
        <v>0.11892071150027214</v>
      </c>
      <c r="B74" s="84">
        <f t="shared" si="0"/>
        <v>0.129683955465101</v>
      </c>
      <c r="C74" s="84">
        <f t="shared" si="1"/>
        <v>0.6675714307184355</v>
      </c>
      <c r="D74"/>
      <c r="E74"/>
      <c r="F74"/>
      <c r="J74" s="99"/>
      <c r="K74" s="169"/>
      <c r="L74" s="113"/>
      <c r="M74" s="99"/>
      <c r="N74" s="99"/>
      <c r="O74" s="99"/>
      <c r="P74" s="99"/>
      <c r="Q74" s="99"/>
      <c r="R74" s="99"/>
      <c r="S74" s="99"/>
      <c r="T74" s="99"/>
      <c r="U74" s="99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1" x14ac:dyDescent="0.25">
      <c r="A75" s="84">
        <f>EXP(2*LN(A77/A73)/4+LN(A73))</f>
        <v>0.14142135623730953</v>
      </c>
      <c r="B75" s="84">
        <f t="shared" si="0"/>
        <v>0.15422108254079411</v>
      </c>
      <c r="C75" s="84">
        <f t="shared" si="1"/>
        <v>0.76486146480824302</v>
      </c>
      <c r="D75"/>
      <c r="E75"/>
      <c r="F75"/>
      <c r="J75" s="99"/>
      <c r="K75" s="169"/>
      <c r="L75" s="113"/>
      <c r="M75" s="99"/>
      <c r="N75" s="99"/>
      <c r="O75" s="99"/>
      <c r="P75" s="99"/>
      <c r="Q75" s="99"/>
      <c r="R75" s="99"/>
      <c r="S75" s="99"/>
      <c r="T75" s="99"/>
      <c r="U75" s="99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1" x14ac:dyDescent="0.25">
      <c r="A76" s="84">
        <f>EXP(3*LN(A77/A73)/4+LN(A73))</f>
        <v>0.16817928305074295</v>
      </c>
      <c r="B76" s="84">
        <f t="shared" si="0"/>
        <v>0.18340080864093428</v>
      </c>
      <c r="C76" s="84">
        <f t="shared" si="1"/>
        <v>0.84395340597439061</v>
      </c>
      <c r="D76"/>
      <c r="E76"/>
      <c r="F76"/>
      <c r="J76" s="99"/>
      <c r="K76" s="169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1" x14ac:dyDescent="0.25">
      <c r="A77" s="84">
        <v>0.2</v>
      </c>
      <c r="B77" s="84">
        <f t="shared" si="0"/>
        <v>0.21810154653305155</v>
      </c>
      <c r="C77" s="84">
        <f t="shared" si="1"/>
        <v>0.90313968795832744</v>
      </c>
      <c r="D77"/>
      <c r="E77"/>
      <c r="F77"/>
      <c r="J77" s="99"/>
      <c r="K77" s="169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1" x14ac:dyDescent="0.25">
      <c r="A78" s="84">
        <f>EXP(LN(A81/A77)/4+LN(A77))</f>
        <v>0.23784142300054423</v>
      </c>
      <c r="B78" s="84">
        <f t="shared" si="0"/>
        <v>0.25936791093020195</v>
      </c>
      <c r="C78" s="84">
        <f t="shared" si="1"/>
        <v>0.94390907898972154</v>
      </c>
      <c r="D78"/>
      <c r="E78"/>
      <c r="F78"/>
      <c r="J78" s="99"/>
      <c r="K78" s="169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1" x14ac:dyDescent="0.25">
      <c r="A79" s="84">
        <f>EXP(2*LN(A81/A77)/4+LN(A77))</f>
        <v>0.28284271247461906</v>
      </c>
      <c r="B79" s="84">
        <f t="shared" si="0"/>
        <v>0.30844216508158817</v>
      </c>
      <c r="C79" s="84">
        <f t="shared" si="1"/>
        <v>0.96975969865981237</v>
      </c>
      <c r="D79"/>
      <c r="E79"/>
      <c r="F79"/>
      <c r="J79" s="99"/>
      <c r="K79" s="169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1" x14ac:dyDescent="0.25">
      <c r="A80" s="84">
        <f>EXP(3*LN(A81/A77)/4+LN(A77))</f>
        <v>0.33635856610148579</v>
      </c>
      <c r="B80" s="84">
        <f t="shared" si="0"/>
        <v>0.3668016172818685</v>
      </c>
      <c r="C80" s="84">
        <f t="shared" si="1"/>
        <v>0.98484765157098852</v>
      </c>
      <c r="D80"/>
      <c r="E80"/>
      <c r="F8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v>0.4</v>
      </c>
      <c r="B81" s="84">
        <f t="shared" si="0"/>
        <v>0.43620309306610311</v>
      </c>
      <c r="C81" s="84">
        <f t="shared" si="1"/>
        <v>0.99295373756441785</v>
      </c>
      <c r="D81"/>
      <c r="E81"/>
      <c r="F81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f>EXP(LN(A85/A81)/4+LN(A81))</f>
        <v>0.47568284600108846</v>
      </c>
      <c r="B82" s="84">
        <f t="shared" si="0"/>
        <v>0.5187358218604039</v>
      </c>
      <c r="C82" s="84">
        <f t="shared" si="1"/>
        <v>0.99696251877847386</v>
      </c>
      <c r="D82"/>
      <c r="E82"/>
      <c r="F8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EXP(2*LN(A85/A81)/4+LN(A81))</f>
        <v>0.56568542494923801</v>
      </c>
      <c r="B83" s="84">
        <f t="shared" si="0"/>
        <v>0.61688433016317634</v>
      </c>
      <c r="C83" s="84">
        <f t="shared" si="1"/>
        <v>0.99878739051144416</v>
      </c>
      <c r="D83"/>
      <c r="E83"/>
      <c r="F83"/>
      <c r="J83" s="97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98"/>
    </row>
    <row r="84" spans="1:31" x14ac:dyDescent="0.25">
      <c r="A84" s="84">
        <f>EXP(3*LN(A85/A81)/4+LN(A81))</f>
        <v>0.67271713220297169</v>
      </c>
      <c r="B84" s="84">
        <f t="shared" si="0"/>
        <v>0.73360323456373699</v>
      </c>
      <c r="C84" s="84">
        <f t="shared" si="1"/>
        <v>0.99955205267969616</v>
      </c>
      <c r="D84"/>
      <c r="E84"/>
      <c r="F84"/>
      <c r="J84" s="97"/>
      <c r="K84" s="115"/>
      <c r="L84" s="115"/>
      <c r="M84" s="116"/>
      <c r="N84" s="116"/>
      <c r="O84" s="116"/>
      <c r="P84" s="116"/>
      <c r="Q84" s="116"/>
      <c r="R84" s="116"/>
      <c r="S84" s="116"/>
      <c r="T84" s="116"/>
      <c r="U84" s="117"/>
      <c r="V84" s="98"/>
      <c r="W84" s="98"/>
      <c r="X84" s="98"/>
      <c r="Y84" s="98"/>
      <c r="Z84" s="98"/>
      <c r="AA84" s="98"/>
      <c r="AB84" s="98"/>
      <c r="AC84" s="98"/>
      <c r="AD84" s="98"/>
      <c r="AE84" s="97" t="s">
        <v>201</v>
      </c>
    </row>
    <row r="85" spans="1:31" x14ac:dyDescent="0.25">
      <c r="A85" s="84">
        <v>0.8</v>
      </c>
      <c r="B85" s="84">
        <f t="shared" si="0"/>
        <v>0.84159160440691538</v>
      </c>
      <c r="C85" s="84">
        <f t="shared" si="1"/>
        <v>0.99980753640840891</v>
      </c>
      <c r="D85"/>
      <c r="E85"/>
      <c r="F85"/>
      <c r="J85" s="97"/>
      <c r="K85" s="169"/>
      <c r="L85" s="113"/>
      <c r="M85" s="118"/>
      <c r="N85" s="118"/>
      <c r="O85" s="118"/>
      <c r="P85" s="118"/>
      <c r="Q85" s="118"/>
      <c r="R85" s="118"/>
      <c r="S85" s="118"/>
      <c r="T85" s="118"/>
      <c r="U85" s="11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f>EXP(LN(A89/A85)/4+LN(A85))</f>
        <v>0.88534553576025732</v>
      </c>
      <c r="B86" s="84">
        <f t="shared" si="0"/>
        <v>0.93137421236871865</v>
      </c>
      <c r="C86" s="84">
        <f t="shared" si="1"/>
        <v>0.99990005346954891</v>
      </c>
      <c r="D86"/>
      <c r="E86"/>
      <c r="F86"/>
      <c r="J86" s="97"/>
      <c r="K86" s="169"/>
      <c r="L86" s="113"/>
      <c r="M86" s="118"/>
      <c r="N86" s="118"/>
      <c r="O86" s="118"/>
      <c r="P86" s="118"/>
      <c r="Q86" s="118"/>
      <c r="R86" s="118"/>
      <c r="S86" s="118"/>
      <c r="T86" s="118"/>
      <c r="U86" s="11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A87" s="84">
        <f>EXP(2*LN(A89/A85)/4+LN(A85))</f>
        <v>0.9797958971132712</v>
      </c>
      <c r="B87" s="84">
        <f t="shared" si="0"/>
        <v>1.0307350013035885</v>
      </c>
      <c r="C87" s="84">
        <f t="shared" si="1"/>
        <v>0.99994948303929099</v>
      </c>
      <c r="D87"/>
      <c r="E87"/>
      <c r="F87"/>
      <c r="J87" s="97"/>
      <c r="K87" s="169"/>
      <c r="L87" s="113"/>
      <c r="M87" s="118"/>
      <c r="N87" s="118"/>
      <c r="O87" s="118"/>
      <c r="P87" s="118"/>
      <c r="Q87" s="118"/>
      <c r="R87" s="118"/>
      <c r="S87" s="118"/>
      <c r="T87" s="118"/>
      <c r="U87" s="11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A88" s="84">
        <f>EXP(3*LN(A89/A85)/4+LN(A85))</f>
        <v>1.0843224043318138</v>
      </c>
      <c r="B88" s="84">
        <f t="shared" si="0"/>
        <v>1.1406957899449688</v>
      </c>
      <c r="C88" s="84">
        <f t="shared" si="1"/>
        <v>0.99997515062692877</v>
      </c>
      <c r="D88"/>
      <c r="E88" t="s">
        <v>263</v>
      </c>
      <c r="F88"/>
      <c r="J88" s="97"/>
      <c r="K88" s="169"/>
      <c r="L88" s="113"/>
      <c r="M88" s="118"/>
      <c r="N88" s="118"/>
      <c r="O88" s="118"/>
      <c r="P88" s="118"/>
      <c r="Q88" s="118"/>
      <c r="R88" s="118"/>
      <c r="S88" s="118"/>
      <c r="T88" s="118"/>
      <c r="U88" s="11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x14ac:dyDescent="0.25">
      <c r="A89" s="84">
        <v>1.2</v>
      </c>
      <c r="B89" s="84">
        <f t="shared" si="0"/>
        <v>1.2439375795536929</v>
      </c>
      <c r="C89" s="84">
        <f t="shared" si="1"/>
        <v>0.9999867391568521</v>
      </c>
      <c r="D89"/>
      <c r="E89" t="s">
        <v>264</v>
      </c>
      <c r="F89"/>
      <c r="J89" s="119"/>
      <c r="K89" s="169"/>
      <c r="L89" s="113"/>
      <c r="M89" s="118"/>
      <c r="N89" s="118"/>
      <c r="O89" s="118"/>
      <c r="P89" s="118"/>
      <c r="Q89" s="118"/>
      <c r="R89" s="118"/>
      <c r="S89" s="118"/>
      <c r="T89" s="118"/>
      <c r="U89" s="11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x14ac:dyDescent="0.25">
      <c r="A90" s="84">
        <f>EXP(LN(A93/A89)/4+LN(A89))</f>
        <v>1.2894839181882503</v>
      </c>
      <c r="B90" s="84">
        <f t="shared" si="0"/>
        <v>1.3366979200537537</v>
      </c>
      <c r="C90" s="84">
        <f t="shared" si="1"/>
        <v>0.99999224480466409</v>
      </c>
      <c r="D90"/>
      <c r="E90"/>
      <c r="F90"/>
      <c r="J90" s="99"/>
      <c r="K90" s="169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A91" s="84">
        <f>EXP(2*LN(A93/A89)/4+LN(A89))</f>
        <v>1.3856406460551018</v>
      </c>
      <c r="B91" s="84">
        <f t="shared" si="0"/>
        <v>1.4363753928208323</v>
      </c>
      <c r="C91" s="84">
        <f t="shared" si="1"/>
        <v>0.99999552665227287</v>
      </c>
      <c r="D91"/>
      <c r="E91"/>
      <c r="F91"/>
      <c r="J91" s="99"/>
      <c r="K91" s="169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A92" s="84">
        <f>EXP(3*LN(A93/A89)/4+LN(A89))</f>
        <v>1.4889677745633594</v>
      </c>
      <c r="B92" s="84">
        <f t="shared" si="0"/>
        <v>1.5434858079364953</v>
      </c>
      <c r="C92" s="84">
        <f t="shared" si="1"/>
        <v>0.99999745504604587</v>
      </c>
      <c r="D92"/>
      <c r="E92"/>
      <c r="F92"/>
      <c r="J92" s="99"/>
      <c r="K92" s="169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A93" s="84">
        <v>1.6</v>
      </c>
      <c r="B93" s="84">
        <f t="shared" si="0"/>
        <v>1.6742525317171835</v>
      </c>
      <c r="C93" s="84">
        <f t="shared" si="1"/>
        <v>0.9999986772739311</v>
      </c>
      <c r="D93"/>
      <c r="E93"/>
      <c r="F93"/>
      <c r="J93" s="99"/>
      <c r="K93" s="169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A94" s="84">
        <f>EXP(LN(A97/A93)/4+LN(A93))</f>
        <v>1.7519509624758738</v>
      </c>
      <c r="B94" s="84">
        <f t="shared" si="0"/>
        <v>1.8332552089809921</v>
      </c>
      <c r="C94" s="84">
        <f t="shared" si="1"/>
        <v>0.9999993758001845</v>
      </c>
      <c r="D94"/>
      <c r="E94"/>
      <c r="F94"/>
      <c r="J94" s="99"/>
      <c r="K94" s="169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A95" s="84">
        <f>EXP(2*LN(A97/A93)/4+LN(A93))</f>
        <v>1.9183326093250876</v>
      </c>
      <c r="B95" s="84">
        <f t="shared" si="0"/>
        <v>2.0073582673988493</v>
      </c>
      <c r="C95" s="84">
        <f t="shared" si="1"/>
        <v>0.99999971186957992</v>
      </c>
      <c r="D95"/>
      <c r="E95"/>
      <c r="F95"/>
      <c r="J95" s="99"/>
      <c r="K95" s="169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A96" s="84">
        <f>EXP(3*LN(A97/A93)/4+LN(A93))</f>
        <v>2.1005154132849637</v>
      </c>
      <c r="B96" s="84">
        <f t="shared" si="0"/>
        <v>2.1979957803770724</v>
      </c>
      <c r="C96" s="84">
        <f t="shared" si="1"/>
        <v>0.99999986990833412</v>
      </c>
      <c r="D96"/>
      <c r="E96"/>
      <c r="F96"/>
      <c r="J96" s="99"/>
      <c r="K96" s="169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x14ac:dyDescent="0.25">
      <c r="A97" s="84">
        <v>2.2999999999999998</v>
      </c>
      <c r="B97" s="84">
        <f t="shared" si="0"/>
        <v>2.377672382641121</v>
      </c>
      <c r="C97" s="84">
        <f t="shared" si="1"/>
        <v>0.99999993582222668</v>
      </c>
      <c r="D97"/>
      <c r="E97"/>
      <c r="F97"/>
      <c r="J97" s="99"/>
      <c r="K97" s="169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x14ac:dyDescent="0.25">
      <c r="A98" s="84">
        <f>EXP(LN(A101/A97)/4+LN(A97))</f>
        <v>2.457967808336655</v>
      </c>
      <c r="B98" s="84">
        <f t="shared" si="0"/>
        <v>2.5409748588273868</v>
      </c>
      <c r="C98" s="84">
        <f t="shared" si="1"/>
        <v>0.99999996513942269</v>
      </c>
      <c r="D98"/>
      <c r="E98"/>
      <c r="F98"/>
      <c r="J98" s="99"/>
      <c r="K98" s="169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x14ac:dyDescent="0.25">
      <c r="A99" s="84">
        <f>EXP(2*LN(A101/A97)/4+LN(A97))</f>
        <v>2.6267851073127391</v>
      </c>
      <c r="B99" s="84">
        <f t="shared" si="0"/>
        <v>2.7154932194741281</v>
      </c>
      <c r="C99" s="84">
        <f t="shared" si="1"/>
        <v>0.99999998128822742</v>
      </c>
      <c r="D99"/>
      <c r="E99"/>
      <c r="F99"/>
      <c r="J99" s="99"/>
      <c r="K99" s="169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x14ac:dyDescent="0.25">
      <c r="A100" s="84">
        <f>EXP(3*LN(A101/A97)/4+LN(A97))</f>
        <v>2.807197057909939</v>
      </c>
      <c r="B100" s="84">
        <f t="shared" si="0"/>
        <v>2.9019977900973353</v>
      </c>
      <c r="C100" s="84">
        <f t="shared" si="1"/>
        <v>0.99999999007522866</v>
      </c>
      <c r="D100"/>
      <c r="E100"/>
      <c r="F100"/>
      <c r="J100" s="99"/>
      <c r="K100" s="169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5.75" x14ac:dyDescent="0.25">
      <c r="A101" s="84">
        <v>3</v>
      </c>
      <c r="B101" s="84">
        <f t="shared" si="0"/>
        <v>3.1978077331521191</v>
      </c>
      <c r="C101" s="84">
        <f t="shared" si="1"/>
        <v>0.99999999615427182</v>
      </c>
      <c r="D101"/>
      <c r="E101"/>
      <c r="F101"/>
      <c r="J101" s="99"/>
      <c r="K101" s="169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  <c r="V101" s="98"/>
      <c r="W101" s="98"/>
      <c r="X101" s="98"/>
      <c r="Y101" s="98"/>
      <c r="Z101" s="98"/>
      <c r="AA101" s="98"/>
      <c r="AB101" s="98"/>
      <c r="AC101" s="98"/>
      <c r="AD101" s="98"/>
      <c r="AE101" s="98">
        <v>0.628</v>
      </c>
    </row>
    <row r="102" spans="1:31" x14ac:dyDescent="0.25">
      <c r="A102" s="84">
        <f>EXP(LN(A105/A101)/4+LN(A101))</f>
        <v>3.4086580994024982</v>
      </c>
      <c r="B102" s="84">
        <f t="shared" si="0"/>
        <v>3.6334110766469716</v>
      </c>
      <c r="C102" s="84">
        <f t="shared" si="1"/>
        <v>0.99999999893734659</v>
      </c>
      <c r="D102"/>
      <c r="E102"/>
      <c r="F102"/>
      <c r="J102" s="99"/>
      <c r="K102" s="169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x14ac:dyDescent="0.25">
      <c r="A103" s="84">
        <f>EXP(2*LN(A105/A101)/4+LN(A101))</f>
        <v>3.8729833462074179</v>
      </c>
      <c r="B103" s="84">
        <f t="shared" si="0"/>
        <v>4.1283520316238169</v>
      </c>
      <c r="C103" s="84">
        <f t="shared" si="1"/>
        <v>0.99999999971906628</v>
      </c>
      <c r="D103"/>
      <c r="E103"/>
      <c r="F103"/>
      <c r="J103" s="99"/>
      <c r="K103" s="169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x14ac:dyDescent="0.25">
      <c r="A104" s="84">
        <f>EXP(3*LN(A105/A101)/4+LN(A101))</f>
        <v>4.4005586839669677</v>
      </c>
      <c r="B104" s="84">
        <f t="shared" si="0"/>
        <v>4.6907135299264269</v>
      </c>
      <c r="C104" s="84">
        <f t="shared" si="1"/>
        <v>0.99999999992894617</v>
      </c>
      <c r="D104"/>
      <c r="E104"/>
      <c r="F104"/>
      <c r="J104" s="99"/>
      <c r="K104" s="169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x14ac:dyDescent="0.25">
      <c r="A105" s="84">
        <v>5</v>
      </c>
      <c r="B105" s="84">
        <f t="shared" si="0"/>
        <v>5.4525386633262878</v>
      </c>
      <c r="C105" s="84">
        <f t="shared" si="1"/>
        <v>0.99999999998671651</v>
      </c>
      <c r="D105"/>
      <c r="E105"/>
      <c r="F105"/>
      <c r="J105" s="99"/>
      <c r="K105" s="169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x14ac:dyDescent="0.25">
      <c r="A106" s="84">
        <f>EXP(LN(A109/A105)/4+LN(A105))</f>
        <v>5.9460355750136049</v>
      </c>
      <c r="B106" s="84">
        <f t="shared" si="0"/>
        <v>6.4841977732550484</v>
      </c>
      <c r="C106" s="84">
        <f t="shared" si="1"/>
        <v>0.99999999999821521</v>
      </c>
      <c r="D106"/>
      <c r="E106"/>
      <c r="F106"/>
      <c r="J106" s="99"/>
      <c r="K106" s="169"/>
      <c r="L106" s="113"/>
      <c r="M106" s="118"/>
      <c r="N106" s="118"/>
      <c r="O106" s="118"/>
      <c r="P106" s="118"/>
      <c r="Q106" s="118"/>
      <c r="R106" s="118"/>
      <c r="S106" s="118"/>
      <c r="T106" s="118"/>
      <c r="U106" s="11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x14ac:dyDescent="0.25">
      <c r="A107" s="84">
        <f>EXP(2*LN(A109/A105)/4+LN(A105))</f>
        <v>7.0710678118654746</v>
      </c>
      <c r="B107" s="84">
        <f t="shared" si="0"/>
        <v>7.7110541270397031</v>
      </c>
      <c r="C107" s="84">
        <f t="shared" si="1"/>
        <v>0.99999999999977907</v>
      </c>
      <c r="D107"/>
      <c r="E107"/>
      <c r="F107"/>
      <c r="J107" s="99"/>
      <c r="K107" s="169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x14ac:dyDescent="0.25">
      <c r="A108" s="84">
        <f>EXP(3*LN(A109/A105)/4+LN(A105))</f>
        <v>8.408964152537143</v>
      </c>
      <c r="B108" s="84">
        <f t="shared" si="0"/>
        <v>9.1700404320467115</v>
      </c>
      <c r="C108" s="84">
        <f t="shared" si="1"/>
        <v>0.9999999999999748</v>
      </c>
      <c r="D108"/>
      <c r="E108"/>
      <c r="F108"/>
      <c r="J108" s="99"/>
      <c r="K108" s="169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x14ac:dyDescent="0.25">
      <c r="A109" s="84">
        <v>10</v>
      </c>
      <c r="B109" s="84">
        <v>10</v>
      </c>
      <c r="C109" s="84">
        <f t="shared" si="1"/>
        <v>0.99999999999999178</v>
      </c>
      <c r="D109"/>
      <c r="E109"/>
      <c r="F109"/>
      <c r="J109" s="99"/>
      <c r="K109" s="170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x14ac:dyDescent="0.25">
      <c r="K110" s="170"/>
      <c r="L110" s="81"/>
      <c r="M110" s="93"/>
      <c r="N110" s="93"/>
      <c r="O110" s="93"/>
      <c r="P110" s="93"/>
      <c r="Q110" s="93"/>
      <c r="R110" s="93"/>
      <c r="S110" s="93"/>
      <c r="T110" s="93"/>
      <c r="U110" s="3"/>
    </row>
    <row r="111" spans="1:31" x14ac:dyDescent="0.25">
      <c r="K111" s="170"/>
      <c r="L111" s="81"/>
      <c r="M111" s="93"/>
      <c r="N111" s="93"/>
      <c r="O111" s="93"/>
      <c r="P111" s="93"/>
      <c r="Q111" s="93"/>
      <c r="R111" s="93"/>
      <c r="S111" s="93"/>
      <c r="T111" s="93"/>
      <c r="U111" s="3"/>
    </row>
  </sheetData>
  <mergeCells count="25">
    <mergeCell ref="J23:K23"/>
    <mergeCell ref="A7:H7"/>
    <mergeCell ref="J7:V7"/>
    <mergeCell ref="J9:K9"/>
    <mergeCell ref="J11:K11"/>
    <mergeCell ref="A17:H17"/>
    <mergeCell ref="K88:K90"/>
    <mergeCell ref="J26:K26"/>
    <mergeCell ref="J60:L60"/>
    <mergeCell ref="K62:K64"/>
    <mergeCell ref="E64:F64"/>
    <mergeCell ref="K65:K67"/>
    <mergeCell ref="K68:K70"/>
    <mergeCell ref="K71:K73"/>
    <mergeCell ref="K74:K76"/>
    <mergeCell ref="K77:K79"/>
    <mergeCell ref="K83:AD83"/>
    <mergeCell ref="K85:K87"/>
    <mergeCell ref="K109:K111"/>
    <mergeCell ref="K91:K93"/>
    <mergeCell ref="K94:K96"/>
    <mergeCell ref="K97:K99"/>
    <mergeCell ref="K100:K102"/>
    <mergeCell ref="K103:K105"/>
    <mergeCell ref="K106:K108"/>
  </mergeCells>
  <dataValidations count="3">
    <dataValidation type="list" allowBlank="1" showInputMessage="1" showErrorMessage="1" sqref="B21" xr:uid="{05EB9196-DAD2-4359-AB1B-917C06C4C43B}">
      <formula1>"Medium Dense (Sand),Dense (Sand),Very Dense (Sand),Soft (Clay),Medium (Clay),Stiff (Clay)"</formula1>
    </dataValidation>
    <dataValidation type="list" allowBlank="1" showInputMessage="1" showErrorMessage="1" sqref="B20" xr:uid="{A682BEEB-4D7E-4546-9E9F-878D4124559F}">
      <formula1>"Cohesionless (Sand),Cohesive (Clay)"</formula1>
    </dataValidation>
    <dataValidation type="list" allowBlank="1" showInputMessage="1" showErrorMessage="1" sqref="G19 G27 G9:G10 G12:G14" xr:uid="{BAF89376-8874-4D44-8F90-E352FB27DF00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B676-B222-4BA9-9B40-D9E6E2EED95D}">
  <dimension ref="A1:AW46"/>
  <sheetViews>
    <sheetView topLeftCell="M1" zoomScale="85" zoomScaleNormal="85" workbookViewId="0">
      <selection activeCell="B2" sqref="B2:AW22"/>
    </sheetView>
  </sheetViews>
  <sheetFormatPr defaultRowHeight="15" x14ac:dyDescent="0.25"/>
  <cols>
    <col min="1" max="1" width="9.140625" style="1"/>
    <col min="8" max="8" width="5.28515625" customWidth="1"/>
    <col min="9" max="9" width="21" style="1" bestFit="1" customWidth="1"/>
    <col min="10" max="10" width="20.85546875" bestFit="1" customWidth="1"/>
    <col min="11" max="11" width="11.42578125" bestFit="1" customWidth="1"/>
    <col min="12" max="12" width="9.140625" style="1"/>
    <col min="13" max="13" width="10.85546875" customWidth="1"/>
    <col min="17" max="17" width="10.42578125" bestFit="1" customWidth="1"/>
    <col min="22" max="22" width="13" customWidth="1"/>
    <col min="23" max="24" width="11.5703125" customWidth="1"/>
    <col min="25" max="25" width="11.42578125" customWidth="1"/>
    <col min="26" max="26" width="12.28515625" customWidth="1"/>
    <col min="28" max="28" width="10.85546875" bestFit="1" customWidth="1"/>
    <col min="29" max="29" width="14.7109375" bestFit="1" customWidth="1"/>
    <col min="30" max="30" width="20.5703125" bestFit="1" customWidth="1"/>
    <col min="31" max="31" width="28.85546875" bestFit="1" customWidth="1"/>
    <col min="32" max="32" width="32.7109375" bestFit="1" customWidth="1"/>
  </cols>
  <sheetData>
    <row r="1" spans="1:49" ht="18" x14ac:dyDescent="0.25">
      <c r="A1" s="1" t="s">
        <v>87</v>
      </c>
      <c r="B1" s="1" t="s">
        <v>88</v>
      </c>
      <c r="C1" s="1"/>
      <c r="D1" s="1" t="s">
        <v>89</v>
      </c>
      <c r="E1" s="1"/>
      <c r="F1" s="1" t="s">
        <v>90</v>
      </c>
      <c r="G1" s="1" t="s">
        <v>91</v>
      </c>
      <c r="H1" s="13" t="s">
        <v>50</v>
      </c>
      <c r="I1" s="10" t="s">
        <v>95</v>
      </c>
      <c r="J1" s="10" t="s">
        <v>96</v>
      </c>
      <c r="K1" s="13" t="s">
        <v>129</v>
      </c>
      <c r="L1" s="13" t="s">
        <v>130</v>
      </c>
      <c r="M1" s="10" t="s">
        <v>131</v>
      </c>
      <c r="N1" s="13" t="s">
        <v>132</v>
      </c>
      <c r="O1" s="131"/>
      <c r="P1" s="10" t="s">
        <v>97</v>
      </c>
      <c r="Q1" s="10" t="s">
        <v>133</v>
      </c>
      <c r="R1" s="17" t="s">
        <v>301</v>
      </c>
      <c r="S1" s="17" t="s">
        <v>304</v>
      </c>
      <c r="T1" s="10" t="s">
        <v>99</v>
      </c>
      <c r="U1" s="10" t="s">
        <v>138</v>
      </c>
      <c r="V1" s="10" t="s">
        <v>147</v>
      </c>
      <c r="W1" s="10" t="s">
        <v>317</v>
      </c>
      <c r="X1" s="10" t="s">
        <v>318</v>
      </c>
      <c r="Y1" s="10" t="s">
        <v>319</v>
      </c>
      <c r="Z1" s="10" t="s">
        <v>320</v>
      </c>
      <c r="AA1" s="10" t="s">
        <v>108</v>
      </c>
      <c r="AB1" s="10" t="s">
        <v>321</v>
      </c>
      <c r="AC1" s="10" t="s">
        <v>322</v>
      </c>
      <c r="AD1" s="10" t="s">
        <v>323</v>
      </c>
      <c r="AE1" s="10" t="s">
        <v>324</v>
      </c>
      <c r="AF1" s="10" t="s">
        <v>325</v>
      </c>
      <c r="AG1" s="10" t="s">
        <v>326</v>
      </c>
      <c r="AH1" s="10" t="s">
        <v>327</v>
      </c>
      <c r="AI1" s="10"/>
      <c r="AJ1" s="10"/>
      <c r="AL1" s="10" t="s">
        <v>206</v>
      </c>
    </row>
    <row r="2" spans="1:49" x14ac:dyDescent="0.25">
      <c r="A2" s="1" t="s">
        <v>38</v>
      </c>
      <c r="B2" s="1" t="s">
        <v>288</v>
      </c>
      <c r="C2" s="1" t="s">
        <v>1</v>
      </c>
      <c r="D2" s="1" t="s">
        <v>289</v>
      </c>
      <c r="E2" s="1" t="s">
        <v>2</v>
      </c>
      <c r="F2" s="1" t="s">
        <v>124</v>
      </c>
      <c r="G2" s="1" t="s">
        <v>125</v>
      </c>
      <c r="H2" s="13" t="s">
        <v>29</v>
      </c>
      <c r="I2" s="10" t="s">
        <v>0</v>
      </c>
      <c r="J2" s="10" t="s">
        <v>86</v>
      </c>
      <c r="K2" s="13" t="s">
        <v>84</v>
      </c>
      <c r="L2" s="13" t="s">
        <v>85</v>
      </c>
      <c r="M2" s="10" t="s">
        <v>83</v>
      </c>
      <c r="N2" s="13" t="s">
        <v>82</v>
      </c>
      <c r="O2" s="131" t="s">
        <v>406</v>
      </c>
      <c r="P2" s="10" t="s">
        <v>287</v>
      </c>
      <c r="Q2" s="10" t="s">
        <v>7</v>
      </c>
      <c r="R2" s="17" t="s">
        <v>407</v>
      </c>
      <c r="S2" s="17" t="s">
        <v>329</v>
      </c>
      <c r="T2" s="10" t="s">
        <v>330</v>
      </c>
      <c r="U2" s="10" t="s">
        <v>285</v>
      </c>
      <c r="V2" s="10" t="s">
        <v>18</v>
      </c>
      <c r="W2" s="10" t="s">
        <v>19</v>
      </c>
      <c r="X2" s="10" t="s">
        <v>104</v>
      </c>
      <c r="Y2" s="10" t="s">
        <v>105</v>
      </c>
      <c r="Z2" s="10" t="s">
        <v>106</v>
      </c>
      <c r="AA2" s="132" t="s">
        <v>6</v>
      </c>
      <c r="AB2" s="10" t="s">
        <v>274</v>
      </c>
      <c r="AC2" s="10" t="s">
        <v>408</v>
      </c>
      <c r="AD2" s="10" t="s">
        <v>409</v>
      </c>
      <c r="AE2" s="10" t="s">
        <v>403</v>
      </c>
      <c r="AF2" s="10" t="s">
        <v>411</v>
      </c>
      <c r="AG2" s="10" t="s">
        <v>284</v>
      </c>
      <c r="AH2" s="10" t="s">
        <v>8</v>
      </c>
      <c r="AI2" s="10" t="s">
        <v>290</v>
      </c>
      <c r="AJ2" s="10" t="s">
        <v>291</v>
      </c>
      <c r="AL2" s="10"/>
    </row>
    <row r="3" spans="1:49" x14ac:dyDescent="0.25">
      <c r="A3" s="1">
        <v>1</v>
      </c>
      <c r="B3">
        <v>0.20319999999999999</v>
      </c>
      <c r="C3">
        <f>B3*1000</f>
        <v>203.2</v>
      </c>
      <c r="D3">
        <v>1.11252E-2</v>
      </c>
      <c r="E3">
        <f>D3*1000</f>
        <v>11.1252</v>
      </c>
      <c r="F3" s="4">
        <f>B3/D3</f>
        <v>18.264840182648403</v>
      </c>
      <c r="G3" s="1">
        <v>30</v>
      </c>
      <c r="H3" s="1">
        <v>75</v>
      </c>
      <c r="I3" s="1" t="s">
        <v>9</v>
      </c>
      <c r="J3" t="s">
        <v>267</v>
      </c>
      <c r="K3">
        <f>IF(J3="medium dense",18,IF(J3="dense",18.5,IF(J3="very dense",19,IF(J3="soft",17.5,IF(J3="medium stiff",18,IF(J3="stiff",18.5,0))))))</f>
        <v>18</v>
      </c>
      <c r="L3" s="1">
        <f>IF(J3="medium dense",37,IF(J3="dense",40,IF(J3="very dense",43,0)))</f>
        <v>37</v>
      </c>
      <c r="M3">
        <f>IF(J3="soft",37.5,IF(J3="medium stiff",75,IF(J3="stiff",125,0)))</f>
        <v>0</v>
      </c>
      <c r="N3">
        <f>IF(J3="soft",1.1,IF(J3="medium stiff",0.72,IF(J3="stiff",0.4,0)))</f>
        <v>0</v>
      </c>
      <c r="O3">
        <v>0.9</v>
      </c>
      <c r="P3" s="1">
        <v>1</v>
      </c>
      <c r="Q3">
        <f>IF(I3="sand", PI() * B3 * P3*K3 * TAN(RADIANS(O3*L3)), PI() * B3 * N3 * M3)</f>
        <v>7.5479720641402661</v>
      </c>
      <c r="R3">
        <f t="shared" ref="R3:R22" si="0">IF(AND(H3&lt;=90,H3&gt;60),60-H3,0)</f>
        <v>-15</v>
      </c>
      <c r="S3">
        <f t="shared" ref="S3:S22" si="1">IF(B3&lt;0.5,1,0)</f>
        <v>1</v>
      </c>
      <c r="T3">
        <f t="shared" ref="T3:T22" si="2">LN(F3)</f>
        <v>2.9049779102855271</v>
      </c>
      <c r="U3">
        <f t="shared" ref="U3:U22" si="3">LN(Q3)</f>
        <v>2.0212789264051603</v>
      </c>
      <c r="V3" s="38">
        <f t="shared" ref="V3:V22" si="4">-4.11127 + 0.6064 * B3 + 0.002805 * G3 + 0.038944*R3</f>
        <v>-4.4880595200000002</v>
      </c>
      <c r="W3" s="38">
        <f t="shared" ref="W3:W22" si="5">2.29445 + (-0.04675*B3) + (-0.00104 * G3) + (-0.09201 * R3)</f>
        <v>3.6339003999999999</v>
      </c>
      <c r="X3" s="38">
        <f t="shared" ref="X3:X22" si="6">0.42882 + 0.09845 * B3 + 0.0006 * G3 + 0.01203*R3</f>
        <v>0.28637503999999997</v>
      </c>
      <c r="Y3" s="38">
        <f t="shared" ref="Y3:Y22" si="7">2.64335 + (-0.36353*B3) + 0.00086 * G3 + (-0.05422*R3)</f>
        <v>3.4085807039999998</v>
      </c>
      <c r="Z3" s="38">
        <f>-4.57877 + (-0.04142 * (T3*T3)) + (0.9346 * T3) + (0.4714 * U3) + (0.00007*(180-H3)) + (-5.2467 * S3 * (B3-0.5)) + (-0.28986 * (1-S3))</f>
        <v>0.30408470123424092</v>
      </c>
      <c r="AA3" s="1">
        <v>0.1</v>
      </c>
      <c r="AB3">
        <f>LN(AA3)</f>
        <v>-2.3025850929940455</v>
      </c>
      <c r="AC3">
        <f>AB3-V3</f>
        <v>2.1854744270059547</v>
      </c>
      <c r="AD3">
        <f>AC3/W3</f>
        <v>0.60141285848284531</v>
      </c>
      <c r="AE3">
        <f t="shared" ref="AE3:AE10" si="8">IF(ISNUMBER(ATANH(AD3)),ATANH(AD3),100)</f>
        <v>0.69535770349394732</v>
      </c>
      <c r="AF3">
        <f>AE3/X3</f>
        <v>2.4281365565027855</v>
      </c>
      <c r="AG3">
        <f>AF3-Y3+Z3</f>
        <v>-0.6763594462629734</v>
      </c>
      <c r="AH3">
        <f>(MIN(5,EXP(AG3)))</f>
        <v>0.50846472008565746</v>
      </c>
      <c r="AI3">
        <f>$AR$13</f>
        <v>0.57229738456854751</v>
      </c>
      <c r="AJ3">
        <v>0.3</v>
      </c>
      <c r="AL3" s="122"/>
      <c r="AM3" t="s">
        <v>328</v>
      </c>
    </row>
    <row r="4" spans="1:49" x14ac:dyDescent="0.25">
      <c r="A4" s="1">
        <v>2</v>
      </c>
      <c r="B4">
        <v>0.30480000000000002</v>
      </c>
      <c r="C4">
        <f t="shared" ref="C4:E22" si="9">B4*1000</f>
        <v>304.8</v>
      </c>
      <c r="D4">
        <v>7.1399999999999996E-3</v>
      </c>
      <c r="E4">
        <f t="shared" si="9"/>
        <v>7.14</v>
      </c>
      <c r="F4" s="4">
        <f t="shared" ref="F4:F22" si="10">B4/D4</f>
        <v>42.689075630252105</v>
      </c>
      <c r="G4" s="1">
        <v>30</v>
      </c>
      <c r="H4" s="1">
        <v>65</v>
      </c>
      <c r="I4" s="1" t="s">
        <v>9</v>
      </c>
      <c r="J4" t="s">
        <v>268</v>
      </c>
      <c r="K4">
        <f t="shared" ref="K4:K22" si="11">IF(J4="medium dense",18,IF(J4="dense",18.5,IF(J4="very dense",19,IF(J4="soft",17.5,IF(J4="medium stiff",18,IF(J4="stiff",18.5,0))))))</f>
        <v>18.5</v>
      </c>
      <c r="L4" s="1">
        <f t="shared" ref="L4:L22" si="12">IF(J4="medium dense",37,IF(J4="dense",40,IF(J4="very dense",43,0)))</f>
        <v>40</v>
      </c>
      <c r="M4">
        <f t="shared" ref="M4:M22" si="13">IF(J4="soft",37.5,IF(J4="medium stiff",75,IF(J4="stiff",125,0)))</f>
        <v>0</v>
      </c>
      <c r="N4">
        <f t="shared" ref="N4:N22" si="14">IF(J4="soft",1.1,IF(J4="medium stiff",0.72,IF(J4="stiff",0.4,0)))</f>
        <v>0</v>
      </c>
      <c r="O4">
        <v>0.9</v>
      </c>
      <c r="P4" s="1">
        <v>1.2</v>
      </c>
      <c r="Q4">
        <f t="shared" ref="Q4:Q22" si="15">IF(I4="sand", PI() * B4 * P4*K4 * TAN(RADIANS(O4*L4)), PI() * B4 * N4 * M4)</f>
        <v>15.444677723460234</v>
      </c>
      <c r="R4">
        <f t="shared" si="0"/>
        <v>-5</v>
      </c>
      <c r="S4">
        <f t="shared" si="1"/>
        <v>1</v>
      </c>
      <c r="T4">
        <f t="shared" si="2"/>
        <v>3.7539430474609983</v>
      </c>
      <c r="U4">
        <f t="shared" si="3"/>
        <v>2.7372644600771081</v>
      </c>
      <c r="V4" s="38">
        <f t="shared" si="4"/>
        <v>-4.0370092800000004</v>
      </c>
      <c r="W4" s="38">
        <f t="shared" si="5"/>
        <v>2.7090505999999994</v>
      </c>
      <c r="X4" s="38">
        <f t="shared" si="6"/>
        <v>0.41667756</v>
      </c>
      <c r="Y4" s="38">
        <f t="shared" si="7"/>
        <v>2.8294460559999997</v>
      </c>
      <c r="Z4" s="38">
        <f t="shared" ref="Z4:Z22" si="16">-4.57877 + (-0.04142 * (T4*T4)) + (0.9346 * T4) + (0.4714 * U4) + (0.00007*(180-H4)) + (-5.2467 * S4 * (B4-0.5)) + (-0.28986 * (1-S4))</f>
        <v>0.66852317696108277</v>
      </c>
      <c r="AA4" s="1">
        <v>0.1</v>
      </c>
      <c r="AB4">
        <f t="shared" ref="AB4:AB22" si="17">LN(AA4)</f>
        <v>-2.3025850929940455</v>
      </c>
      <c r="AC4">
        <f t="shared" ref="AC4:AC22" si="18">AB4-V4</f>
        <v>1.7344241870059549</v>
      </c>
      <c r="AD4">
        <f t="shared" ref="AD4:AD22" si="19">AC4/W4</f>
        <v>0.64023321934479749</v>
      </c>
      <c r="AE4">
        <f t="shared" si="8"/>
        <v>0.75856886381101818</v>
      </c>
      <c r="AF4">
        <f t="shared" ref="AF4:AF22" si="20">AE4/X4</f>
        <v>1.8205176775322822</v>
      </c>
      <c r="AG4">
        <f t="shared" ref="AG4:AG22" si="21">AF4-Y4+Z4</f>
        <v>-0.34040520150663467</v>
      </c>
      <c r="AH4">
        <f t="shared" ref="AH4:AH22" si="22">EXP(AG4)</f>
        <v>0.71148197077972275</v>
      </c>
      <c r="AI4">
        <f t="shared" ref="AI4:AI22" si="23">$AR$13</f>
        <v>0.57229738456854751</v>
      </c>
      <c r="AJ4">
        <v>0.3</v>
      </c>
    </row>
    <row r="5" spans="1:49" x14ac:dyDescent="0.25">
      <c r="A5" s="1">
        <v>3</v>
      </c>
      <c r="B5">
        <v>0.40639999999999998</v>
      </c>
      <c r="C5">
        <f t="shared" si="9"/>
        <v>406.4</v>
      </c>
      <c r="D5">
        <v>9.5299999999999985E-3</v>
      </c>
      <c r="E5">
        <f t="shared" si="9"/>
        <v>9.5299999999999994</v>
      </c>
      <c r="F5" s="4">
        <f t="shared" si="10"/>
        <v>42.644281217208821</v>
      </c>
      <c r="G5" s="1">
        <v>50</v>
      </c>
      <c r="H5" s="1">
        <v>58</v>
      </c>
      <c r="I5" s="1" t="s">
        <v>9</v>
      </c>
      <c r="J5" t="s">
        <v>270</v>
      </c>
      <c r="K5">
        <f t="shared" si="11"/>
        <v>19</v>
      </c>
      <c r="L5" s="1">
        <f t="shared" si="12"/>
        <v>43</v>
      </c>
      <c r="M5">
        <f t="shared" si="13"/>
        <v>0</v>
      </c>
      <c r="N5">
        <f t="shared" si="14"/>
        <v>0</v>
      </c>
      <c r="O5">
        <v>0.9</v>
      </c>
      <c r="P5" s="1">
        <v>1.5</v>
      </c>
      <c r="Q5">
        <f t="shared" si="15"/>
        <v>29.151630415531248</v>
      </c>
      <c r="R5">
        <f t="shared" si="0"/>
        <v>0</v>
      </c>
      <c r="S5">
        <f t="shared" si="1"/>
        <v>1</v>
      </c>
      <c r="T5">
        <f t="shared" si="2"/>
        <v>3.7528931785981614</v>
      </c>
      <c r="U5">
        <f t="shared" si="3"/>
        <v>3.3725108431545396</v>
      </c>
      <c r="V5" s="38">
        <f t="shared" si="4"/>
        <v>-3.7245790400000001</v>
      </c>
      <c r="W5" s="38">
        <f t="shared" si="5"/>
        <v>2.2234507999999997</v>
      </c>
      <c r="X5" s="38">
        <f t="shared" si="6"/>
        <v>0.49883007999999995</v>
      </c>
      <c r="Y5" s="38">
        <f t="shared" si="7"/>
        <v>2.538611408</v>
      </c>
      <c r="Z5" s="38">
        <f t="shared" si="16"/>
        <v>0.43474883354399235</v>
      </c>
      <c r="AA5" s="1">
        <v>0.15</v>
      </c>
      <c r="AB5">
        <f t="shared" si="17"/>
        <v>-1.8971199848858813</v>
      </c>
      <c r="AC5">
        <f t="shared" si="18"/>
        <v>1.8274590551141188</v>
      </c>
      <c r="AD5">
        <f t="shared" si="19"/>
        <v>0.82190217796324483</v>
      </c>
      <c r="AE5">
        <f t="shared" si="8"/>
        <v>1.1626517128318059</v>
      </c>
      <c r="AF5">
        <f t="shared" si="20"/>
        <v>2.3307570241790674</v>
      </c>
      <c r="AG5">
        <f t="shared" si="21"/>
        <v>0.22689444972305978</v>
      </c>
      <c r="AH5">
        <f t="shared" si="22"/>
        <v>1.2546974272899019</v>
      </c>
      <c r="AI5">
        <f t="shared" si="23"/>
        <v>0.57229738456854751</v>
      </c>
      <c r="AJ5">
        <v>0.3</v>
      </c>
    </row>
    <row r="6" spans="1:49" x14ac:dyDescent="0.25">
      <c r="A6" s="1">
        <v>4</v>
      </c>
      <c r="B6">
        <v>0.50800000000000001</v>
      </c>
      <c r="C6">
        <f t="shared" si="9"/>
        <v>508</v>
      </c>
      <c r="D6">
        <v>1.1130000000000001E-2</v>
      </c>
      <c r="E6">
        <f t="shared" si="9"/>
        <v>11.13</v>
      </c>
      <c r="F6" s="4">
        <f t="shared" si="10"/>
        <v>45.642407906558844</v>
      </c>
      <c r="G6" s="1">
        <v>100</v>
      </c>
      <c r="H6" s="1">
        <v>51</v>
      </c>
      <c r="I6" s="1" t="s">
        <v>9</v>
      </c>
      <c r="J6" t="s">
        <v>267</v>
      </c>
      <c r="K6">
        <f t="shared" si="11"/>
        <v>18</v>
      </c>
      <c r="L6" s="1">
        <f t="shared" si="12"/>
        <v>37</v>
      </c>
      <c r="M6">
        <f t="shared" si="13"/>
        <v>0</v>
      </c>
      <c r="N6">
        <f t="shared" si="14"/>
        <v>0</v>
      </c>
      <c r="O6">
        <v>0.9</v>
      </c>
      <c r="P6" s="1">
        <v>1</v>
      </c>
      <c r="Q6">
        <f t="shared" si="15"/>
        <v>18.869930160350666</v>
      </c>
      <c r="R6">
        <f t="shared" si="0"/>
        <v>0</v>
      </c>
      <c r="S6">
        <f t="shared" si="1"/>
        <v>0</v>
      </c>
      <c r="T6">
        <f t="shared" si="2"/>
        <v>3.8208372822910284</v>
      </c>
      <c r="U6">
        <f t="shared" si="3"/>
        <v>2.9375696582793154</v>
      </c>
      <c r="V6" s="38">
        <f t="shared" si="4"/>
        <v>-3.5227188000000003</v>
      </c>
      <c r="W6" s="38">
        <f t="shared" si="5"/>
        <v>2.1667009999999998</v>
      </c>
      <c r="X6" s="38">
        <f t="shared" si="6"/>
        <v>0.53883259999999999</v>
      </c>
      <c r="Y6" s="38">
        <f t="shared" si="7"/>
        <v>2.5446767599999998</v>
      </c>
      <c r="Z6" s="38">
        <f t="shared" si="16"/>
        <v>-0.50855733307133744</v>
      </c>
      <c r="AA6" s="1">
        <v>0.2</v>
      </c>
      <c r="AB6">
        <f t="shared" si="17"/>
        <v>-1.6094379124341003</v>
      </c>
      <c r="AC6">
        <f t="shared" si="18"/>
        <v>1.9132808875659</v>
      </c>
      <c r="AD6">
        <f t="shared" si="19"/>
        <v>0.88303872457062615</v>
      </c>
      <c r="AE6">
        <f t="shared" si="8"/>
        <v>1.3893995965142862</v>
      </c>
      <c r="AF6">
        <f t="shared" si="20"/>
        <v>2.5785366299557344</v>
      </c>
      <c r="AG6">
        <f t="shared" si="21"/>
        <v>-0.47469746311560279</v>
      </c>
      <c r="AH6">
        <f t="shared" si="22"/>
        <v>0.62207322809545029</v>
      </c>
      <c r="AI6">
        <f t="shared" si="23"/>
        <v>0.57229738456854751</v>
      </c>
      <c r="AJ6">
        <v>0.3</v>
      </c>
    </row>
    <row r="7" spans="1:49" x14ac:dyDescent="0.25">
      <c r="A7" s="1">
        <v>5</v>
      </c>
      <c r="B7">
        <v>0.60960000000000003</v>
      </c>
      <c r="C7">
        <f t="shared" si="9"/>
        <v>609.6</v>
      </c>
      <c r="D7">
        <v>9.5299999999999985E-3</v>
      </c>
      <c r="E7">
        <f t="shared" si="9"/>
        <v>9.5299999999999994</v>
      </c>
      <c r="F7" s="4">
        <f t="shared" si="10"/>
        <v>63.966421825813235</v>
      </c>
      <c r="G7" s="1">
        <v>15</v>
      </c>
      <c r="H7" s="1">
        <v>44</v>
      </c>
      <c r="I7" s="1" t="s">
        <v>9</v>
      </c>
      <c r="J7" t="s">
        <v>268</v>
      </c>
      <c r="K7">
        <f t="shared" si="11"/>
        <v>18.5</v>
      </c>
      <c r="L7" s="1">
        <f t="shared" si="12"/>
        <v>40</v>
      </c>
      <c r="M7">
        <f t="shared" si="13"/>
        <v>0</v>
      </c>
      <c r="N7">
        <f t="shared" si="14"/>
        <v>0</v>
      </c>
      <c r="O7">
        <v>0.9</v>
      </c>
      <c r="P7" s="1">
        <v>1.2</v>
      </c>
      <c r="Q7">
        <f t="shared" si="15"/>
        <v>30.889355446920469</v>
      </c>
      <c r="R7">
        <f t="shared" si="0"/>
        <v>0</v>
      </c>
      <c r="S7">
        <f t="shared" si="1"/>
        <v>0</v>
      </c>
      <c r="T7">
        <f t="shared" si="2"/>
        <v>4.158358286706326</v>
      </c>
      <c r="U7">
        <f t="shared" si="3"/>
        <v>3.4304116406370531</v>
      </c>
      <c r="V7" s="38">
        <f t="shared" si="4"/>
        <v>-3.6995335599999999</v>
      </c>
      <c r="W7" s="38">
        <f t="shared" si="5"/>
        <v>2.2503511999999999</v>
      </c>
      <c r="X7" s="38">
        <f t="shared" si="6"/>
        <v>0.49783511999999996</v>
      </c>
      <c r="Y7" s="38">
        <f t="shared" si="7"/>
        <v>2.4346421120000001</v>
      </c>
      <c r="Z7" s="38">
        <f t="shared" si="16"/>
        <v>-7.1844603442407146E-2</v>
      </c>
      <c r="AA7" s="1">
        <v>0.2</v>
      </c>
      <c r="AB7">
        <f t="shared" si="17"/>
        <v>-1.6094379124341003</v>
      </c>
      <c r="AC7">
        <f t="shared" si="18"/>
        <v>2.0900956475658994</v>
      </c>
      <c r="AD7">
        <f t="shared" si="19"/>
        <v>0.92878642567697856</v>
      </c>
      <c r="AE7">
        <f t="shared" si="8"/>
        <v>1.6494814191438925</v>
      </c>
      <c r="AF7">
        <f t="shared" si="20"/>
        <v>3.3133086696332161</v>
      </c>
      <c r="AG7">
        <f t="shared" si="21"/>
        <v>0.80682195419080882</v>
      </c>
      <c r="AH7">
        <f t="shared" si="22"/>
        <v>2.2407753720113077</v>
      </c>
      <c r="AI7">
        <f t="shared" si="23"/>
        <v>0.57229738456854751</v>
      </c>
      <c r="AJ7">
        <v>0.3</v>
      </c>
    </row>
    <row r="8" spans="1:49" x14ac:dyDescent="0.25">
      <c r="A8" s="1">
        <v>6</v>
      </c>
      <c r="B8">
        <v>0.76200000000000001</v>
      </c>
      <c r="C8">
        <f t="shared" si="9"/>
        <v>762</v>
      </c>
      <c r="D8">
        <v>1.2699999999999999E-2</v>
      </c>
      <c r="E8">
        <f t="shared" si="9"/>
        <v>12.7</v>
      </c>
      <c r="F8" s="4">
        <f t="shared" si="10"/>
        <v>60</v>
      </c>
      <c r="G8" s="1">
        <v>30</v>
      </c>
      <c r="H8" s="1">
        <v>37</v>
      </c>
      <c r="I8" s="1" t="s">
        <v>9</v>
      </c>
      <c r="J8" t="s">
        <v>270</v>
      </c>
      <c r="K8">
        <f t="shared" si="11"/>
        <v>19</v>
      </c>
      <c r="L8" s="1">
        <f t="shared" si="12"/>
        <v>43</v>
      </c>
      <c r="M8">
        <f t="shared" si="13"/>
        <v>0</v>
      </c>
      <c r="N8">
        <f t="shared" si="14"/>
        <v>0</v>
      </c>
      <c r="O8">
        <v>0.9</v>
      </c>
      <c r="P8" s="1">
        <v>1.5</v>
      </c>
      <c r="Q8">
        <f t="shared" si="15"/>
        <v>54.659307029121074</v>
      </c>
      <c r="R8">
        <f t="shared" si="0"/>
        <v>0</v>
      </c>
      <c r="S8">
        <f t="shared" si="1"/>
        <v>0</v>
      </c>
      <c r="T8">
        <f t="shared" si="2"/>
        <v>4.0943445622221004</v>
      </c>
      <c r="U8">
        <f t="shared" si="3"/>
        <v>4.0011195025769135</v>
      </c>
      <c r="V8" s="38">
        <f t="shared" si="4"/>
        <v>-3.5650431999999999</v>
      </c>
      <c r="W8" s="38">
        <f t="shared" si="5"/>
        <v>2.2276265</v>
      </c>
      <c r="X8" s="38">
        <f t="shared" si="6"/>
        <v>0.52183889999999999</v>
      </c>
      <c r="Y8" s="38">
        <f t="shared" si="7"/>
        <v>2.3921401399999995</v>
      </c>
      <c r="Z8" s="38">
        <f t="shared" si="16"/>
        <v>0.15973147209986455</v>
      </c>
      <c r="AA8" s="1">
        <v>0.25</v>
      </c>
      <c r="AB8">
        <f t="shared" si="17"/>
        <v>-1.3862943611198906</v>
      </c>
      <c r="AC8">
        <f t="shared" si="18"/>
        <v>2.1787488388801091</v>
      </c>
      <c r="AD8">
        <f t="shared" si="19"/>
        <v>0.97805841279052352</v>
      </c>
      <c r="AE8">
        <f t="shared" si="8"/>
        <v>2.2507436237850884</v>
      </c>
      <c r="AF8">
        <f t="shared" si="20"/>
        <v>4.3131005062771068</v>
      </c>
      <c r="AG8">
        <f t="shared" si="21"/>
        <v>2.0806918383769717</v>
      </c>
      <c r="AH8">
        <f t="shared" si="22"/>
        <v>8.0100086291512458</v>
      </c>
      <c r="AI8">
        <f t="shared" si="23"/>
        <v>0.57229738456854751</v>
      </c>
      <c r="AJ8">
        <v>0.3</v>
      </c>
    </row>
    <row r="9" spans="1:49" x14ac:dyDescent="0.25">
      <c r="A9" s="1">
        <v>7</v>
      </c>
      <c r="B9">
        <v>0.86360000000000003</v>
      </c>
      <c r="C9">
        <f t="shared" si="9"/>
        <v>863.6</v>
      </c>
      <c r="D9">
        <v>1.1130000000000001E-2</v>
      </c>
      <c r="E9">
        <f t="shared" si="9"/>
        <v>11.13</v>
      </c>
      <c r="F9" s="4">
        <f t="shared" si="10"/>
        <v>77.592093441150041</v>
      </c>
      <c r="G9" s="1">
        <v>50</v>
      </c>
      <c r="H9" s="1">
        <v>30</v>
      </c>
      <c r="I9" s="1" t="s">
        <v>9</v>
      </c>
      <c r="J9" t="s">
        <v>267</v>
      </c>
      <c r="K9">
        <f t="shared" si="11"/>
        <v>18</v>
      </c>
      <c r="L9" s="1">
        <f t="shared" si="12"/>
        <v>37</v>
      </c>
      <c r="M9">
        <f t="shared" si="13"/>
        <v>0</v>
      </c>
      <c r="N9">
        <f t="shared" si="14"/>
        <v>0</v>
      </c>
      <c r="O9">
        <v>0.9</v>
      </c>
      <c r="P9" s="1">
        <v>1</v>
      </c>
      <c r="Q9">
        <f t="shared" si="15"/>
        <v>32.078881272596128</v>
      </c>
      <c r="R9">
        <f t="shared" si="0"/>
        <v>0</v>
      </c>
      <c r="S9">
        <f t="shared" si="1"/>
        <v>0</v>
      </c>
      <c r="T9">
        <f t="shared" si="2"/>
        <v>4.3514655333531991</v>
      </c>
      <c r="U9">
        <f t="shared" si="3"/>
        <v>3.4681979093414856</v>
      </c>
      <c r="V9" s="38">
        <f t="shared" si="4"/>
        <v>-3.4473329600000002</v>
      </c>
      <c r="W9" s="38">
        <f t="shared" si="5"/>
        <v>2.2020766999999997</v>
      </c>
      <c r="X9" s="38">
        <f t="shared" si="6"/>
        <v>0.54384142000000002</v>
      </c>
      <c r="Y9" s="38">
        <f t="shared" si="7"/>
        <v>2.3724054919999999</v>
      </c>
      <c r="Z9" s="38">
        <f t="shared" si="16"/>
        <v>5.9360032168138954E-2</v>
      </c>
      <c r="AA9" s="1">
        <v>0.28000000000000003</v>
      </c>
      <c r="AB9">
        <f t="shared" si="17"/>
        <v>-1.2729656758128873</v>
      </c>
      <c r="AC9">
        <f t="shared" si="18"/>
        <v>2.1743672841871131</v>
      </c>
      <c r="AD9">
        <f t="shared" si="19"/>
        <v>0.98741668906769386</v>
      </c>
      <c r="AE9">
        <f t="shared" si="8"/>
        <v>2.5311097606942257</v>
      </c>
      <c r="AF9">
        <f t="shared" si="20"/>
        <v>4.6541320090960072</v>
      </c>
      <c r="AG9">
        <f t="shared" si="21"/>
        <v>2.3410865492641464</v>
      </c>
      <c r="AH9">
        <f t="shared" si="22"/>
        <v>10.392522417888488</v>
      </c>
      <c r="AI9">
        <f t="shared" si="23"/>
        <v>0.57229738456854751</v>
      </c>
      <c r="AJ9">
        <v>0.3</v>
      </c>
      <c r="AO9" t="s">
        <v>413</v>
      </c>
      <c r="AP9">
        <v>-0.28299999999999997</v>
      </c>
      <c r="AR9" t="s">
        <v>419</v>
      </c>
      <c r="AS9" t="s">
        <v>420</v>
      </c>
      <c r="AT9" t="s">
        <v>421</v>
      </c>
      <c r="AU9" t="s">
        <v>422</v>
      </c>
      <c r="AV9" t="s">
        <v>423</v>
      </c>
      <c r="AW9" t="s">
        <v>424</v>
      </c>
    </row>
    <row r="10" spans="1:49" x14ac:dyDescent="0.25">
      <c r="A10" s="1">
        <v>8</v>
      </c>
      <c r="B10">
        <v>1.0668</v>
      </c>
      <c r="C10">
        <f t="shared" si="9"/>
        <v>1066.8</v>
      </c>
      <c r="D10">
        <v>1.2699999999999999E-2</v>
      </c>
      <c r="E10">
        <f t="shared" si="9"/>
        <v>12.7</v>
      </c>
      <c r="F10" s="4">
        <f t="shared" si="10"/>
        <v>84</v>
      </c>
      <c r="G10" s="1">
        <v>100</v>
      </c>
      <c r="H10" s="1">
        <v>23</v>
      </c>
      <c r="I10" s="1" t="s">
        <v>9</v>
      </c>
      <c r="J10" t="s">
        <v>268</v>
      </c>
      <c r="K10">
        <f t="shared" si="11"/>
        <v>18.5</v>
      </c>
      <c r="L10" s="1">
        <f t="shared" si="12"/>
        <v>40</v>
      </c>
      <c r="M10">
        <f t="shared" si="13"/>
        <v>0</v>
      </c>
      <c r="N10">
        <f t="shared" si="14"/>
        <v>0</v>
      </c>
      <c r="O10">
        <v>0.9</v>
      </c>
      <c r="P10" s="1">
        <v>1.2</v>
      </c>
      <c r="Q10">
        <f t="shared" si="15"/>
        <v>54.056372032110822</v>
      </c>
      <c r="R10">
        <f t="shared" si="0"/>
        <v>0</v>
      </c>
      <c r="S10">
        <f t="shared" si="1"/>
        <v>0</v>
      </c>
      <c r="T10">
        <f t="shared" si="2"/>
        <v>4.4308167988433134</v>
      </c>
      <c r="U10">
        <f t="shared" si="3"/>
        <v>3.9900274285724762</v>
      </c>
      <c r="V10" s="38">
        <f t="shared" si="4"/>
        <v>-3.1838624800000002</v>
      </c>
      <c r="W10" s="38">
        <f t="shared" si="5"/>
        <v>2.1405770999999998</v>
      </c>
      <c r="X10" s="38">
        <f t="shared" si="6"/>
        <v>0.59384645999999996</v>
      </c>
      <c r="Y10" s="38">
        <f t="shared" si="7"/>
        <v>2.3415361959999998</v>
      </c>
      <c r="Z10" s="38">
        <f t="shared" si="16"/>
        <v>0.35113717457456706</v>
      </c>
      <c r="AA10" s="1">
        <v>0.18</v>
      </c>
      <c r="AB10">
        <f t="shared" si="17"/>
        <v>-1.7147984280919266</v>
      </c>
      <c r="AC10">
        <f t="shared" si="18"/>
        <v>1.4690640519080735</v>
      </c>
      <c r="AD10">
        <f t="shared" si="19"/>
        <v>0.68629345418488952</v>
      </c>
      <c r="AE10">
        <f t="shared" si="8"/>
        <v>0.8409150977233486</v>
      </c>
      <c r="AF10">
        <f t="shared" si="20"/>
        <v>1.416048009654463</v>
      </c>
      <c r="AG10">
        <f t="shared" si="21"/>
        <v>-0.57435101177096981</v>
      </c>
      <c r="AH10">
        <f t="shared" si="22"/>
        <v>0.56307017617049704</v>
      </c>
      <c r="AI10">
        <f t="shared" si="23"/>
        <v>0.57229738456854751</v>
      </c>
      <c r="AJ10">
        <v>0.3</v>
      </c>
      <c r="AO10" t="s">
        <v>414</v>
      </c>
      <c r="AP10">
        <v>-0.625</v>
      </c>
      <c r="AR10">
        <v>-0.28299999999999997</v>
      </c>
      <c r="AS10">
        <v>-0.625</v>
      </c>
      <c r="AT10">
        <v>0.46</v>
      </c>
      <c r="AU10">
        <v>0.70899999999999996</v>
      </c>
      <c r="AV10">
        <v>0.68799999999999994</v>
      </c>
      <c r="AW10">
        <v>0.312</v>
      </c>
    </row>
    <row r="11" spans="1:49" x14ac:dyDescent="0.25">
      <c r="A11" s="1">
        <v>9</v>
      </c>
      <c r="B11">
        <v>0.60960000000000003</v>
      </c>
      <c r="C11">
        <f t="shared" si="9"/>
        <v>609.6</v>
      </c>
      <c r="D11">
        <v>1.1130000000000001E-2</v>
      </c>
      <c r="E11">
        <f t="shared" si="9"/>
        <v>11.13</v>
      </c>
      <c r="F11" s="4">
        <f t="shared" si="10"/>
        <v>54.770889487870619</v>
      </c>
      <c r="G11" s="1">
        <v>150</v>
      </c>
      <c r="H11" s="1">
        <v>16</v>
      </c>
      <c r="I11" s="1" t="s">
        <v>9</v>
      </c>
      <c r="J11" t="s">
        <v>270</v>
      </c>
      <c r="K11">
        <f t="shared" si="11"/>
        <v>19</v>
      </c>
      <c r="L11" s="1">
        <f t="shared" si="12"/>
        <v>43</v>
      </c>
      <c r="M11">
        <f t="shared" si="13"/>
        <v>0</v>
      </c>
      <c r="N11">
        <f t="shared" si="14"/>
        <v>0</v>
      </c>
      <c r="O11">
        <v>0.9</v>
      </c>
      <c r="P11" s="1">
        <v>1.5</v>
      </c>
      <c r="Q11">
        <f t="shared" si="15"/>
        <v>43.727445623296873</v>
      </c>
      <c r="R11">
        <f t="shared" si="0"/>
        <v>0</v>
      </c>
      <c r="S11">
        <f t="shared" si="1"/>
        <v>0</v>
      </c>
      <c r="T11">
        <f t="shared" si="2"/>
        <v>4.0031588390849828</v>
      </c>
      <c r="U11">
        <f t="shared" si="3"/>
        <v>3.7779759512627038</v>
      </c>
      <c r="V11" s="38">
        <f t="shared" si="4"/>
        <v>-3.32085856</v>
      </c>
      <c r="W11" s="38">
        <f t="shared" si="5"/>
        <v>2.1099511999999998</v>
      </c>
      <c r="X11" s="38">
        <f t="shared" si="6"/>
        <v>0.57883511999999993</v>
      </c>
      <c r="Y11" s="38">
        <f t="shared" si="7"/>
        <v>2.550742112</v>
      </c>
      <c r="Z11" s="38">
        <f t="shared" si="16"/>
        <v>1.3729882151536921E-3</v>
      </c>
      <c r="AA11" s="1">
        <v>0.4</v>
      </c>
      <c r="AB11">
        <f t="shared" si="17"/>
        <v>-0.916290731874155</v>
      </c>
      <c r="AC11">
        <f t="shared" si="18"/>
        <v>2.4045678281258449</v>
      </c>
      <c r="AD11">
        <f t="shared" si="19"/>
        <v>1.13963196311168</v>
      </c>
      <c r="AE11" s="122">
        <f>IF(AD11&gt;=1,5,ATANH(AD11))</f>
        <v>5</v>
      </c>
      <c r="AF11" s="122">
        <f t="shared" si="20"/>
        <v>8.6380384106617445</v>
      </c>
      <c r="AG11" s="122">
        <f t="shared" si="21"/>
        <v>6.0886692868768986</v>
      </c>
      <c r="AH11" s="122">
        <f t="shared" si="22"/>
        <v>440.83439654198293</v>
      </c>
      <c r="AI11" s="122">
        <f t="shared" si="23"/>
        <v>0.57229738456854751</v>
      </c>
      <c r="AJ11" s="122">
        <v>0.3</v>
      </c>
      <c r="AO11" t="s">
        <v>415</v>
      </c>
      <c r="AP11">
        <v>0.46</v>
      </c>
      <c r="AR11">
        <f>AR10*AV10+AS10*AW10</f>
        <v>-0.38970399999999994</v>
      </c>
    </row>
    <row r="12" spans="1:49" x14ac:dyDescent="0.25">
      <c r="A12" s="1">
        <v>10</v>
      </c>
      <c r="B12">
        <v>0.60960000000000003</v>
      </c>
      <c r="C12">
        <f t="shared" si="9"/>
        <v>609.6</v>
      </c>
      <c r="D12">
        <v>1.1130000000000001E-2</v>
      </c>
      <c r="E12">
        <f t="shared" si="9"/>
        <v>11.13</v>
      </c>
      <c r="F12" s="4">
        <f t="shared" si="10"/>
        <v>54.770889487870619</v>
      </c>
      <c r="G12" s="1">
        <v>200</v>
      </c>
      <c r="H12" s="1">
        <v>15</v>
      </c>
      <c r="I12" s="1" t="s">
        <v>9</v>
      </c>
      <c r="J12" t="s">
        <v>267</v>
      </c>
      <c r="K12">
        <f t="shared" si="11"/>
        <v>18</v>
      </c>
      <c r="L12" s="1">
        <f t="shared" si="12"/>
        <v>37</v>
      </c>
      <c r="M12">
        <f t="shared" si="13"/>
        <v>0</v>
      </c>
      <c r="N12">
        <f t="shared" si="14"/>
        <v>0</v>
      </c>
      <c r="O12">
        <v>0.9</v>
      </c>
      <c r="P12" s="1">
        <v>1.2</v>
      </c>
      <c r="Q12">
        <f t="shared" si="15"/>
        <v>27.172699430904952</v>
      </c>
      <c r="R12">
        <f t="shared" si="0"/>
        <v>0</v>
      </c>
      <c r="S12">
        <f t="shared" si="1"/>
        <v>0</v>
      </c>
      <c r="T12">
        <f t="shared" si="2"/>
        <v>4.0031588390849828</v>
      </c>
      <c r="U12">
        <f t="shared" si="3"/>
        <v>3.3022127718672243</v>
      </c>
      <c r="V12" s="38">
        <f t="shared" si="4"/>
        <v>-3.18060856</v>
      </c>
      <c r="W12" s="38">
        <f t="shared" si="5"/>
        <v>2.0579511999999998</v>
      </c>
      <c r="X12" s="38">
        <f t="shared" si="6"/>
        <v>0.60883511999999995</v>
      </c>
      <c r="Y12" s="38">
        <f t="shared" si="7"/>
        <v>2.5937421120000002</v>
      </c>
      <c r="Z12" s="38">
        <f t="shared" si="16"/>
        <v>-0.22283177455187525</v>
      </c>
      <c r="AA12" s="1">
        <v>1.2</v>
      </c>
      <c r="AB12">
        <f t="shared" si="17"/>
        <v>0.18232155679395459</v>
      </c>
      <c r="AC12">
        <f t="shared" si="18"/>
        <v>3.3629301167939545</v>
      </c>
      <c r="AD12">
        <f t="shared" si="19"/>
        <v>1.6341155790253699</v>
      </c>
      <c r="AE12" s="122">
        <f>IF(AD12&gt;=1,5,ATANH(AD12))</f>
        <v>5</v>
      </c>
      <c r="AF12" s="122">
        <f t="shared" si="20"/>
        <v>8.2124040413437385</v>
      </c>
      <c r="AG12" s="122">
        <f t="shared" si="21"/>
        <v>5.395830154791863</v>
      </c>
      <c r="AH12" s="122">
        <f t="shared" si="22"/>
        <v>220.48510791195636</v>
      </c>
      <c r="AI12" s="122">
        <f t="shared" si="23"/>
        <v>0.57229738456854751</v>
      </c>
      <c r="AJ12" s="122">
        <v>0.3</v>
      </c>
      <c r="AO12" t="s">
        <v>416</v>
      </c>
      <c r="AP12">
        <v>0.70899999999999996</v>
      </c>
      <c r="AR12">
        <f>AV10*AT10^2+AW10*AU10^2+AV10*AW10*(AR10-AS10)^2</f>
        <v>0.32752429638399994</v>
      </c>
    </row>
    <row r="13" spans="1:49" x14ac:dyDescent="0.25">
      <c r="A13" s="1">
        <v>11</v>
      </c>
      <c r="B13">
        <v>0.20319999999999999</v>
      </c>
      <c r="C13">
        <f t="shared" si="9"/>
        <v>203.2</v>
      </c>
      <c r="D13">
        <v>5.5599999999999998E-3</v>
      </c>
      <c r="E13">
        <f t="shared" si="9"/>
        <v>5.56</v>
      </c>
      <c r="F13" s="4">
        <f t="shared" si="10"/>
        <v>36.546762589928058</v>
      </c>
      <c r="G13" s="1">
        <v>15</v>
      </c>
      <c r="H13" s="1">
        <v>72</v>
      </c>
      <c r="I13" s="1" t="s">
        <v>10</v>
      </c>
      <c r="J13" t="s">
        <v>265</v>
      </c>
      <c r="K13">
        <f t="shared" si="11"/>
        <v>17.5</v>
      </c>
      <c r="L13" s="1">
        <f t="shared" si="12"/>
        <v>0</v>
      </c>
      <c r="M13">
        <f t="shared" si="13"/>
        <v>37.5</v>
      </c>
      <c r="N13">
        <f t="shared" si="14"/>
        <v>1.1000000000000001</v>
      </c>
      <c r="O13">
        <v>0.9</v>
      </c>
      <c r="P13" s="1">
        <v>0</v>
      </c>
      <c r="Q13">
        <f t="shared" si="15"/>
        <v>26.332829622389646</v>
      </c>
      <c r="R13">
        <f t="shared" si="0"/>
        <v>-12</v>
      </c>
      <c r="S13">
        <f t="shared" si="1"/>
        <v>1</v>
      </c>
      <c r="T13">
        <f t="shared" si="2"/>
        <v>3.598592607441836</v>
      </c>
      <c r="U13">
        <f t="shared" si="3"/>
        <v>3.2708164353522799</v>
      </c>
      <c r="V13" s="38">
        <f t="shared" si="4"/>
        <v>-4.4133025200000002</v>
      </c>
      <c r="W13" s="38">
        <f t="shared" si="5"/>
        <v>3.3734704</v>
      </c>
      <c r="X13" s="38">
        <f t="shared" si="6"/>
        <v>0.31346503999999997</v>
      </c>
      <c r="Y13" s="38">
        <f t="shared" si="7"/>
        <v>3.2330207040000003</v>
      </c>
      <c r="Z13" s="38">
        <f t="shared" si="16"/>
        <v>1.3547345147356484</v>
      </c>
      <c r="AA13" s="1">
        <v>0.05</v>
      </c>
      <c r="AB13">
        <f t="shared" si="17"/>
        <v>-2.9957322735539909</v>
      </c>
      <c r="AC13">
        <f t="shared" si="18"/>
        <v>1.4175702464460094</v>
      </c>
      <c r="AD13">
        <f t="shared" si="19"/>
        <v>0.4202112597300422</v>
      </c>
      <c r="AE13">
        <f t="shared" ref="AE13:AE20" si="24">IF(ISNUMBER(ATANH(AD13)),ATANH(AD13),100)</f>
        <v>0.44794855885624785</v>
      </c>
      <c r="AF13">
        <f t="shared" si="20"/>
        <v>1.4290223843024021</v>
      </c>
      <c r="AG13">
        <f t="shared" si="21"/>
        <v>-0.44926380496194973</v>
      </c>
      <c r="AH13">
        <f t="shared" si="22"/>
        <v>0.63809774313738099</v>
      </c>
      <c r="AI13">
        <f t="shared" si="23"/>
        <v>0.57229738456854751</v>
      </c>
      <c r="AJ13">
        <v>0.3</v>
      </c>
      <c r="AO13" t="s">
        <v>417</v>
      </c>
      <c r="AP13">
        <v>0.68799999999999994</v>
      </c>
      <c r="AR13">
        <f>SQRT(AR12)</f>
        <v>0.57229738456854751</v>
      </c>
    </row>
    <row r="14" spans="1:49" x14ac:dyDescent="0.25">
      <c r="A14" s="1">
        <v>12</v>
      </c>
      <c r="B14">
        <v>0.30480000000000002</v>
      </c>
      <c r="C14">
        <f t="shared" si="9"/>
        <v>304.8</v>
      </c>
      <c r="D14">
        <v>7.1399999999999996E-3</v>
      </c>
      <c r="E14">
        <f t="shared" si="9"/>
        <v>7.14</v>
      </c>
      <c r="F14" s="4">
        <f t="shared" si="10"/>
        <v>42.689075630252105</v>
      </c>
      <c r="G14" s="1">
        <v>30</v>
      </c>
      <c r="H14" s="1">
        <v>65</v>
      </c>
      <c r="I14" s="1" t="s">
        <v>10</v>
      </c>
      <c r="J14" t="s">
        <v>269</v>
      </c>
      <c r="K14">
        <f t="shared" si="11"/>
        <v>18</v>
      </c>
      <c r="L14" s="1">
        <f t="shared" si="12"/>
        <v>0</v>
      </c>
      <c r="M14">
        <f t="shared" si="13"/>
        <v>75</v>
      </c>
      <c r="N14">
        <f t="shared" si="14"/>
        <v>0.72</v>
      </c>
      <c r="O14">
        <v>0.9</v>
      </c>
      <c r="P14" s="1">
        <v>0</v>
      </c>
      <c r="Q14">
        <f t="shared" si="15"/>
        <v>51.708101803965121</v>
      </c>
      <c r="R14">
        <f t="shared" si="0"/>
        <v>-5</v>
      </c>
      <c r="S14">
        <f t="shared" si="1"/>
        <v>1</v>
      </c>
      <c r="T14">
        <f t="shared" si="2"/>
        <v>3.7539430474609983</v>
      </c>
      <c r="U14">
        <f t="shared" si="3"/>
        <v>3.9456144772440287</v>
      </c>
      <c r="V14" s="38">
        <f t="shared" si="4"/>
        <v>-4.0370092800000004</v>
      </c>
      <c r="W14" s="38">
        <f t="shared" si="5"/>
        <v>2.7090505999999994</v>
      </c>
      <c r="X14" s="38">
        <f t="shared" si="6"/>
        <v>0.41667756</v>
      </c>
      <c r="Y14" s="38">
        <f t="shared" si="7"/>
        <v>2.8294460559999997</v>
      </c>
      <c r="Z14" s="38">
        <f t="shared" si="16"/>
        <v>1.238139375053569</v>
      </c>
      <c r="AA14" s="1">
        <v>0.1</v>
      </c>
      <c r="AB14">
        <f t="shared" si="17"/>
        <v>-2.3025850929940455</v>
      </c>
      <c r="AC14">
        <f t="shared" si="18"/>
        <v>1.7344241870059549</v>
      </c>
      <c r="AD14">
        <f t="shared" si="19"/>
        <v>0.64023321934479749</v>
      </c>
      <c r="AE14">
        <f t="shared" si="24"/>
        <v>0.75856886381101818</v>
      </c>
      <c r="AF14">
        <f t="shared" si="20"/>
        <v>1.8205176775322822</v>
      </c>
      <c r="AG14">
        <f t="shared" si="21"/>
        <v>0.22921099658585153</v>
      </c>
      <c r="AH14">
        <f t="shared" si="22"/>
        <v>1.257607361877443</v>
      </c>
      <c r="AI14">
        <f t="shared" si="23"/>
        <v>0.57229738456854751</v>
      </c>
      <c r="AJ14">
        <v>0.3</v>
      </c>
      <c r="AO14" t="s">
        <v>418</v>
      </c>
      <c r="AP14">
        <v>0.312</v>
      </c>
    </row>
    <row r="15" spans="1:49" x14ac:dyDescent="0.25">
      <c r="A15" s="1">
        <v>13</v>
      </c>
      <c r="B15">
        <v>0.40639999999999998</v>
      </c>
      <c r="C15">
        <f t="shared" si="9"/>
        <v>406.4</v>
      </c>
      <c r="D15">
        <v>9.5299999999999985E-3</v>
      </c>
      <c r="E15">
        <f t="shared" si="9"/>
        <v>9.5299999999999994</v>
      </c>
      <c r="F15" s="4">
        <f t="shared" si="10"/>
        <v>42.644281217208821</v>
      </c>
      <c r="G15" s="1">
        <v>50</v>
      </c>
      <c r="H15" s="1">
        <v>58</v>
      </c>
      <c r="I15" s="1" t="s">
        <v>10</v>
      </c>
      <c r="J15" t="s">
        <v>266</v>
      </c>
      <c r="K15">
        <f t="shared" si="11"/>
        <v>18.5</v>
      </c>
      <c r="L15" s="1">
        <f t="shared" si="12"/>
        <v>0</v>
      </c>
      <c r="M15">
        <f t="shared" si="13"/>
        <v>125</v>
      </c>
      <c r="N15">
        <f t="shared" si="14"/>
        <v>0.4</v>
      </c>
      <c r="O15">
        <v>0.9</v>
      </c>
      <c r="P15" s="1">
        <v>0</v>
      </c>
      <c r="Q15">
        <f t="shared" si="15"/>
        <v>63.837162720944598</v>
      </c>
      <c r="R15">
        <f t="shared" si="0"/>
        <v>0</v>
      </c>
      <c r="S15">
        <f t="shared" si="1"/>
        <v>1</v>
      </c>
      <c r="T15">
        <f t="shared" si="2"/>
        <v>3.7528931785981614</v>
      </c>
      <c r="U15">
        <f t="shared" si="3"/>
        <v>4.1563355085596809</v>
      </c>
      <c r="V15" s="38">
        <f t="shared" si="4"/>
        <v>-3.7245790400000001</v>
      </c>
      <c r="W15" s="38">
        <f t="shared" si="5"/>
        <v>2.2234507999999997</v>
      </c>
      <c r="X15" s="38">
        <f t="shared" si="6"/>
        <v>0.49883007999999995</v>
      </c>
      <c r="Y15" s="38">
        <f t="shared" si="7"/>
        <v>2.538611408</v>
      </c>
      <c r="Z15" s="38">
        <f t="shared" si="16"/>
        <v>0.80424378081597592</v>
      </c>
      <c r="AA15" s="1">
        <v>0.15</v>
      </c>
      <c r="AB15">
        <f t="shared" si="17"/>
        <v>-1.8971199848858813</v>
      </c>
      <c r="AC15">
        <f t="shared" si="18"/>
        <v>1.8274590551141188</v>
      </c>
      <c r="AD15">
        <f t="shared" si="19"/>
        <v>0.82190217796324483</v>
      </c>
      <c r="AE15">
        <f t="shared" si="24"/>
        <v>1.1626517128318059</v>
      </c>
      <c r="AF15">
        <f t="shared" si="20"/>
        <v>2.3307570241790674</v>
      </c>
      <c r="AG15">
        <f t="shared" si="21"/>
        <v>0.59638939699504334</v>
      </c>
      <c r="AH15">
        <f t="shared" si="22"/>
        <v>1.8155517154769825</v>
      </c>
      <c r="AI15">
        <f t="shared" si="23"/>
        <v>0.57229738456854751</v>
      </c>
      <c r="AJ15">
        <v>0.3</v>
      </c>
    </row>
    <row r="16" spans="1:49" x14ac:dyDescent="0.25">
      <c r="A16" s="1">
        <v>14</v>
      </c>
      <c r="B16">
        <v>0.50800000000000001</v>
      </c>
      <c r="C16">
        <f t="shared" si="9"/>
        <v>508</v>
      </c>
      <c r="D16">
        <v>1.1130000000000001E-2</v>
      </c>
      <c r="E16">
        <f t="shared" si="9"/>
        <v>11.13</v>
      </c>
      <c r="F16" s="4">
        <f t="shared" si="10"/>
        <v>45.642407906558844</v>
      </c>
      <c r="G16" s="1">
        <v>100</v>
      </c>
      <c r="H16" s="1">
        <v>51</v>
      </c>
      <c r="I16" s="1" t="s">
        <v>10</v>
      </c>
      <c r="J16" t="s">
        <v>265</v>
      </c>
      <c r="K16">
        <f t="shared" si="11"/>
        <v>17.5</v>
      </c>
      <c r="L16" s="1">
        <f t="shared" si="12"/>
        <v>0</v>
      </c>
      <c r="M16">
        <f t="shared" si="13"/>
        <v>37.5</v>
      </c>
      <c r="N16">
        <f t="shared" si="14"/>
        <v>1.1000000000000001</v>
      </c>
      <c r="O16">
        <v>0.9</v>
      </c>
      <c r="P16" s="1">
        <v>0</v>
      </c>
      <c r="Q16">
        <f t="shared" si="15"/>
        <v>65.832074055974118</v>
      </c>
      <c r="R16">
        <f t="shared" si="0"/>
        <v>0</v>
      </c>
      <c r="S16">
        <f t="shared" si="1"/>
        <v>0</v>
      </c>
      <c r="T16">
        <f t="shared" si="2"/>
        <v>3.8208372822910284</v>
      </c>
      <c r="U16">
        <f t="shared" si="3"/>
        <v>4.1871071672264346</v>
      </c>
      <c r="V16" s="38">
        <f t="shared" si="4"/>
        <v>-3.5227188000000003</v>
      </c>
      <c r="W16" s="38">
        <f t="shared" si="5"/>
        <v>2.1667009999999998</v>
      </c>
      <c r="X16" s="38">
        <f t="shared" si="6"/>
        <v>0.53883259999999999</v>
      </c>
      <c r="Y16" s="38">
        <f t="shared" si="7"/>
        <v>2.5446767599999998</v>
      </c>
      <c r="Z16" s="38">
        <f t="shared" si="16"/>
        <v>8.0474648646334468E-2</v>
      </c>
      <c r="AA16" s="1">
        <v>0.2</v>
      </c>
      <c r="AB16">
        <f t="shared" si="17"/>
        <v>-1.6094379124341003</v>
      </c>
      <c r="AC16">
        <f t="shared" si="18"/>
        <v>1.9132808875659</v>
      </c>
      <c r="AD16">
        <f t="shared" si="19"/>
        <v>0.88303872457062615</v>
      </c>
      <c r="AE16">
        <f t="shared" si="24"/>
        <v>1.3893995965142862</v>
      </c>
      <c r="AF16">
        <f t="shared" si="20"/>
        <v>2.5785366299557344</v>
      </c>
      <c r="AG16">
        <f t="shared" si="21"/>
        <v>0.11433451860206911</v>
      </c>
      <c r="AH16">
        <f t="shared" si="22"/>
        <v>1.1211271000328198</v>
      </c>
      <c r="AI16">
        <f t="shared" si="23"/>
        <v>0.57229738456854751</v>
      </c>
      <c r="AJ16">
        <v>0.3</v>
      </c>
    </row>
    <row r="17" spans="1:39" x14ac:dyDescent="0.25">
      <c r="A17" s="1">
        <v>15</v>
      </c>
      <c r="B17">
        <v>0.60960000000000003</v>
      </c>
      <c r="C17">
        <f t="shared" si="9"/>
        <v>609.6</v>
      </c>
      <c r="D17">
        <v>9.5299999999999985E-3</v>
      </c>
      <c r="E17">
        <f t="shared" si="9"/>
        <v>9.5299999999999994</v>
      </c>
      <c r="F17" s="4">
        <f t="shared" si="10"/>
        <v>63.966421825813235</v>
      </c>
      <c r="G17" s="1">
        <v>15</v>
      </c>
      <c r="H17" s="1">
        <v>44</v>
      </c>
      <c r="I17" s="1" t="s">
        <v>10</v>
      </c>
      <c r="J17" t="s">
        <v>269</v>
      </c>
      <c r="K17">
        <f t="shared" si="11"/>
        <v>18</v>
      </c>
      <c r="L17" s="1">
        <f t="shared" si="12"/>
        <v>0</v>
      </c>
      <c r="M17">
        <f t="shared" si="13"/>
        <v>75</v>
      </c>
      <c r="N17">
        <f t="shared" si="14"/>
        <v>0.72</v>
      </c>
      <c r="O17">
        <v>0.9</v>
      </c>
      <c r="P17" s="1">
        <v>0</v>
      </c>
      <c r="Q17">
        <f t="shared" si="15"/>
        <v>103.41620360793024</v>
      </c>
      <c r="R17">
        <f t="shared" si="0"/>
        <v>0</v>
      </c>
      <c r="S17">
        <f t="shared" si="1"/>
        <v>0</v>
      </c>
      <c r="T17">
        <f t="shared" si="2"/>
        <v>4.158358286706326</v>
      </c>
      <c r="U17">
        <f t="shared" si="3"/>
        <v>4.6387616578039736</v>
      </c>
      <c r="V17" s="38">
        <f t="shared" si="4"/>
        <v>-3.6995335599999999</v>
      </c>
      <c r="W17" s="38">
        <f t="shared" si="5"/>
        <v>2.2503511999999999</v>
      </c>
      <c r="X17" s="38">
        <f t="shared" si="6"/>
        <v>0.49783511999999996</v>
      </c>
      <c r="Y17" s="38">
        <f t="shared" si="7"/>
        <v>2.4346421120000001</v>
      </c>
      <c r="Z17" s="38">
        <f t="shared" si="16"/>
        <v>0.49777159465007936</v>
      </c>
      <c r="AA17" s="1">
        <v>0.2</v>
      </c>
      <c r="AB17">
        <f t="shared" si="17"/>
        <v>-1.6094379124341003</v>
      </c>
      <c r="AC17">
        <f t="shared" si="18"/>
        <v>2.0900956475658994</v>
      </c>
      <c r="AD17">
        <f t="shared" si="19"/>
        <v>0.92878642567697856</v>
      </c>
      <c r="AE17">
        <f t="shared" si="24"/>
        <v>1.6494814191438925</v>
      </c>
      <c r="AF17">
        <f t="shared" si="20"/>
        <v>3.3133086696332161</v>
      </c>
      <c r="AG17">
        <f t="shared" si="21"/>
        <v>1.3764381522832954</v>
      </c>
      <c r="AH17">
        <f t="shared" si="22"/>
        <v>3.9607688176086686</v>
      </c>
      <c r="AI17">
        <f t="shared" si="23"/>
        <v>0.57229738456854751</v>
      </c>
      <c r="AJ17">
        <v>0.3</v>
      </c>
    </row>
    <row r="18" spans="1:39" x14ac:dyDescent="0.25">
      <c r="A18" s="1">
        <v>16</v>
      </c>
      <c r="B18">
        <v>0.76200000000000001</v>
      </c>
      <c r="C18">
        <f t="shared" si="9"/>
        <v>762</v>
      </c>
      <c r="D18">
        <v>1.2699999999999999E-2</v>
      </c>
      <c r="E18">
        <f t="shared" si="9"/>
        <v>12.7</v>
      </c>
      <c r="F18" s="4">
        <f t="shared" si="10"/>
        <v>60</v>
      </c>
      <c r="G18" s="1">
        <v>30</v>
      </c>
      <c r="H18" s="1">
        <v>37</v>
      </c>
      <c r="I18" s="1" t="s">
        <v>10</v>
      </c>
      <c r="J18" t="s">
        <v>266</v>
      </c>
      <c r="K18">
        <f t="shared" si="11"/>
        <v>18.5</v>
      </c>
      <c r="L18" s="1">
        <f t="shared" si="12"/>
        <v>0</v>
      </c>
      <c r="M18">
        <f t="shared" si="13"/>
        <v>125</v>
      </c>
      <c r="N18">
        <f t="shared" si="14"/>
        <v>0.4</v>
      </c>
      <c r="O18">
        <v>0.9</v>
      </c>
      <c r="P18" s="1">
        <v>0</v>
      </c>
      <c r="Q18">
        <f t="shared" si="15"/>
        <v>119.69468010177111</v>
      </c>
      <c r="R18">
        <f t="shared" si="0"/>
        <v>0</v>
      </c>
      <c r="S18">
        <f t="shared" si="1"/>
        <v>0</v>
      </c>
      <c r="T18">
        <f t="shared" si="2"/>
        <v>4.0943445622221004</v>
      </c>
      <c r="U18">
        <f t="shared" si="3"/>
        <v>4.7849441679820552</v>
      </c>
      <c r="V18" s="38">
        <f t="shared" si="4"/>
        <v>-3.5650431999999999</v>
      </c>
      <c r="W18" s="38">
        <f t="shared" si="5"/>
        <v>2.2276265</v>
      </c>
      <c r="X18" s="38">
        <f t="shared" si="6"/>
        <v>0.52183889999999999</v>
      </c>
      <c r="Y18" s="38">
        <f t="shared" si="7"/>
        <v>2.3921401399999995</v>
      </c>
      <c r="Z18" s="38">
        <f t="shared" si="16"/>
        <v>0.529226419371848</v>
      </c>
      <c r="AA18" s="1">
        <v>0.25</v>
      </c>
      <c r="AB18">
        <f t="shared" si="17"/>
        <v>-1.3862943611198906</v>
      </c>
      <c r="AC18">
        <f t="shared" si="18"/>
        <v>2.1787488388801091</v>
      </c>
      <c r="AD18">
        <f t="shared" si="19"/>
        <v>0.97805841279052352</v>
      </c>
      <c r="AE18">
        <f t="shared" si="24"/>
        <v>2.2507436237850884</v>
      </c>
      <c r="AF18">
        <f t="shared" si="20"/>
        <v>4.3131005062771068</v>
      </c>
      <c r="AG18">
        <f t="shared" si="21"/>
        <v>2.4501867856489552</v>
      </c>
      <c r="AH18">
        <f t="shared" si="22"/>
        <v>11.590511458250456</v>
      </c>
      <c r="AI18">
        <f t="shared" si="23"/>
        <v>0.57229738456854751</v>
      </c>
      <c r="AJ18">
        <v>0.3</v>
      </c>
    </row>
    <row r="19" spans="1:39" x14ac:dyDescent="0.25">
      <c r="A19" s="1">
        <v>17</v>
      </c>
      <c r="B19">
        <v>0.86360000000000003</v>
      </c>
      <c r="C19">
        <f t="shared" si="9"/>
        <v>863.6</v>
      </c>
      <c r="D19">
        <v>1.1130000000000001E-2</v>
      </c>
      <c r="E19">
        <f t="shared" si="9"/>
        <v>11.13</v>
      </c>
      <c r="F19" s="4">
        <f t="shared" si="10"/>
        <v>77.592093441150041</v>
      </c>
      <c r="G19" s="1">
        <v>50</v>
      </c>
      <c r="H19" s="1">
        <v>30</v>
      </c>
      <c r="I19" s="1" t="s">
        <v>10</v>
      </c>
      <c r="J19" t="s">
        <v>265</v>
      </c>
      <c r="K19">
        <f t="shared" si="11"/>
        <v>17.5</v>
      </c>
      <c r="L19" s="1">
        <f t="shared" si="12"/>
        <v>0</v>
      </c>
      <c r="M19">
        <f t="shared" si="13"/>
        <v>37.5</v>
      </c>
      <c r="N19">
        <f t="shared" si="14"/>
        <v>1.1000000000000001</v>
      </c>
      <c r="O19">
        <v>0.9</v>
      </c>
      <c r="P19" s="1">
        <v>0</v>
      </c>
      <c r="Q19">
        <f t="shared" si="15"/>
        <v>111.91452589515602</v>
      </c>
      <c r="R19">
        <f t="shared" si="0"/>
        <v>0</v>
      </c>
      <c r="S19">
        <f t="shared" si="1"/>
        <v>0</v>
      </c>
      <c r="T19">
        <f t="shared" si="2"/>
        <v>4.3514655333531991</v>
      </c>
      <c r="U19">
        <f t="shared" si="3"/>
        <v>4.7177354182886058</v>
      </c>
      <c r="V19" s="38">
        <f t="shared" si="4"/>
        <v>-3.4473329600000002</v>
      </c>
      <c r="W19" s="38">
        <f t="shared" si="5"/>
        <v>2.2020766999999997</v>
      </c>
      <c r="X19" s="38">
        <f t="shared" si="6"/>
        <v>0.54384142000000002</v>
      </c>
      <c r="Y19" s="38">
        <f t="shared" si="7"/>
        <v>2.3724054919999999</v>
      </c>
      <c r="Z19" s="38">
        <f t="shared" si="16"/>
        <v>0.64839201388581147</v>
      </c>
      <c r="AA19" s="1">
        <v>0.28000000000000003</v>
      </c>
      <c r="AB19">
        <f t="shared" si="17"/>
        <v>-1.2729656758128873</v>
      </c>
      <c r="AC19">
        <f t="shared" si="18"/>
        <v>2.1743672841871131</v>
      </c>
      <c r="AD19">
        <f t="shared" si="19"/>
        <v>0.98741668906769386</v>
      </c>
      <c r="AE19">
        <f t="shared" si="24"/>
        <v>2.5311097606942257</v>
      </c>
      <c r="AF19">
        <f t="shared" si="20"/>
        <v>4.6541320090960072</v>
      </c>
      <c r="AG19">
        <f t="shared" si="21"/>
        <v>2.9301185309818187</v>
      </c>
      <c r="AH19">
        <f t="shared" si="22"/>
        <v>18.729850432665824</v>
      </c>
      <c r="AI19">
        <f t="shared" si="23"/>
        <v>0.57229738456854751</v>
      </c>
      <c r="AJ19">
        <v>0.3</v>
      </c>
    </row>
    <row r="20" spans="1:39" x14ac:dyDescent="0.25">
      <c r="A20" s="1">
        <v>18</v>
      </c>
      <c r="B20">
        <v>1.0668</v>
      </c>
      <c r="C20">
        <f t="shared" si="9"/>
        <v>1066.8</v>
      </c>
      <c r="D20">
        <v>1.2699999999999999E-2</v>
      </c>
      <c r="E20">
        <f t="shared" si="9"/>
        <v>12.7</v>
      </c>
      <c r="F20" s="4">
        <f t="shared" si="10"/>
        <v>84</v>
      </c>
      <c r="G20" s="1">
        <v>100</v>
      </c>
      <c r="H20" s="1">
        <v>23</v>
      </c>
      <c r="I20" s="1" t="s">
        <v>10</v>
      </c>
      <c r="J20" t="s">
        <v>269</v>
      </c>
      <c r="K20">
        <f t="shared" si="11"/>
        <v>18</v>
      </c>
      <c r="L20" s="1">
        <f t="shared" si="12"/>
        <v>0</v>
      </c>
      <c r="M20">
        <f t="shared" si="13"/>
        <v>75</v>
      </c>
      <c r="N20">
        <f t="shared" si="14"/>
        <v>0.72</v>
      </c>
      <c r="O20">
        <v>0.9</v>
      </c>
      <c r="P20" s="1">
        <v>0</v>
      </c>
      <c r="Q20">
        <f t="shared" si="15"/>
        <v>180.97835631387795</v>
      </c>
      <c r="R20">
        <f t="shared" si="0"/>
        <v>0</v>
      </c>
      <c r="S20">
        <f t="shared" si="1"/>
        <v>0</v>
      </c>
      <c r="T20">
        <f t="shared" si="2"/>
        <v>4.4308167988433134</v>
      </c>
      <c r="U20">
        <f t="shared" si="3"/>
        <v>5.1983774457393972</v>
      </c>
      <c r="V20" s="38">
        <f t="shared" si="4"/>
        <v>-3.1838624800000002</v>
      </c>
      <c r="W20" s="38">
        <f t="shared" si="5"/>
        <v>2.1405770999999998</v>
      </c>
      <c r="X20" s="38">
        <f t="shared" si="6"/>
        <v>0.59384645999999996</v>
      </c>
      <c r="Y20" s="38">
        <f t="shared" si="7"/>
        <v>2.3415361959999998</v>
      </c>
      <c r="Z20" s="38">
        <f t="shared" si="16"/>
        <v>0.92075337266705359</v>
      </c>
      <c r="AA20" s="1">
        <v>0.18</v>
      </c>
      <c r="AB20">
        <f t="shared" si="17"/>
        <v>-1.7147984280919266</v>
      </c>
      <c r="AC20">
        <f t="shared" si="18"/>
        <v>1.4690640519080735</v>
      </c>
      <c r="AD20">
        <f t="shared" si="19"/>
        <v>0.68629345418488952</v>
      </c>
      <c r="AE20">
        <f t="shared" si="24"/>
        <v>0.8409150977233486</v>
      </c>
      <c r="AF20">
        <f t="shared" si="20"/>
        <v>1.416048009654463</v>
      </c>
      <c r="AG20">
        <f t="shared" si="21"/>
        <v>-4.7348136784832739E-3</v>
      </c>
      <c r="AH20">
        <f t="shared" si="22"/>
        <v>0.99527637788151735</v>
      </c>
      <c r="AI20">
        <f t="shared" si="23"/>
        <v>0.57229738456854751</v>
      </c>
      <c r="AJ20">
        <v>0.3</v>
      </c>
    </row>
    <row r="21" spans="1:39" x14ac:dyDescent="0.25">
      <c r="A21" s="1">
        <v>19</v>
      </c>
      <c r="B21">
        <v>0.60960000000000003</v>
      </c>
      <c r="C21">
        <f t="shared" si="9"/>
        <v>609.6</v>
      </c>
      <c r="D21">
        <v>1.1130000000000001E-2</v>
      </c>
      <c r="E21">
        <f t="shared" si="9"/>
        <v>11.13</v>
      </c>
      <c r="F21" s="4">
        <f t="shared" si="10"/>
        <v>54.770889487870619</v>
      </c>
      <c r="G21" s="1">
        <v>150</v>
      </c>
      <c r="H21" s="1">
        <v>16</v>
      </c>
      <c r="I21" s="1" t="s">
        <v>10</v>
      </c>
      <c r="J21" t="s">
        <v>266</v>
      </c>
      <c r="K21">
        <f t="shared" si="11"/>
        <v>18.5</v>
      </c>
      <c r="L21" s="1">
        <f t="shared" si="12"/>
        <v>0</v>
      </c>
      <c r="M21">
        <f t="shared" si="13"/>
        <v>125</v>
      </c>
      <c r="N21">
        <f t="shared" si="14"/>
        <v>0.4</v>
      </c>
      <c r="O21">
        <v>0.9</v>
      </c>
      <c r="P21" s="1">
        <v>0</v>
      </c>
      <c r="Q21">
        <f t="shared" si="15"/>
        <v>95.755744081416907</v>
      </c>
      <c r="R21">
        <f t="shared" si="0"/>
        <v>0</v>
      </c>
      <c r="S21">
        <f t="shared" si="1"/>
        <v>0</v>
      </c>
      <c r="T21">
        <f t="shared" si="2"/>
        <v>4.0031588390849828</v>
      </c>
      <c r="U21">
        <f t="shared" si="3"/>
        <v>4.5618006166678455</v>
      </c>
      <c r="V21" s="38">
        <f t="shared" si="4"/>
        <v>-3.32085856</v>
      </c>
      <c r="W21" s="38">
        <f t="shared" si="5"/>
        <v>2.1099511999999998</v>
      </c>
      <c r="X21" s="38">
        <f t="shared" si="6"/>
        <v>0.57883511999999993</v>
      </c>
      <c r="Y21" s="38">
        <f t="shared" si="7"/>
        <v>2.550742112</v>
      </c>
      <c r="Z21" s="38">
        <f t="shared" si="16"/>
        <v>0.37086793548713748</v>
      </c>
      <c r="AA21" s="1">
        <v>0.4</v>
      </c>
      <c r="AB21">
        <f t="shared" si="17"/>
        <v>-0.916290731874155</v>
      </c>
      <c r="AC21">
        <f t="shared" si="18"/>
        <v>2.4045678281258449</v>
      </c>
      <c r="AD21">
        <f t="shared" si="19"/>
        <v>1.13963196311168</v>
      </c>
      <c r="AE21" s="122">
        <f t="shared" ref="AE21:AE22" si="25">IF(AD21&gt;=1,5,ATANH(AD21))</f>
        <v>5</v>
      </c>
      <c r="AF21" s="122">
        <f t="shared" si="20"/>
        <v>8.6380384106617445</v>
      </c>
      <c r="AG21" s="122">
        <f t="shared" si="21"/>
        <v>6.4581642341488816</v>
      </c>
      <c r="AH21" s="122">
        <f t="shared" si="22"/>
        <v>637.88896627595602</v>
      </c>
      <c r="AI21" s="122">
        <f t="shared" si="23"/>
        <v>0.57229738456854751</v>
      </c>
      <c r="AJ21" s="122">
        <v>0.3</v>
      </c>
    </row>
    <row r="22" spans="1:39" x14ac:dyDescent="0.25">
      <c r="A22" s="1">
        <v>20</v>
      </c>
      <c r="B22">
        <v>0.60960000000000003</v>
      </c>
      <c r="C22">
        <f t="shared" si="9"/>
        <v>609.6</v>
      </c>
      <c r="D22">
        <v>1.1130000000000001E-2</v>
      </c>
      <c r="E22">
        <f t="shared" si="9"/>
        <v>11.13</v>
      </c>
      <c r="F22" s="4">
        <f t="shared" si="10"/>
        <v>54.770889487870619</v>
      </c>
      <c r="G22" s="1">
        <v>200</v>
      </c>
      <c r="H22" s="1">
        <v>15</v>
      </c>
      <c r="I22" s="1" t="s">
        <v>10</v>
      </c>
      <c r="J22" t="s">
        <v>265</v>
      </c>
      <c r="K22">
        <f t="shared" si="11"/>
        <v>17.5</v>
      </c>
      <c r="L22" s="1">
        <f t="shared" si="12"/>
        <v>0</v>
      </c>
      <c r="M22">
        <f t="shared" si="13"/>
        <v>37.5</v>
      </c>
      <c r="N22">
        <f t="shared" si="14"/>
        <v>1.1000000000000001</v>
      </c>
      <c r="O22">
        <v>0.9</v>
      </c>
      <c r="P22" s="1">
        <v>0</v>
      </c>
      <c r="Q22">
        <f t="shared" si="15"/>
        <v>78.998488867168945</v>
      </c>
      <c r="R22">
        <f t="shared" si="0"/>
        <v>0</v>
      </c>
      <c r="S22">
        <f t="shared" si="1"/>
        <v>0</v>
      </c>
      <c r="T22">
        <f t="shared" si="2"/>
        <v>4.0031588390849828</v>
      </c>
      <c r="U22">
        <f t="shared" si="3"/>
        <v>4.3694287240203895</v>
      </c>
      <c r="V22" s="38">
        <f t="shared" si="4"/>
        <v>-3.18060856</v>
      </c>
      <c r="W22" s="38">
        <f t="shared" si="5"/>
        <v>2.0579511999999998</v>
      </c>
      <c r="X22" s="38">
        <f t="shared" si="6"/>
        <v>0.60883511999999995</v>
      </c>
      <c r="Y22" s="38">
        <f t="shared" si="7"/>
        <v>2.5937421120000002</v>
      </c>
      <c r="Z22" s="38">
        <f t="shared" si="16"/>
        <v>0.28025382529312659</v>
      </c>
      <c r="AA22" s="1">
        <v>1.2</v>
      </c>
      <c r="AB22">
        <f t="shared" si="17"/>
        <v>0.18232155679395459</v>
      </c>
      <c r="AC22">
        <f t="shared" si="18"/>
        <v>3.3629301167939545</v>
      </c>
      <c r="AD22">
        <f t="shared" si="19"/>
        <v>1.6341155790253699</v>
      </c>
      <c r="AE22" s="122">
        <f t="shared" si="25"/>
        <v>5</v>
      </c>
      <c r="AF22" s="122">
        <f t="shared" si="20"/>
        <v>8.2124040413437385</v>
      </c>
      <c r="AG22" s="122">
        <f t="shared" si="21"/>
        <v>5.8989157546368647</v>
      </c>
      <c r="AH22" s="122">
        <f t="shared" si="22"/>
        <v>364.64189217273321</v>
      </c>
      <c r="AI22" s="122">
        <f t="shared" si="23"/>
        <v>0.57229738456854751</v>
      </c>
      <c r="AJ22" s="122">
        <v>0.3</v>
      </c>
    </row>
    <row r="23" spans="1:39" x14ac:dyDescent="0.25">
      <c r="F23" s="4"/>
      <c r="G23" s="1"/>
      <c r="H23" s="1"/>
      <c r="P23" s="1"/>
      <c r="V23" s="38"/>
      <c r="W23" s="38"/>
      <c r="X23" s="38"/>
      <c r="Y23" s="38"/>
      <c r="Z23" s="38"/>
      <c r="AA23" s="1"/>
      <c r="AE23" s="122"/>
      <c r="AF23" s="122"/>
      <c r="AG23" s="122"/>
      <c r="AH23" s="122"/>
      <c r="AI23" s="122"/>
      <c r="AJ23" s="122"/>
    </row>
    <row r="24" spans="1:39" x14ac:dyDescent="0.25">
      <c r="A24" s="1" t="s">
        <v>38</v>
      </c>
      <c r="B24" s="1" t="s">
        <v>288</v>
      </c>
      <c r="C24" s="1" t="s">
        <v>1</v>
      </c>
      <c r="D24" s="1" t="s">
        <v>289</v>
      </c>
      <c r="E24" s="1" t="s">
        <v>2</v>
      </c>
      <c r="F24" s="1" t="s">
        <v>124</v>
      </c>
      <c r="G24" s="1" t="s">
        <v>125</v>
      </c>
      <c r="H24" s="13" t="s">
        <v>29</v>
      </c>
      <c r="I24" s="10" t="s">
        <v>0</v>
      </c>
      <c r="J24" s="10" t="s">
        <v>86</v>
      </c>
      <c r="K24" s="13" t="s">
        <v>84</v>
      </c>
      <c r="L24" s="13" t="s">
        <v>85</v>
      </c>
      <c r="M24" s="10" t="s">
        <v>83</v>
      </c>
      <c r="N24" s="13" t="s">
        <v>82</v>
      </c>
      <c r="O24" s="131" t="s">
        <v>406</v>
      </c>
      <c r="P24" s="10" t="s">
        <v>287</v>
      </c>
      <c r="Q24" s="10" t="s">
        <v>7</v>
      </c>
      <c r="R24" s="17" t="s">
        <v>407</v>
      </c>
      <c r="S24" s="17" t="s">
        <v>329</v>
      </c>
      <c r="T24" s="10" t="s">
        <v>330</v>
      </c>
      <c r="U24" s="10" t="s">
        <v>285</v>
      </c>
      <c r="V24" s="10" t="s">
        <v>18</v>
      </c>
      <c r="W24" s="10" t="s">
        <v>19</v>
      </c>
      <c r="X24" s="10" t="s">
        <v>104</v>
      </c>
      <c r="Y24" s="10" t="s">
        <v>105</v>
      </c>
      <c r="Z24" s="10" t="s">
        <v>106</v>
      </c>
      <c r="AA24" s="10" t="s">
        <v>6</v>
      </c>
      <c r="AB24" s="10" t="s">
        <v>274</v>
      </c>
      <c r="AC24" s="10" t="s">
        <v>408</v>
      </c>
      <c r="AD24" s="10" t="s">
        <v>409</v>
      </c>
      <c r="AE24" s="10" t="s">
        <v>403</v>
      </c>
      <c r="AF24" s="10" t="s">
        <v>411</v>
      </c>
      <c r="AG24" s="10" t="s">
        <v>284</v>
      </c>
      <c r="AH24" s="10" t="s">
        <v>8</v>
      </c>
      <c r="AI24" s="10" t="s">
        <v>290</v>
      </c>
      <c r="AJ24" s="10" t="s">
        <v>291</v>
      </c>
    </row>
    <row r="25" spans="1:39" x14ac:dyDescent="0.25">
      <c r="A25" s="1">
        <v>1</v>
      </c>
      <c r="B25">
        <v>0.20319999999999999</v>
      </c>
      <c r="C25">
        <v>203.2</v>
      </c>
      <c r="D25">
        <v>1.11252E-2</v>
      </c>
      <c r="E25">
        <v>11.1252</v>
      </c>
      <c r="F25">
        <v>18.264840182648403</v>
      </c>
      <c r="G25">
        <v>30</v>
      </c>
      <c r="H25">
        <v>75</v>
      </c>
      <c r="I25" s="1" t="s">
        <v>9</v>
      </c>
      <c r="J25" t="s">
        <v>267</v>
      </c>
      <c r="K25">
        <v>18</v>
      </c>
      <c r="L25" s="1">
        <v>37</v>
      </c>
      <c r="M25">
        <v>0</v>
      </c>
      <c r="N25">
        <v>0</v>
      </c>
      <c r="O25">
        <v>0.9</v>
      </c>
      <c r="P25">
        <v>1</v>
      </c>
      <c r="Q25">
        <v>7.5479720641402661</v>
      </c>
      <c r="R25">
        <v>-15</v>
      </c>
      <c r="S25">
        <v>1</v>
      </c>
      <c r="T25">
        <v>2.9049779102855271</v>
      </c>
      <c r="U25">
        <v>2.0212789264051603</v>
      </c>
      <c r="V25">
        <v>-4.4880595200000002</v>
      </c>
      <c r="W25">
        <v>3.6339003999999999</v>
      </c>
      <c r="X25">
        <v>0.28637503999999997</v>
      </c>
      <c r="Y25">
        <v>3.4085807039999998</v>
      </c>
      <c r="Z25">
        <v>0.30408470123424092</v>
      </c>
      <c r="AA25">
        <v>0.1</v>
      </c>
      <c r="AB25">
        <v>-2.3025850929940455</v>
      </c>
      <c r="AC25">
        <v>2.1854744270059547</v>
      </c>
      <c r="AD25">
        <v>0.60141285848284531</v>
      </c>
      <c r="AE25">
        <v>0.69535770349394732</v>
      </c>
      <c r="AF25">
        <v>2.4281365565027855</v>
      </c>
      <c r="AG25">
        <v>-0.6763594462629734</v>
      </c>
      <c r="AH25">
        <v>0.50846472008565746</v>
      </c>
      <c r="AI25">
        <v>0.57229738456854751</v>
      </c>
      <c r="AJ25">
        <v>0.3</v>
      </c>
      <c r="AM25" t="s">
        <v>328</v>
      </c>
    </row>
    <row r="26" spans="1:39" x14ac:dyDescent="0.25">
      <c r="A26" s="1">
        <v>2</v>
      </c>
      <c r="B26">
        <v>0.30480000000000002</v>
      </c>
      <c r="C26">
        <v>304.8</v>
      </c>
      <c r="D26">
        <v>7.1399999999999996E-3</v>
      </c>
      <c r="E26">
        <v>7.14</v>
      </c>
      <c r="F26">
        <v>42.689075630252105</v>
      </c>
      <c r="G26">
        <v>30</v>
      </c>
      <c r="H26">
        <v>65</v>
      </c>
      <c r="I26" s="1" t="s">
        <v>9</v>
      </c>
      <c r="J26" t="s">
        <v>268</v>
      </c>
      <c r="K26">
        <v>18.5</v>
      </c>
      <c r="L26" s="1">
        <v>40</v>
      </c>
      <c r="M26">
        <v>0</v>
      </c>
      <c r="N26">
        <v>0</v>
      </c>
      <c r="O26">
        <v>0.9</v>
      </c>
      <c r="P26">
        <v>1.2</v>
      </c>
      <c r="Q26">
        <v>15.444677723460234</v>
      </c>
      <c r="R26">
        <v>-5</v>
      </c>
      <c r="S26">
        <v>1</v>
      </c>
      <c r="T26">
        <v>3.7539430474609983</v>
      </c>
      <c r="U26">
        <v>2.7372644600771081</v>
      </c>
      <c r="V26">
        <v>-4.0370092800000004</v>
      </c>
      <c r="W26">
        <v>2.7090505999999994</v>
      </c>
      <c r="X26">
        <v>0.41667756</v>
      </c>
      <c r="Y26">
        <v>2.8294460559999997</v>
      </c>
      <c r="Z26">
        <v>0.66852317696108277</v>
      </c>
      <c r="AA26">
        <v>0.1</v>
      </c>
      <c r="AB26">
        <v>-2.3025850929940455</v>
      </c>
      <c r="AC26">
        <v>1.7344241870059549</v>
      </c>
      <c r="AD26">
        <v>0.64023321934479749</v>
      </c>
      <c r="AE26">
        <v>0.75856886381101818</v>
      </c>
      <c r="AF26">
        <v>1.8205176775322822</v>
      </c>
      <c r="AG26">
        <v>-0.34040520150663467</v>
      </c>
      <c r="AH26">
        <v>0.71148197077972275</v>
      </c>
      <c r="AI26">
        <v>0.57229738456854751</v>
      </c>
      <c r="AJ26">
        <v>0.3</v>
      </c>
    </row>
    <row r="27" spans="1:39" x14ac:dyDescent="0.25">
      <c r="A27" s="1">
        <v>3</v>
      </c>
      <c r="B27">
        <v>0.40639999999999998</v>
      </c>
      <c r="C27">
        <v>406.4</v>
      </c>
      <c r="D27">
        <v>9.5299999999999985E-3</v>
      </c>
      <c r="E27">
        <v>9.5299999999999994</v>
      </c>
      <c r="F27">
        <v>42.644281217208821</v>
      </c>
      <c r="G27">
        <v>50</v>
      </c>
      <c r="H27">
        <v>58</v>
      </c>
      <c r="I27" s="1" t="s">
        <v>9</v>
      </c>
      <c r="J27" t="s">
        <v>270</v>
      </c>
      <c r="K27">
        <v>19</v>
      </c>
      <c r="L27" s="1">
        <v>43</v>
      </c>
      <c r="M27">
        <v>0</v>
      </c>
      <c r="N27">
        <v>0</v>
      </c>
      <c r="O27">
        <v>0.9</v>
      </c>
      <c r="P27">
        <v>1.5</v>
      </c>
      <c r="Q27">
        <v>29.151630415531248</v>
      </c>
      <c r="R27">
        <v>0</v>
      </c>
      <c r="S27">
        <v>1</v>
      </c>
      <c r="T27">
        <v>3.7528931785981614</v>
      </c>
      <c r="U27">
        <v>3.3725108431545396</v>
      </c>
      <c r="V27">
        <v>-3.7245790400000001</v>
      </c>
      <c r="W27">
        <v>2.2234507999999997</v>
      </c>
      <c r="X27">
        <v>0.49883007999999995</v>
      </c>
      <c r="Y27">
        <v>2.538611408</v>
      </c>
      <c r="Z27">
        <v>0.43474883354399235</v>
      </c>
      <c r="AA27">
        <v>0.15</v>
      </c>
      <c r="AB27">
        <v>-1.8971199848858813</v>
      </c>
      <c r="AC27">
        <v>1.8274590551141188</v>
      </c>
      <c r="AD27">
        <v>0.82190217796324483</v>
      </c>
      <c r="AE27">
        <v>1.1626517128318059</v>
      </c>
      <c r="AF27">
        <v>2.3307570241790674</v>
      </c>
      <c r="AG27">
        <v>0.22689444972305978</v>
      </c>
      <c r="AH27">
        <v>1.2546974272899019</v>
      </c>
      <c r="AI27">
        <v>0.57229738456854751</v>
      </c>
      <c r="AJ27">
        <v>0.3</v>
      </c>
    </row>
    <row r="28" spans="1:39" x14ac:dyDescent="0.25">
      <c r="A28" s="1">
        <v>4</v>
      </c>
      <c r="B28">
        <v>0.50800000000000001</v>
      </c>
      <c r="C28">
        <v>508</v>
      </c>
      <c r="D28">
        <v>1.1130000000000001E-2</v>
      </c>
      <c r="E28">
        <v>11.13</v>
      </c>
      <c r="F28">
        <v>45.642407906558844</v>
      </c>
      <c r="G28">
        <v>100</v>
      </c>
      <c r="H28">
        <v>51</v>
      </c>
      <c r="I28" s="1" t="s">
        <v>9</v>
      </c>
      <c r="J28" t="s">
        <v>267</v>
      </c>
      <c r="K28">
        <v>18</v>
      </c>
      <c r="L28" s="1">
        <v>37</v>
      </c>
      <c r="M28">
        <v>0</v>
      </c>
      <c r="N28">
        <v>0</v>
      </c>
      <c r="O28">
        <v>0.9</v>
      </c>
      <c r="P28">
        <v>1</v>
      </c>
      <c r="Q28">
        <v>18.869930160350666</v>
      </c>
      <c r="R28">
        <v>0</v>
      </c>
      <c r="S28">
        <v>0</v>
      </c>
      <c r="T28">
        <v>3.8208372822910284</v>
      </c>
      <c r="U28">
        <v>2.9375696582793154</v>
      </c>
      <c r="V28">
        <v>-3.5227188000000003</v>
      </c>
      <c r="W28">
        <v>2.1667009999999998</v>
      </c>
      <c r="X28">
        <v>0.53883259999999999</v>
      </c>
      <c r="Y28">
        <v>2.5446767599999998</v>
      </c>
      <c r="Z28">
        <v>-0.50855733307133744</v>
      </c>
      <c r="AA28">
        <v>0.2</v>
      </c>
      <c r="AB28">
        <v>-1.6094379124341003</v>
      </c>
      <c r="AC28">
        <v>1.9132808875659</v>
      </c>
      <c r="AD28">
        <v>0.88303872457062615</v>
      </c>
      <c r="AE28">
        <v>1.3893995965142862</v>
      </c>
      <c r="AF28">
        <v>2.5785366299557344</v>
      </c>
      <c r="AG28">
        <v>-0.47469746311560279</v>
      </c>
      <c r="AH28">
        <v>0.62207322809545029</v>
      </c>
      <c r="AI28">
        <v>0.57229738456854751</v>
      </c>
      <c r="AJ28">
        <v>0.3</v>
      </c>
    </row>
    <row r="29" spans="1:39" x14ac:dyDescent="0.25">
      <c r="A29" s="1">
        <v>5</v>
      </c>
      <c r="B29">
        <v>0.60960000000000003</v>
      </c>
      <c r="C29">
        <v>609.6</v>
      </c>
      <c r="D29">
        <v>9.5299999999999985E-3</v>
      </c>
      <c r="E29">
        <v>9.5299999999999994</v>
      </c>
      <c r="F29">
        <v>63.966421825813235</v>
      </c>
      <c r="G29">
        <v>15</v>
      </c>
      <c r="H29">
        <v>44</v>
      </c>
      <c r="I29" s="1" t="s">
        <v>9</v>
      </c>
      <c r="J29" t="s">
        <v>268</v>
      </c>
      <c r="K29">
        <v>18.5</v>
      </c>
      <c r="L29" s="1">
        <v>40</v>
      </c>
      <c r="M29">
        <v>0</v>
      </c>
      <c r="N29">
        <v>0</v>
      </c>
      <c r="O29">
        <v>0.9</v>
      </c>
      <c r="P29">
        <v>1.2</v>
      </c>
      <c r="Q29">
        <v>30.889355446920469</v>
      </c>
      <c r="R29">
        <v>0</v>
      </c>
      <c r="S29">
        <v>0</v>
      </c>
      <c r="T29">
        <v>4.158358286706326</v>
      </c>
      <c r="U29">
        <v>3.4304116406370531</v>
      </c>
      <c r="V29">
        <v>-3.6995335599999999</v>
      </c>
      <c r="W29">
        <v>2.2503511999999999</v>
      </c>
      <c r="X29">
        <v>0.49783511999999996</v>
      </c>
      <c r="Y29">
        <v>2.4346421120000001</v>
      </c>
      <c r="Z29">
        <v>-7.1844603442407146E-2</v>
      </c>
      <c r="AA29">
        <v>0.2</v>
      </c>
      <c r="AB29">
        <v>-1.6094379124341003</v>
      </c>
      <c r="AC29">
        <v>2.0900956475658994</v>
      </c>
      <c r="AD29">
        <v>0.92878642567697856</v>
      </c>
      <c r="AE29">
        <v>1.6494814191438925</v>
      </c>
      <c r="AF29">
        <v>3.3133086696332161</v>
      </c>
      <c r="AG29">
        <v>0.80682195419080882</v>
      </c>
      <c r="AH29">
        <v>2.2407753720113077</v>
      </c>
      <c r="AI29">
        <v>0.57229738456854751</v>
      </c>
      <c r="AJ29">
        <v>0.3</v>
      </c>
    </row>
    <row r="30" spans="1:39" x14ac:dyDescent="0.25">
      <c r="A30" s="1">
        <v>6</v>
      </c>
      <c r="B30">
        <v>0.76200000000000001</v>
      </c>
      <c r="C30">
        <v>762</v>
      </c>
      <c r="D30">
        <v>1.2699999999999999E-2</v>
      </c>
      <c r="E30">
        <v>12.7</v>
      </c>
      <c r="F30">
        <v>60</v>
      </c>
      <c r="G30">
        <v>30</v>
      </c>
      <c r="H30">
        <v>37</v>
      </c>
      <c r="I30" s="1" t="s">
        <v>9</v>
      </c>
      <c r="J30" t="s">
        <v>270</v>
      </c>
      <c r="K30">
        <v>19</v>
      </c>
      <c r="L30" s="1">
        <v>43</v>
      </c>
      <c r="M30">
        <v>0</v>
      </c>
      <c r="N30">
        <v>0</v>
      </c>
      <c r="O30">
        <v>0.9</v>
      </c>
      <c r="P30">
        <v>1.5</v>
      </c>
      <c r="Q30">
        <v>54.659307029121074</v>
      </c>
      <c r="R30">
        <v>0</v>
      </c>
      <c r="S30">
        <v>0</v>
      </c>
      <c r="T30">
        <v>4.0943445622221004</v>
      </c>
      <c r="U30">
        <v>4.0011195025769135</v>
      </c>
      <c r="V30">
        <v>-3.5650431999999999</v>
      </c>
      <c r="W30">
        <v>2.2276265</v>
      </c>
      <c r="X30">
        <v>0.52183889999999999</v>
      </c>
      <c r="Y30">
        <v>2.3921401399999995</v>
      </c>
      <c r="Z30">
        <v>0.15973147209986455</v>
      </c>
      <c r="AA30">
        <v>0.25</v>
      </c>
      <c r="AB30">
        <v>-1.3862943611198906</v>
      </c>
      <c r="AC30">
        <v>2.1787488388801091</v>
      </c>
      <c r="AD30">
        <v>0.97805841279052352</v>
      </c>
      <c r="AE30">
        <v>2.2507436237850884</v>
      </c>
      <c r="AF30">
        <v>4.3131005062771068</v>
      </c>
      <c r="AG30">
        <v>2.0806918383769717</v>
      </c>
      <c r="AH30">
        <v>8.0100086291512458</v>
      </c>
      <c r="AI30">
        <v>0.57229738456854751</v>
      </c>
      <c r="AJ30">
        <v>0.3</v>
      </c>
    </row>
    <row r="31" spans="1:39" x14ac:dyDescent="0.25">
      <c r="A31" s="1">
        <v>7</v>
      </c>
      <c r="B31">
        <v>0.86360000000000003</v>
      </c>
      <c r="C31">
        <v>863.6</v>
      </c>
      <c r="D31">
        <v>1.1130000000000001E-2</v>
      </c>
      <c r="E31">
        <v>11.13</v>
      </c>
      <c r="F31">
        <v>77.592093441150041</v>
      </c>
      <c r="G31">
        <v>50</v>
      </c>
      <c r="H31">
        <v>30</v>
      </c>
      <c r="I31" s="1" t="s">
        <v>9</v>
      </c>
      <c r="J31" t="s">
        <v>267</v>
      </c>
      <c r="K31">
        <v>18</v>
      </c>
      <c r="L31" s="1">
        <v>37</v>
      </c>
      <c r="M31">
        <v>0</v>
      </c>
      <c r="N31">
        <v>0</v>
      </c>
      <c r="O31">
        <v>0.9</v>
      </c>
      <c r="P31">
        <v>1</v>
      </c>
      <c r="Q31">
        <v>32.078881272596128</v>
      </c>
      <c r="R31">
        <v>0</v>
      </c>
      <c r="S31">
        <v>0</v>
      </c>
      <c r="T31">
        <v>4.3514655333531991</v>
      </c>
      <c r="U31">
        <v>3.4681979093414856</v>
      </c>
      <c r="V31">
        <v>-3.4473329600000002</v>
      </c>
      <c r="W31">
        <v>2.2020766999999997</v>
      </c>
      <c r="X31">
        <v>0.54384142000000002</v>
      </c>
      <c r="Y31">
        <v>2.3724054919999999</v>
      </c>
      <c r="Z31">
        <v>5.9360032168138954E-2</v>
      </c>
      <c r="AA31">
        <v>0.28000000000000003</v>
      </c>
      <c r="AB31">
        <v>-1.2729656758128873</v>
      </c>
      <c r="AC31">
        <v>2.1743672841871131</v>
      </c>
      <c r="AD31">
        <v>0.98741668906769386</v>
      </c>
      <c r="AE31">
        <v>2.5311097606942257</v>
      </c>
      <c r="AF31">
        <v>4.6541320090960072</v>
      </c>
      <c r="AG31">
        <v>2.3410865492641464</v>
      </c>
      <c r="AH31">
        <v>10.392522417888488</v>
      </c>
      <c r="AI31">
        <v>0.57229738456854751</v>
      </c>
      <c r="AJ31">
        <v>0.3</v>
      </c>
    </row>
    <row r="32" spans="1:39" x14ac:dyDescent="0.25">
      <c r="A32" s="1">
        <v>8</v>
      </c>
      <c r="B32">
        <v>1.0668</v>
      </c>
      <c r="C32">
        <v>1066.8</v>
      </c>
      <c r="D32">
        <v>1.2699999999999999E-2</v>
      </c>
      <c r="E32">
        <v>12.7</v>
      </c>
      <c r="F32">
        <v>84</v>
      </c>
      <c r="G32">
        <v>100</v>
      </c>
      <c r="H32">
        <v>23</v>
      </c>
      <c r="I32" s="1" t="s">
        <v>9</v>
      </c>
      <c r="J32" t="s">
        <v>268</v>
      </c>
      <c r="K32">
        <v>18.5</v>
      </c>
      <c r="L32" s="1">
        <v>40</v>
      </c>
      <c r="M32">
        <v>0</v>
      </c>
      <c r="N32">
        <v>0</v>
      </c>
      <c r="O32">
        <v>0.9</v>
      </c>
      <c r="P32">
        <v>1.2</v>
      </c>
      <c r="Q32">
        <v>54.056372032110822</v>
      </c>
      <c r="R32">
        <v>0</v>
      </c>
      <c r="S32">
        <v>0</v>
      </c>
      <c r="T32">
        <v>4.4308167988433134</v>
      </c>
      <c r="U32">
        <v>3.9900274285724762</v>
      </c>
      <c r="V32">
        <v>-3.1838624800000002</v>
      </c>
      <c r="W32">
        <v>2.1405770999999998</v>
      </c>
      <c r="X32">
        <v>0.59384645999999996</v>
      </c>
      <c r="Y32">
        <v>2.3415361959999998</v>
      </c>
      <c r="Z32">
        <v>0.35113717457456706</v>
      </c>
      <c r="AA32">
        <v>0.18</v>
      </c>
      <c r="AB32">
        <v>-1.7147984280919266</v>
      </c>
      <c r="AC32">
        <v>1.4690640519080735</v>
      </c>
      <c r="AD32">
        <v>0.68629345418488952</v>
      </c>
      <c r="AE32">
        <v>0.8409150977233486</v>
      </c>
      <c r="AF32">
        <v>1.416048009654463</v>
      </c>
      <c r="AG32">
        <v>-0.57435101177096981</v>
      </c>
      <c r="AH32">
        <v>0.56307017617049704</v>
      </c>
      <c r="AI32">
        <v>0.57229738456854751</v>
      </c>
      <c r="AJ32">
        <v>0.3</v>
      </c>
    </row>
    <row r="33" spans="1:36" x14ac:dyDescent="0.25">
      <c r="A33" s="1">
        <v>9</v>
      </c>
      <c r="B33">
        <v>0.60960000000000003</v>
      </c>
      <c r="C33">
        <v>609.6</v>
      </c>
      <c r="D33">
        <v>1.1130000000000001E-2</v>
      </c>
      <c r="E33">
        <v>11.13</v>
      </c>
      <c r="F33">
        <v>54.770889487870619</v>
      </c>
      <c r="G33">
        <v>150</v>
      </c>
      <c r="H33">
        <v>16</v>
      </c>
      <c r="I33" s="1" t="s">
        <v>9</v>
      </c>
      <c r="J33" t="s">
        <v>270</v>
      </c>
      <c r="K33">
        <v>19</v>
      </c>
      <c r="L33" s="1">
        <v>43</v>
      </c>
      <c r="M33">
        <v>0</v>
      </c>
      <c r="N33">
        <v>0</v>
      </c>
      <c r="O33">
        <v>0.9</v>
      </c>
      <c r="P33">
        <v>1.5</v>
      </c>
      <c r="Q33">
        <v>43.727445623296873</v>
      </c>
      <c r="R33">
        <v>0</v>
      </c>
      <c r="S33">
        <v>0</v>
      </c>
      <c r="T33">
        <v>4.0031588390849828</v>
      </c>
      <c r="U33">
        <v>3.7779759512627038</v>
      </c>
      <c r="V33">
        <v>-3.32085856</v>
      </c>
      <c r="W33">
        <v>2.1099511999999998</v>
      </c>
      <c r="X33">
        <v>0.57883511999999993</v>
      </c>
      <c r="Y33">
        <v>2.550742112</v>
      </c>
      <c r="Z33">
        <v>1.3729882151536921E-3</v>
      </c>
      <c r="AA33">
        <v>0.4</v>
      </c>
      <c r="AB33">
        <v>-0.916290731874155</v>
      </c>
      <c r="AC33">
        <v>2.4045678281258449</v>
      </c>
      <c r="AD33">
        <v>1.13963196311168</v>
      </c>
      <c r="AE33">
        <v>5</v>
      </c>
      <c r="AF33">
        <v>8.6380384106617445</v>
      </c>
      <c r="AG33">
        <v>6.0886692868768986</v>
      </c>
      <c r="AH33">
        <v>440.83439654198293</v>
      </c>
      <c r="AI33">
        <v>0.57229738456854751</v>
      </c>
      <c r="AJ33">
        <v>0.3</v>
      </c>
    </row>
    <row r="34" spans="1:36" x14ac:dyDescent="0.25">
      <c r="A34" s="1">
        <v>10</v>
      </c>
      <c r="B34">
        <v>0.60960000000000003</v>
      </c>
      <c r="C34">
        <v>609.6</v>
      </c>
      <c r="D34">
        <v>1.1130000000000001E-2</v>
      </c>
      <c r="E34">
        <v>11.13</v>
      </c>
      <c r="F34">
        <v>54.770889487870619</v>
      </c>
      <c r="G34">
        <v>200</v>
      </c>
      <c r="H34">
        <v>15</v>
      </c>
      <c r="I34" s="1" t="s">
        <v>9</v>
      </c>
      <c r="J34" t="s">
        <v>267</v>
      </c>
      <c r="K34">
        <v>18</v>
      </c>
      <c r="L34" s="1">
        <v>37</v>
      </c>
      <c r="M34">
        <v>0</v>
      </c>
      <c r="N34">
        <v>0</v>
      </c>
      <c r="O34">
        <v>0.9</v>
      </c>
      <c r="P34">
        <v>1.2</v>
      </c>
      <c r="Q34">
        <v>27.172699430904952</v>
      </c>
      <c r="R34">
        <v>0</v>
      </c>
      <c r="S34">
        <v>0</v>
      </c>
      <c r="T34">
        <v>4.0031588390849828</v>
      </c>
      <c r="U34">
        <v>3.3022127718672243</v>
      </c>
      <c r="V34">
        <v>-3.18060856</v>
      </c>
      <c r="W34">
        <v>2.0579511999999998</v>
      </c>
      <c r="X34">
        <v>0.60883511999999995</v>
      </c>
      <c r="Y34">
        <v>2.5937421120000002</v>
      </c>
      <c r="Z34">
        <v>-0.22283177455187525</v>
      </c>
      <c r="AA34">
        <v>1.2</v>
      </c>
      <c r="AB34">
        <v>0.18232155679395459</v>
      </c>
      <c r="AC34">
        <v>3.3629301167939545</v>
      </c>
      <c r="AD34">
        <v>1.6341155790253699</v>
      </c>
      <c r="AE34">
        <v>5</v>
      </c>
      <c r="AF34">
        <v>8.2124040413437385</v>
      </c>
      <c r="AG34">
        <v>5.395830154791863</v>
      </c>
      <c r="AH34">
        <v>220.48510791195636</v>
      </c>
      <c r="AI34">
        <v>0.57229738456854751</v>
      </c>
      <c r="AJ34">
        <v>0.3</v>
      </c>
    </row>
    <row r="35" spans="1:36" x14ac:dyDescent="0.25">
      <c r="A35" s="1">
        <v>11</v>
      </c>
      <c r="B35">
        <v>0.20319999999999999</v>
      </c>
      <c r="C35">
        <v>203.2</v>
      </c>
      <c r="D35">
        <v>5.5599999999999998E-3</v>
      </c>
      <c r="E35">
        <v>5.56</v>
      </c>
      <c r="F35">
        <v>36.546762589928058</v>
      </c>
      <c r="G35">
        <v>15</v>
      </c>
      <c r="H35">
        <v>72</v>
      </c>
      <c r="I35" s="1" t="s">
        <v>10</v>
      </c>
      <c r="J35" t="s">
        <v>265</v>
      </c>
      <c r="K35">
        <v>17.5</v>
      </c>
      <c r="L35" s="1">
        <v>0</v>
      </c>
      <c r="M35">
        <v>37.5</v>
      </c>
      <c r="N35">
        <v>1.1000000000000001</v>
      </c>
      <c r="O35">
        <v>0.9</v>
      </c>
      <c r="P35">
        <v>0</v>
      </c>
      <c r="Q35">
        <v>26.332829622389646</v>
      </c>
      <c r="R35">
        <v>-12</v>
      </c>
      <c r="S35">
        <v>1</v>
      </c>
      <c r="T35">
        <v>3.598592607441836</v>
      </c>
      <c r="U35">
        <v>3.2708164353522799</v>
      </c>
      <c r="V35">
        <v>-4.4133025200000002</v>
      </c>
      <c r="W35">
        <v>3.3734704</v>
      </c>
      <c r="X35">
        <v>0.31346503999999997</v>
      </c>
      <c r="Y35">
        <v>3.2330207040000003</v>
      </c>
      <c r="Z35">
        <v>1.3547345147356484</v>
      </c>
      <c r="AA35">
        <v>0.05</v>
      </c>
      <c r="AB35">
        <v>-2.9957322735539909</v>
      </c>
      <c r="AC35">
        <v>1.4175702464460094</v>
      </c>
      <c r="AD35">
        <v>0.4202112597300422</v>
      </c>
      <c r="AE35">
        <v>0.44794855885624785</v>
      </c>
      <c r="AF35">
        <v>1.4290223843024021</v>
      </c>
      <c r="AG35">
        <v>-0.44926380496194973</v>
      </c>
      <c r="AH35">
        <v>0.63809774313738099</v>
      </c>
      <c r="AI35">
        <v>0.57229738456854751</v>
      </c>
      <c r="AJ35">
        <v>0.3</v>
      </c>
    </row>
    <row r="36" spans="1:36" x14ac:dyDescent="0.25">
      <c r="A36" s="1">
        <v>12</v>
      </c>
      <c r="B36">
        <v>0.30480000000000002</v>
      </c>
      <c r="C36">
        <v>304.8</v>
      </c>
      <c r="D36">
        <v>7.1399999999999996E-3</v>
      </c>
      <c r="E36">
        <v>7.14</v>
      </c>
      <c r="F36">
        <v>42.689075630252105</v>
      </c>
      <c r="G36">
        <v>30</v>
      </c>
      <c r="H36">
        <v>65</v>
      </c>
      <c r="I36" s="1" t="s">
        <v>10</v>
      </c>
      <c r="J36" t="s">
        <v>269</v>
      </c>
      <c r="K36">
        <v>18</v>
      </c>
      <c r="L36" s="1">
        <v>0</v>
      </c>
      <c r="M36">
        <v>75</v>
      </c>
      <c r="N36">
        <v>0.72</v>
      </c>
      <c r="O36">
        <v>0.9</v>
      </c>
      <c r="P36">
        <v>0</v>
      </c>
      <c r="Q36">
        <v>51.708101803965121</v>
      </c>
      <c r="R36">
        <v>-5</v>
      </c>
      <c r="S36">
        <v>1</v>
      </c>
      <c r="T36">
        <v>3.7539430474609983</v>
      </c>
      <c r="U36">
        <v>3.9456144772440287</v>
      </c>
      <c r="V36">
        <v>-4.0370092800000004</v>
      </c>
      <c r="W36">
        <v>2.7090505999999994</v>
      </c>
      <c r="X36">
        <v>0.41667756</v>
      </c>
      <c r="Y36">
        <v>2.8294460559999997</v>
      </c>
      <c r="Z36">
        <v>1.238139375053569</v>
      </c>
      <c r="AA36">
        <v>0.1</v>
      </c>
      <c r="AB36">
        <v>-2.3025850929940455</v>
      </c>
      <c r="AC36">
        <v>1.7344241870059549</v>
      </c>
      <c r="AD36">
        <v>0.64023321934479749</v>
      </c>
      <c r="AE36">
        <v>0.75856886381101818</v>
      </c>
      <c r="AF36">
        <v>1.8205176775322822</v>
      </c>
      <c r="AG36">
        <v>0.22921099658585153</v>
      </c>
      <c r="AH36">
        <v>1.257607361877443</v>
      </c>
      <c r="AI36">
        <v>0.57229738456854751</v>
      </c>
      <c r="AJ36">
        <v>0.3</v>
      </c>
    </row>
    <row r="37" spans="1:36" x14ac:dyDescent="0.25">
      <c r="A37" s="1">
        <v>13</v>
      </c>
      <c r="B37">
        <v>0.40639999999999998</v>
      </c>
      <c r="C37">
        <v>406.4</v>
      </c>
      <c r="D37">
        <v>9.5299999999999985E-3</v>
      </c>
      <c r="E37">
        <v>9.5299999999999994</v>
      </c>
      <c r="F37">
        <v>42.644281217208821</v>
      </c>
      <c r="G37">
        <v>50</v>
      </c>
      <c r="H37">
        <v>58</v>
      </c>
      <c r="I37" s="1" t="s">
        <v>10</v>
      </c>
      <c r="J37" t="s">
        <v>266</v>
      </c>
      <c r="K37">
        <v>18.5</v>
      </c>
      <c r="L37" s="1">
        <v>0</v>
      </c>
      <c r="M37">
        <v>125</v>
      </c>
      <c r="N37">
        <v>0.4</v>
      </c>
      <c r="O37">
        <v>0.9</v>
      </c>
      <c r="P37">
        <v>0</v>
      </c>
      <c r="Q37">
        <v>63.837162720944598</v>
      </c>
      <c r="R37">
        <v>0</v>
      </c>
      <c r="S37">
        <v>1</v>
      </c>
      <c r="T37">
        <v>3.7528931785981614</v>
      </c>
      <c r="U37">
        <v>4.1563355085596809</v>
      </c>
      <c r="V37">
        <v>-3.7245790400000001</v>
      </c>
      <c r="W37">
        <v>2.2234507999999997</v>
      </c>
      <c r="X37">
        <v>0.49883007999999995</v>
      </c>
      <c r="Y37">
        <v>2.538611408</v>
      </c>
      <c r="Z37">
        <v>0.80424378081597592</v>
      </c>
      <c r="AA37">
        <v>0.15</v>
      </c>
      <c r="AB37">
        <v>-1.8971199848858813</v>
      </c>
      <c r="AC37">
        <v>1.8274590551141188</v>
      </c>
      <c r="AD37">
        <v>0.82190217796324483</v>
      </c>
      <c r="AE37">
        <v>1.1626517128318059</v>
      </c>
      <c r="AF37">
        <v>2.3307570241790674</v>
      </c>
      <c r="AG37">
        <v>0.59638939699504334</v>
      </c>
      <c r="AH37">
        <v>1.8155517154769825</v>
      </c>
      <c r="AI37">
        <v>0.57229738456854751</v>
      </c>
      <c r="AJ37">
        <v>0.3</v>
      </c>
    </row>
    <row r="38" spans="1:36" x14ac:dyDescent="0.25">
      <c r="A38" s="1">
        <v>14</v>
      </c>
      <c r="B38">
        <v>0.50800000000000001</v>
      </c>
      <c r="C38">
        <v>508</v>
      </c>
      <c r="D38">
        <v>1.1130000000000001E-2</v>
      </c>
      <c r="E38">
        <v>11.13</v>
      </c>
      <c r="F38">
        <v>45.642407906558844</v>
      </c>
      <c r="G38">
        <v>100</v>
      </c>
      <c r="H38">
        <v>51</v>
      </c>
      <c r="I38" s="1" t="s">
        <v>10</v>
      </c>
      <c r="J38" t="s">
        <v>265</v>
      </c>
      <c r="K38">
        <v>17.5</v>
      </c>
      <c r="L38" s="1">
        <v>0</v>
      </c>
      <c r="M38">
        <v>37.5</v>
      </c>
      <c r="N38">
        <v>1.1000000000000001</v>
      </c>
      <c r="O38">
        <v>0.9</v>
      </c>
      <c r="P38">
        <v>0</v>
      </c>
      <c r="Q38">
        <v>65.832074055974118</v>
      </c>
      <c r="R38">
        <v>0</v>
      </c>
      <c r="S38">
        <v>0</v>
      </c>
      <c r="T38">
        <v>3.8208372822910284</v>
      </c>
      <c r="U38">
        <v>4.1871071672264346</v>
      </c>
      <c r="V38">
        <v>-3.5227188000000003</v>
      </c>
      <c r="W38">
        <v>2.1667009999999998</v>
      </c>
      <c r="X38">
        <v>0.53883259999999999</v>
      </c>
      <c r="Y38">
        <v>2.5446767599999998</v>
      </c>
      <c r="Z38">
        <v>8.0474648646334468E-2</v>
      </c>
      <c r="AA38">
        <v>0.2</v>
      </c>
      <c r="AB38">
        <v>-1.6094379124341003</v>
      </c>
      <c r="AC38">
        <v>1.9132808875659</v>
      </c>
      <c r="AD38">
        <v>0.88303872457062615</v>
      </c>
      <c r="AE38">
        <v>1.3893995965142862</v>
      </c>
      <c r="AF38">
        <v>2.5785366299557344</v>
      </c>
      <c r="AG38">
        <v>0.11433451860206911</v>
      </c>
      <c r="AH38">
        <v>1.1211271000328198</v>
      </c>
      <c r="AI38">
        <v>0.57229738456854751</v>
      </c>
      <c r="AJ38">
        <v>0.3</v>
      </c>
    </row>
    <row r="39" spans="1:36" x14ac:dyDescent="0.25">
      <c r="A39" s="1">
        <v>15</v>
      </c>
      <c r="B39">
        <v>0.60960000000000003</v>
      </c>
      <c r="C39">
        <v>609.6</v>
      </c>
      <c r="D39">
        <v>9.5299999999999985E-3</v>
      </c>
      <c r="E39">
        <v>9.5299999999999994</v>
      </c>
      <c r="F39">
        <v>63.966421825813235</v>
      </c>
      <c r="G39">
        <v>15</v>
      </c>
      <c r="H39">
        <v>44</v>
      </c>
      <c r="I39" s="1" t="s">
        <v>10</v>
      </c>
      <c r="J39" t="s">
        <v>269</v>
      </c>
      <c r="K39">
        <v>18</v>
      </c>
      <c r="L39" s="1">
        <v>0</v>
      </c>
      <c r="M39">
        <v>75</v>
      </c>
      <c r="N39">
        <v>0.72</v>
      </c>
      <c r="O39">
        <v>0.9</v>
      </c>
      <c r="P39">
        <v>0</v>
      </c>
      <c r="Q39">
        <v>103.41620360793024</v>
      </c>
      <c r="R39">
        <v>0</v>
      </c>
      <c r="S39">
        <v>0</v>
      </c>
      <c r="T39">
        <v>4.158358286706326</v>
      </c>
      <c r="U39">
        <v>4.6387616578039736</v>
      </c>
      <c r="V39">
        <v>-3.6995335599999999</v>
      </c>
      <c r="W39">
        <v>2.2503511999999999</v>
      </c>
      <c r="X39">
        <v>0.49783511999999996</v>
      </c>
      <c r="Y39">
        <v>2.4346421120000001</v>
      </c>
      <c r="Z39">
        <v>0.49777159465007936</v>
      </c>
      <c r="AA39">
        <v>0.2</v>
      </c>
      <c r="AB39">
        <v>-1.6094379124341003</v>
      </c>
      <c r="AC39">
        <v>2.0900956475658994</v>
      </c>
      <c r="AD39">
        <v>0.92878642567697856</v>
      </c>
      <c r="AE39">
        <v>1.6494814191438925</v>
      </c>
      <c r="AF39">
        <v>3.3133086696332161</v>
      </c>
      <c r="AG39">
        <v>1.3764381522832954</v>
      </c>
      <c r="AH39">
        <v>3.9607688176086686</v>
      </c>
      <c r="AI39">
        <v>0.57229738456854751</v>
      </c>
      <c r="AJ39">
        <v>0.3</v>
      </c>
    </row>
    <row r="40" spans="1:36" x14ac:dyDescent="0.25">
      <c r="A40" s="1">
        <v>16</v>
      </c>
      <c r="B40">
        <v>0.76200000000000001</v>
      </c>
      <c r="C40">
        <v>762</v>
      </c>
      <c r="D40">
        <v>1.2699999999999999E-2</v>
      </c>
      <c r="E40">
        <v>12.7</v>
      </c>
      <c r="F40">
        <v>60</v>
      </c>
      <c r="G40">
        <v>30</v>
      </c>
      <c r="H40">
        <v>37</v>
      </c>
      <c r="I40" s="1" t="s">
        <v>10</v>
      </c>
      <c r="J40" t="s">
        <v>266</v>
      </c>
      <c r="K40">
        <v>18.5</v>
      </c>
      <c r="L40" s="1">
        <v>0</v>
      </c>
      <c r="M40">
        <v>125</v>
      </c>
      <c r="N40">
        <v>0.4</v>
      </c>
      <c r="O40">
        <v>0.9</v>
      </c>
      <c r="P40">
        <v>0</v>
      </c>
      <c r="Q40">
        <v>119.69468010177111</v>
      </c>
      <c r="R40">
        <v>0</v>
      </c>
      <c r="S40">
        <v>0</v>
      </c>
      <c r="T40">
        <v>4.0943445622221004</v>
      </c>
      <c r="U40">
        <v>4.7849441679820552</v>
      </c>
      <c r="V40">
        <v>-3.5650431999999999</v>
      </c>
      <c r="W40">
        <v>2.2276265</v>
      </c>
      <c r="X40">
        <v>0.52183889999999999</v>
      </c>
      <c r="Y40">
        <v>2.3921401399999995</v>
      </c>
      <c r="Z40">
        <v>0.529226419371848</v>
      </c>
      <c r="AA40">
        <v>0.25</v>
      </c>
      <c r="AB40">
        <v>-1.3862943611198906</v>
      </c>
      <c r="AC40">
        <v>2.1787488388801091</v>
      </c>
      <c r="AD40">
        <v>0.97805841279052352</v>
      </c>
      <c r="AE40">
        <v>2.2507436237850884</v>
      </c>
      <c r="AF40">
        <v>4.3131005062771068</v>
      </c>
      <c r="AG40">
        <v>2.4501867856489552</v>
      </c>
      <c r="AH40">
        <v>11.590511458250456</v>
      </c>
      <c r="AI40">
        <v>0.57229738456854751</v>
      </c>
      <c r="AJ40">
        <v>0.3</v>
      </c>
    </row>
    <row r="41" spans="1:36" x14ac:dyDescent="0.25">
      <c r="A41" s="1">
        <v>17</v>
      </c>
      <c r="B41">
        <v>0.86360000000000003</v>
      </c>
      <c r="C41">
        <v>863.6</v>
      </c>
      <c r="D41">
        <v>1.1130000000000001E-2</v>
      </c>
      <c r="E41">
        <v>11.13</v>
      </c>
      <c r="F41">
        <v>77.592093441150041</v>
      </c>
      <c r="G41">
        <v>50</v>
      </c>
      <c r="H41">
        <v>30</v>
      </c>
      <c r="I41" s="1" t="s">
        <v>10</v>
      </c>
      <c r="J41" t="s">
        <v>265</v>
      </c>
      <c r="K41">
        <v>17.5</v>
      </c>
      <c r="L41" s="1">
        <v>0</v>
      </c>
      <c r="M41">
        <v>37.5</v>
      </c>
      <c r="N41">
        <v>1.1000000000000001</v>
      </c>
      <c r="O41">
        <v>0.9</v>
      </c>
      <c r="P41">
        <v>0</v>
      </c>
      <c r="Q41">
        <v>111.91452589515602</v>
      </c>
      <c r="R41">
        <v>0</v>
      </c>
      <c r="S41">
        <v>0</v>
      </c>
      <c r="T41">
        <v>4.3514655333531991</v>
      </c>
      <c r="U41">
        <v>4.7177354182886058</v>
      </c>
      <c r="V41">
        <v>-3.4473329600000002</v>
      </c>
      <c r="W41">
        <v>2.2020766999999997</v>
      </c>
      <c r="X41">
        <v>0.54384142000000002</v>
      </c>
      <c r="Y41">
        <v>2.3724054919999999</v>
      </c>
      <c r="Z41">
        <v>0.64839201388581147</v>
      </c>
      <c r="AA41">
        <v>0.28000000000000003</v>
      </c>
      <c r="AB41">
        <v>-1.2729656758128873</v>
      </c>
      <c r="AC41">
        <v>2.1743672841871131</v>
      </c>
      <c r="AD41">
        <v>0.98741668906769386</v>
      </c>
      <c r="AE41">
        <v>2.5311097606942257</v>
      </c>
      <c r="AF41">
        <v>4.6541320090960072</v>
      </c>
      <c r="AG41">
        <v>2.9301185309818187</v>
      </c>
      <c r="AH41">
        <v>18.729850432665824</v>
      </c>
      <c r="AI41">
        <v>0.57229738456854751</v>
      </c>
      <c r="AJ41">
        <v>0.3</v>
      </c>
    </row>
    <row r="42" spans="1:36" x14ac:dyDescent="0.25">
      <c r="A42" s="1">
        <v>18</v>
      </c>
      <c r="B42">
        <v>1.0668</v>
      </c>
      <c r="C42">
        <v>1066.8</v>
      </c>
      <c r="D42">
        <v>1.2699999999999999E-2</v>
      </c>
      <c r="E42">
        <v>12.7</v>
      </c>
      <c r="F42">
        <v>84</v>
      </c>
      <c r="G42">
        <v>100</v>
      </c>
      <c r="H42">
        <v>23</v>
      </c>
      <c r="I42" s="1" t="s">
        <v>10</v>
      </c>
      <c r="J42" t="s">
        <v>269</v>
      </c>
      <c r="K42">
        <v>18</v>
      </c>
      <c r="L42" s="1">
        <v>0</v>
      </c>
      <c r="M42">
        <v>75</v>
      </c>
      <c r="N42">
        <v>0.72</v>
      </c>
      <c r="O42">
        <v>0.9</v>
      </c>
      <c r="P42">
        <v>0</v>
      </c>
      <c r="Q42">
        <v>180.97835631387795</v>
      </c>
      <c r="R42">
        <v>0</v>
      </c>
      <c r="S42">
        <v>0</v>
      </c>
      <c r="T42">
        <v>4.4308167988433134</v>
      </c>
      <c r="U42">
        <v>5.1983774457393972</v>
      </c>
      <c r="V42">
        <v>-3.1838624800000002</v>
      </c>
      <c r="W42">
        <v>2.1405770999999998</v>
      </c>
      <c r="X42">
        <v>0.59384645999999996</v>
      </c>
      <c r="Y42">
        <v>2.3415361959999998</v>
      </c>
      <c r="Z42">
        <v>0.92075337266705359</v>
      </c>
      <c r="AA42">
        <v>0.18</v>
      </c>
      <c r="AB42">
        <v>-1.7147984280919266</v>
      </c>
      <c r="AC42">
        <v>1.4690640519080735</v>
      </c>
      <c r="AD42">
        <v>0.68629345418488952</v>
      </c>
      <c r="AE42">
        <v>0.8409150977233486</v>
      </c>
      <c r="AF42">
        <v>1.416048009654463</v>
      </c>
      <c r="AG42">
        <v>-4.7348136784832739E-3</v>
      </c>
      <c r="AH42">
        <v>0.99527637788151735</v>
      </c>
      <c r="AI42">
        <v>0.57229738456854751</v>
      </c>
      <c r="AJ42">
        <v>0.3</v>
      </c>
    </row>
    <row r="43" spans="1:36" x14ac:dyDescent="0.25">
      <c r="A43" s="1">
        <v>19</v>
      </c>
      <c r="B43">
        <v>0.60960000000000003</v>
      </c>
      <c r="C43">
        <v>609.6</v>
      </c>
      <c r="D43">
        <v>1.1130000000000001E-2</v>
      </c>
      <c r="E43">
        <v>11.13</v>
      </c>
      <c r="F43">
        <v>54.770889487870619</v>
      </c>
      <c r="G43">
        <v>150</v>
      </c>
      <c r="H43">
        <v>16</v>
      </c>
      <c r="I43" s="1" t="s">
        <v>10</v>
      </c>
      <c r="J43" t="s">
        <v>266</v>
      </c>
      <c r="K43">
        <v>18.5</v>
      </c>
      <c r="L43" s="1">
        <v>0</v>
      </c>
      <c r="M43">
        <v>125</v>
      </c>
      <c r="N43">
        <v>0.4</v>
      </c>
      <c r="O43">
        <v>0.9</v>
      </c>
      <c r="P43">
        <v>0</v>
      </c>
      <c r="Q43">
        <v>95.755744081416907</v>
      </c>
      <c r="R43">
        <v>0</v>
      </c>
      <c r="S43">
        <v>0</v>
      </c>
      <c r="T43">
        <v>4.0031588390849828</v>
      </c>
      <c r="U43">
        <v>4.5618006166678455</v>
      </c>
      <c r="V43">
        <v>-3.32085856</v>
      </c>
      <c r="W43">
        <v>2.1099511999999998</v>
      </c>
      <c r="X43">
        <v>0.57883511999999993</v>
      </c>
      <c r="Y43">
        <v>2.550742112</v>
      </c>
      <c r="Z43">
        <v>0.37086793548713748</v>
      </c>
      <c r="AA43">
        <v>0.4</v>
      </c>
      <c r="AB43">
        <v>-0.916290731874155</v>
      </c>
      <c r="AC43">
        <v>2.4045678281258449</v>
      </c>
      <c r="AD43">
        <v>1.13963196311168</v>
      </c>
      <c r="AE43">
        <v>5</v>
      </c>
      <c r="AF43">
        <v>8.6380384106617445</v>
      </c>
      <c r="AG43">
        <v>6.4581642341488816</v>
      </c>
      <c r="AH43">
        <v>637.88896627595602</v>
      </c>
      <c r="AI43">
        <v>0.57229738456854751</v>
      </c>
      <c r="AJ43">
        <v>0.3</v>
      </c>
    </row>
    <row r="44" spans="1:36" x14ac:dyDescent="0.25">
      <c r="A44" s="1">
        <v>20</v>
      </c>
      <c r="B44">
        <v>0.60960000000000003</v>
      </c>
      <c r="C44">
        <v>609.6</v>
      </c>
      <c r="D44">
        <v>1.1130000000000001E-2</v>
      </c>
      <c r="E44">
        <v>11.13</v>
      </c>
      <c r="F44">
        <v>54.770889487870619</v>
      </c>
      <c r="G44">
        <v>200</v>
      </c>
      <c r="H44">
        <v>15</v>
      </c>
      <c r="I44" s="1" t="s">
        <v>10</v>
      </c>
      <c r="J44" t="s">
        <v>265</v>
      </c>
      <c r="K44">
        <v>17.5</v>
      </c>
      <c r="L44" s="1">
        <v>0</v>
      </c>
      <c r="M44">
        <v>37.5</v>
      </c>
      <c r="N44">
        <v>1.1000000000000001</v>
      </c>
      <c r="O44">
        <v>0.9</v>
      </c>
      <c r="P44">
        <v>0</v>
      </c>
      <c r="Q44">
        <v>78.998488867168945</v>
      </c>
      <c r="R44">
        <v>0</v>
      </c>
      <c r="S44">
        <v>0</v>
      </c>
      <c r="T44">
        <v>4.0031588390849828</v>
      </c>
      <c r="U44">
        <v>4.3694287240203895</v>
      </c>
      <c r="V44">
        <v>-3.18060856</v>
      </c>
      <c r="W44">
        <v>2.0579511999999998</v>
      </c>
      <c r="X44">
        <v>0.60883511999999995</v>
      </c>
      <c r="Y44">
        <v>2.5937421120000002</v>
      </c>
      <c r="Z44">
        <v>0.28025382529312659</v>
      </c>
      <c r="AA44">
        <v>1.2</v>
      </c>
      <c r="AB44">
        <v>0.18232155679395459</v>
      </c>
      <c r="AC44">
        <v>3.3629301167939545</v>
      </c>
      <c r="AD44">
        <v>1.6341155790253699</v>
      </c>
      <c r="AE44">
        <v>5</v>
      </c>
      <c r="AF44">
        <v>8.2124040413437385</v>
      </c>
      <c r="AG44">
        <v>5.8989157546368647</v>
      </c>
      <c r="AH44">
        <v>364.64189217273321</v>
      </c>
      <c r="AI44">
        <v>0.57229738456854751</v>
      </c>
      <c r="AJ44">
        <v>0.3</v>
      </c>
    </row>
    <row r="46" spans="1:36" x14ac:dyDescent="0.25">
      <c r="A46" s="1" t="s">
        <v>38</v>
      </c>
      <c r="B46" t="s">
        <v>288</v>
      </c>
      <c r="C46" t="s">
        <v>1</v>
      </c>
      <c r="D46" t="s">
        <v>289</v>
      </c>
      <c r="E46" t="s">
        <v>2</v>
      </c>
      <c r="F46" t="s">
        <v>124</v>
      </c>
      <c r="G46" t="s">
        <v>125</v>
      </c>
      <c r="H46" t="s">
        <v>29</v>
      </c>
      <c r="I46" s="1" t="s">
        <v>0</v>
      </c>
      <c r="J46" t="s">
        <v>86</v>
      </c>
      <c r="K46" t="s">
        <v>84</v>
      </c>
      <c r="L46" s="1" t="s">
        <v>85</v>
      </c>
      <c r="M46" t="s">
        <v>83</v>
      </c>
      <c r="N46" t="s">
        <v>82</v>
      </c>
      <c r="O46" s="131" t="s">
        <v>406</v>
      </c>
      <c r="P46" t="s">
        <v>287</v>
      </c>
      <c r="Q46" t="s">
        <v>7</v>
      </c>
      <c r="R46" t="s">
        <v>407</v>
      </c>
      <c r="S46" t="s">
        <v>329</v>
      </c>
      <c r="T46" t="s">
        <v>330</v>
      </c>
      <c r="U46" t="s">
        <v>285</v>
      </c>
      <c r="V46" t="s">
        <v>18</v>
      </c>
      <c r="W46" t="s">
        <v>19</v>
      </c>
      <c r="X46" t="s">
        <v>104</v>
      </c>
      <c r="Y46" t="s">
        <v>105</v>
      </c>
      <c r="Z46" t="s">
        <v>106</v>
      </c>
      <c r="AA46" t="s">
        <v>6</v>
      </c>
      <c r="AB46" t="s">
        <v>274</v>
      </c>
      <c r="AC46" t="s">
        <v>408</v>
      </c>
      <c r="AD46" t="s">
        <v>409</v>
      </c>
      <c r="AE46" t="s">
        <v>410</v>
      </c>
      <c r="AF46" t="s">
        <v>411</v>
      </c>
      <c r="AG46" t="s">
        <v>284</v>
      </c>
      <c r="AH46" t="s">
        <v>8</v>
      </c>
      <c r="AI46" t="s">
        <v>290</v>
      </c>
      <c r="AJ46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E725-086F-4A52-B60B-92DB79CFCF1D}">
  <sheetPr>
    <tabColor rgb="FF92D050"/>
  </sheetPr>
  <dimension ref="A1:AE130"/>
  <sheetViews>
    <sheetView zoomScale="85" zoomScaleNormal="85" workbookViewId="0">
      <selection activeCell="B24" sqref="B24"/>
    </sheetView>
  </sheetViews>
  <sheetFormatPr defaultColWidth="8.7109375" defaultRowHeight="15" x14ac:dyDescent="0.25"/>
  <cols>
    <col min="1" max="1" width="25.710937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35" style="10" customWidth="1"/>
    <col min="8" max="8" width="55.42578125" style="10" bestFit="1" customWidth="1"/>
    <col min="9" max="20" width="8.7109375" style="10"/>
    <col min="39" max="39" width="9.28515625" bestFit="1" customWidth="1"/>
  </cols>
  <sheetData>
    <row r="1" spans="1:30" x14ac:dyDescent="0.25">
      <c r="A1" s="47" t="s">
        <v>188</v>
      </c>
      <c r="B1" s="48"/>
      <c r="C1" s="48"/>
      <c r="D1" s="48"/>
      <c r="E1" s="48"/>
      <c r="F1" s="48"/>
      <c r="G1" s="48"/>
      <c r="H1" s="48"/>
    </row>
    <row r="2" spans="1:30" x14ac:dyDescent="0.25">
      <c r="A2" s="15" t="s">
        <v>189</v>
      </c>
      <c r="C2" s="49" t="s">
        <v>190</v>
      </c>
      <c r="D2" s="15"/>
      <c r="E2" s="15"/>
      <c r="F2" s="15"/>
    </row>
    <row r="3" spans="1:30" x14ac:dyDescent="0.25">
      <c r="A3" s="15" t="s">
        <v>191</v>
      </c>
      <c r="C3" s="10">
        <v>1</v>
      </c>
      <c r="E3" s="15" t="s">
        <v>192</v>
      </c>
      <c r="J3" s="48"/>
      <c r="K3" s="15" t="s">
        <v>193</v>
      </c>
    </row>
    <row r="4" spans="1:30" x14ac:dyDescent="0.25">
      <c r="A4" s="15" t="s">
        <v>194</v>
      </c>
      <c r="C4" s="50">
        <v>44761</v>
      </c>
      <c r="D4" s="51"/>
      <c r="E4" s="52" t="s">
        <v>195</v>
      </c>
      <c r="F4" s="51"/>
      <c r="J4" s="53"/>
      <c r="K4" s="15" t="s">
        <v>196</v>
      </c>
    </row>
    <row r="5" spans="1:30" x14ac:dyDescent="0.25">
      <c r="A5" s="15" t="s">
        <v>197</v>
      </c>
      <c r="C5" s="10">
        <v>1</v>
      </c>
      <c r="D5" s="51"/>
      <c r="E5" s="54" t="s">
        <v>198</v>
      </c>
      <c r="F5" s="51"/>
      <c r="I5" s="15"/>
      <c r="J5" s="15"/>
    </row>
    <row r="6" spans="1:30" x14ac:dyDescent="0.25">
      <c r="J6" s="149" t="s">
        <v>180</v>
      </c>
      <c r="K6" s="149" t="s">
        <v>181</v>
      </c>
      <c r="L6" s="149" t="s">
        <v>182</v>
      </c>
      <c r="M6" s="150" t="s">
        <v>183</v>
      </c>
      <c r="N6" s="150"/>
      <c r="O6" s="148" t="s">
        <v>184</v>
      </c>
      <c r="P6"/>
    </row>
    <row r="7" spans="1:30" ht="15.75" thickBot="1" x14ac:dyDescent="0.3">
      <c r="A7" s="153" t="s">
        <v>199</v>
      </c>
      <c r="B7" s="153"/>
      <c r="C7" s="153"/>
      <c r="D7" s="153"/>
      <c r="E7" s="153"/>
      <c r="F7" s="153"/>
      <c r="G7" s="153"/>
      <c r="H7" s="153"/>
      <c r="J7" s="151"/>
      <c r="K7" s="151"/>
      <c r="L7" s="151"/>
      <c r="M7" s="1" t="s">
        <v>46</v>
      </c>
      <c r="N7" s="1" t="s">
        <v>185</v>
      </c>
      <c r="O7" s="149"/>
      <c r="P7"/>
      <c r="Q7" s="16"/>
      <c r="R7" s="16"/>
      <c r="S7" s="16"/>
      <c r="T7" s="16"/>
      <c r="U7" s="16"/>
      <c r="V7" s="16"/>
      <c r="W7" s="17"/>
      <c r="X7" s="17"/>
      <c r="Y7" s="17"/>
      <c r="Z7" s="17"/>
      <c r="AA7" s="17"/>
      <c r="AB7" s="17"/>
      <c r="AC7" s="17"/>
      <c r="AD7" s="17"/>
    </row>
    <row r="8" spans="1:30" ht="18.75" thickTop="1" x14ac:dyDescent="0.25">
      <c r="A8" s="17"/>
      <c r="B8" s="17" t="s">
        <v>200</v>
      </c>
      <c r="C8" s="17" t="s">
        <v>201</v>
      </c>
      <c r="D8" s="17" t="s">
        <v>202</v>
      </c>
      <c r="E8" s="17" t="s">
        <v>203</v>
      </c>
      <c r="F8" s="17" t="s">
        <v>204</v>
      </c>
      <c r="G8" s="55" t="s">
        <v>205</v>
      </c>
      <c r="H8" s="17" t="s">
        <v>206</v>
      </c>
      <c r="J8" s="44" t="s">
        <v>186</v>
      </c>
      <c r="K8" s="44">
        <v>241</v>
      </c>
      <c r="L8" s="45">
        <f>K8*P8</f>
        <v>343.78650000000005</v>
      </c>
      <c r="M8" s="1">
        <v>3</v>
      </c>
      <c r="N8" s="1">
        <v>8</v>
      </c>
      <c r="O8" s="46">
        <f>(L8/210000) * (1+(((M8/(1+N8))*((L8/K8)^N8))))</f>
        <v>1.0993773658472166E-2</v>
      </c>
      <c r="P8">
        <v>1.4265000000000001</v>
      </c>
      <c r="U8" s="10"/>
    </row>
    <row r="9" spans="1:30" x14ac:dyDescent="0.25">
      <c r="A9" s="56" t="s">
        <v>88</v>
      </c>
      <c r="B9" s="48">
        <v>1.0668</v>
      </c>
      <c r="C9" s="57"/>
      <c r="D9" s="58">
        <v>1</v>
      </c>
      <c r="E9" s="10">
        <v>0.1016</v>
      </c>
      <c r="F9" s="10">
        <v>1.0669999999999999</v>
      </c>
      <c r="G9" s="10" t="s">
        <v>35</v>
      </c>
      <c r="H9" s="15" t="s">
        <v>207</v>
      </c>
      <c r="J9" s="32" t="s">
        <v>187</v>
      </c>
      <c r="K9" s="32">
        <v>290</v>
      </c>
      <c r="L9" s="45">
        <f t="shared" ref="L9:L13" si="0">K9*P9</f>
        <v>413.685</v>
      </c>
      <c r="M9" s="1">
        <v>3</v>
      </c>
      <c r="N9" s="1">
        <v>9</v>
      </c>
      <c r="O9" s="46">
        <f t="shared" ref="O9:O13" si="1">(L9/210000) * (1+(((M9/(1+N9))*((L9/K9)^N9))))</f>
        <v>1.6424915983774071E-2</v>
      </c>
      <c r="P9">
        <v>1.4265000000000001</v>
      </c>
      <c r="U9" s="10"/>
    </row>
    <row r="10" spans="1:30" x14ac:dyDescent="0.25">
      <c r="A10" s="56" t="s">
        <v>89</v>
      </c>
      <c r="B10" s="48">
        <v>9.5250000000000005E-3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35</v>
      </c>
      <c r="H10" s="15" t="s">
        <v>208</v>
      </c>
      <c r="J10" s="44" t="s">
        <v>117</v>
      </c>
      <c r="K10" s="44">
        <v>359</v>
      </c>
      <c r="L10" s="45">
        <f t="shared" si="0"/>
        <v>455.05403999999999</v>
      </c>
      <c r="M10" s="1">
        <v>8</v>
      </c>
      <c r="N10" s="1">
        <v>10</v>
      </c>
      <c r="O10" s="46">
        <f t="shared" si="1"/>
        <v>1.9041242414694345E-2</v>
      </c>
      <c r="P10">
        <v>1.26756</v>
      </c>
      <c r="U10" s="10"/>
    </row>
    <row r="11" spans="1:30" x14ac:dyDescent="0.25">
      <c r="A11" s="10" t="s">
        <v>90</v>
      </c>
      <c r="B11" s="59">
        <f>B9/B10</f>
        <v>111.99999999999999</v>
      </c>
      <c r="H11" s="15" t="s">
        <v>209</v>
      </c>
      <c r="J11" s="32" t="s">
        <v>118</v>
      </c>
      <c r="K11" s="32">
        <v>414</v>
      </c>
      <c r="L11" s="45">
        <f t="shared" si="0"/>
        <v>517.10711399999991</v>
      </c>
      <c r="M11" s="1">
        <v>8</v>
      </c>
      <c r="N11" s="1">
        <v>12</v>
      </c>
      <c r="O11" s="46">
        <f t="shared" si="1"/>
        <v>2.4313344008036558E-2</v>
      </c>
      <c r="P11">
        <v>1.2490509999999999</v>
      </c>
      <c r="U11" s="10"/>
    </row>
    <row r="12" spans="1:30" ht="18.75" x14ac:dyDescent="0.35">
      <c r="A12" s="60" t="s">
        <v>210</v>
      </c>
      <c r="B12" s="61">
        <v>100</v>
      </c>
      <c r="C12" s="58"/>
      <c r="D12" s="58">
        <v>40</v>
      </c>
      <c r="E12" s="58"/>
      <c r="F12" s="58"/>
      <c r="G12" s="58" t="s">
        <v>211</v>
      </c>
      <c r="H12" s="62" t="s">
        <v>212</v>
      </c>
      <c r="J12" s="32" t="s">
        <v>119</v>
      </c>
      <c r="K12" s="32">
        <v>483</v>
      </c>
      <c r="L12" s="45">
        <f t="shared" si="0"/>
        <v>565.37033699999995</v>
      </c>
      <c r="M12" s="1">
        <v>14</v>
      </c>
      <c r="N12" s="1">
        <v>15</v>
      </c>
      <c r="O12" s="46">
        <f t="shared" si="1"/>
        <v>2.7690517990613433E-2</v>
      </c>
      <c r="P12">
        <v>1.170539</v>
      </c>
      <c r="Q12" s="12"/>
      <c r="R12" s="12"/>
      <c r="S12" s="12"/>
      <c r="T12" s="12"/>
      <c r="U12" s="12"/>
      <c r="V12" s="12"/>
    </row>
    <row r="13" spans="1:30" x14ac:dyDescent="0.25">
      <c r="A13" s="18" t="s">
        <v>213</v>
      </c>
      <c r="B13" s="48" t="s">
        <v>117</v>
      </c>
      <c r="C13" s="58"/>
      <c r="D13" s="58"/>
      <c r="E13" s="58"/>
      <c r="F13" s="58"/>
      <c r="G13" s="58"/>
      <c r="H13" s="62"/>
      <c r="J13" s="44" t="s">
        <v>120</v>
      </c>
      <c r="K13" s="44">
        <v>552</v>
      </c>
      <c r="L13" s="45">
        <f t="shared" si="0"/>
        <v>624.99979200000007</v>
      </c>
      <c r="M13" s="1">
        <v>15</v>
      </c>
      <c r="N13" s="1">
        <v>20</v>
      </c>
      <c r="O13" s="46">
        <f t="shared" si="1"/>
        <v>2.8464933991254465E-2</v>
      </c>
      <c r="P13">
        <v>1.1322460000000001</v>
      </c>
      <c r="Q13" s="12"/>
      <c r="R13" s="12"/>
      <c r="S13" s="12"/>
      <c r="T13" s="12"/>
      <c r="U13" s="12"/>
      <c r="V13" s="12"/>
    </row>
    <row r="14" spans="1:30" x14ac:dyDescent="0.25">
      <c r="A14" s="18" t="s">
        <v>214</v>
      </c>
      <c r="B14" s="59">
        <f>100*IF(B13=J8,O8,IF(B13=J9,O9,IF(B13=J10,O10,IF(B13=J11,O11,IF(B13=J12,O12,IF(B13=J13,O13,2))))))</f>
        <v>1.9041242414694344</v>
      </c>
      <c r="C14" s="58"/>
      <c r="D14" s="58"/>
      <c r="E14" s="58"/>
      <c r="F14" s="58"/>
      <c r="G14" s="58"/>
      <c r="H14" s="62" t="s">
        <v>215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30" x14ac:dyDescent="0.25">
      <c r="A15" s="18"/>
      <c r="B15" s="59"/>
      <c r="C15" s="58"/>
      <c r="D15" s="58"/>
      <c r="E15" s="58"/>
      <c r="F15" s="58"/>
      <c r="G15" s="58"/>
      <c r="H15" s="62"/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12"/>
      <c r="V15" s="12"/>
    </row>
    <row r="16" spans="1:30" x14ac:dyDescent="0.25">
      <c r="A16" s="10" t="s">
        <v>216</v>
      </c>
      <c r="B16" s="65">
        <f>LN(B14)</f>
        <v>0.6440221871128996</v>
      </c>
      <c r="C16" s="58"/>
      <c r="D16" s="58"/>
      <c r="E16" s="58"/>
      <c r="F16" s="58"/>
      <c r="G16" s="58"/>
      <c r="H16" s="62" t="s">
        <v>217</v>
      </c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12"/>
      <c r="V16" s="12"/>
    </row>
    <row r="17" spans="1:30" x14ac:dyDescent="0.25">
      <c r="A17" s="10" t="s">
        <v>218</v>
      </c>
      <c r="B17" s="65">
        <f>LN(B12)</f>
        <v>4.6051701859880918</v>
      </c>
      <c r="C17" s="58"/>
      <c r="D17" s="58"/>
      <c r="E17" s="58"/>
      <c r="F17" s="58"/>
      <c r="G17" s="58"/>
      <c r="H17" s="62" t="s">
        <v>217</v>
      </c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12"/>
      <c r="V17" s="12"/>
    </row>
    <row r="18" spans="1:30" x14ac:dyDescent="0.25">
      <c r="A18" s="10" t="s">
        <v>99</v>
      </c>
      <c r="B18" s="65">
        <f>LN(B11)</f>
        <v>4.7184988712950942</v>
      </c>
      <c r="C18" s="58"/>
      <c r="D18" s="58"/>
      <c r="E18" s="58"/>
      <c r="F18" s="58"/>
      <c r="G18" s="58"/>
      <c r="H18" s="62" t="s">
        <v>217</v>
      </c>
      <c r="I18" s="63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12"/>
      <c r="V18" s="12"/>
    </row>
    <row r="19" spans="1:30" ht="18" x14ac:dyDescent="0.25">
      <c r="A19" s="10" t="s">
        <v>138</v>
      </c>
      <c r="B19" s="59">
        <f>LN(B32)</f>
        <v>3.2919525795574893</v>
      </c>
      <c r="C19" s="58"/>
      <c r="D19" s="58"/>
      <c r="E19" s="58"/>
      <c r="F19" s="58"/>
      <c r="H19" s="62" t="s">
        <v>217</v>
      </c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12"/>
      <c r="V19" s="12"/>
    </row>
    <row r="20" spans="1:30" x14ac:dyDescent="0.25">
      <c r="A20" s="10" t="s">
        <v>98</v>
      </c>
      <c r="B20" s="10">
        <f>MIN(11.5,MAX(B31/B9,1.8))</f>
        <v>1.8</v>
      </c>
      <c r="H20" s="15" t="s">
        <v>219</v>
      </c>
      <c r="I20" s="6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12"/>
      <c r="V20" s="12"/>
    </row>
    <row r="21" spans="1:30" x14ac:dyDescent="0.25">
      <c r="I21" s="66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12"/>
      <c r="V21" s="12"/>
      <c r="X21" s="10"/>
      <c r="Y21" s="10"/>
      <c r="Z21" s="10"/>
      <c r="AA21" s="10"/>
      <c r="AB21" s="10"/>
      <c r="AC21" s="10"/>
      <c r="AD21" s="10"/>
    </row>
    <row r="22" spans="1:30" ht="15.75" thickBot="1" x14ac:dyDescent="0.3">
      <c r="A22" s="153" t="s">
        <v>220</v>
      </c>
      <c r="B22" s="153"/>
      <c r="C22" s="153"/>
      <c r="D22" s="153"/>
      <c r="E22" s="153"/>
      <c r="F22" s="153"/>
      <c r="G22" s="153"/>
      <c r="H22" s="153"/>
      <c r="I22" s="63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12"/>
      <c r="V22" s="12"/>
    </row>
    <row r="23" spans="1:30" ht="18.75" thickTop="1" x14ac:dyDescent="0.25">
      <c r="A23" s="17" t="s">
        <v>221</v>
      </c>
      <c r="B23" s="17" t="s">
        <v>200</v>
      </c>
      <c r="C23" s="17" t="s">
        <v>201</v>
      </c>
      <c r="D23" s="17" t="s">
        <v>202</v>
      </c>
      <c r="E23" s="17" t="s">
        <v>203</v>
      </c>
      <c r="F23" s="17" t="s">
        <v>204</v>
      </c>
      <c r="G23" s="55" t="s">
        <v>205</v>
      </c>
      <c r="H23" s="55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12"/>
      <c r="V23" s="12"/>
    </row>
    <row r="24" spans="1:30" x14ac:dyDescent="0.25">
      <c r="A24" s="13" t="s">
        <v>222</v>
      </c>
      <c r="B24" s="48">
        <v>45</v>
      </c>
      <c r="C24" s="58"/>
      <c r="D24" s="58">
        <v>10</v>
      </c>
      <c r="E24" s="10">
        <v>15</v>
      </c>
      <c r="F24" s="10">
        <v>89</v>
      </c>
      <c r="G24" s="10" t="s">
        <v>35</v>
      </c>
      <c r="H24" s="49" t="s">
        <v>223</v>
      </c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12"/>
      <c r="V24" s="12"/>
    </row>
    <row r="25" spans="1:30" x14ac:dyDescent="0.25">
      <c r="A25" s="10" t="s">
        <v>95</v>
      </c>
      <c r="B25" s="48" t="s">
        <v>121</v>
      </c>
      <c r="D25" s="58"/>
      <c r="H25" s="49" t="s">
        <v>224</v>
      </c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12"/>
      <c r="V25" s="12"/>
    </row>
    <row r="26" spans="1:30" x14ac:dyDescent="0.25">
      <c r="A26" s="10" t="s">
        <v>96</v>
      </c>
      <c r="B26" s="48" t="s">
        <v>123</v>
      </c>
      <c r="D26" s="58"/>
      <c r="H26" s="49" t="s">
        <v>225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AA26" s="8"/>
      <c r="AB26" s="1"/>
    </row>
    <row r="27" spans="1:30" ht="17.25" x14ac:dyDescent="0.25">
      <c r="A27" s="13" t="s">
        <v>129</v>
      </c>
      <c r="B27" s="10">
        <f>IF(B26="Medium Dense (Sand)",18,IF(B26="Dense (Sand)",18.5,IF(B26="Very Dense (Sand)",19,IF(B26="Soft (Clay)",17.5,IF(B26="Medium (Clay)",18,IF(B26="Stiff (Clay)",18.5,0))))))</f>
        <v>19</v>
      </c>
      <c r="D27" s="58"/>
      <c r="H27" s="15" t="s">
        <v>226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AA27" s="8"/>
      <c r="AB27" s="1"/>
    </row>
    <row r="28" spans="1:30" ht="17.25" x14ac:dyDescent="0.25">
      <c r="A28" s="13" t="s">
        <v>130</v>
      </c>
      <c r="B28" s="10">
        <f>IF(B26="Medium Dense (Sand)",37,IF(B26="Dense (Sand)",40,IF(B26="Very Dense (Sand)",43,0)))</f>
        <v>43</v>
      </c>
      <c r="D28" s="58"/>
      <c r="H28" s="49" t="s">
        <v>227</v>
      </c>
      <c r="J28" s="16"/>
      <c r="K28" s="16"/>
    </row>
    <row r="29" spans="1:30" ht="18" x14ac:dyDescent="0.25">
      <c r="A29" s="10" t="s">
        <v>131</v>
      </c>
      <c r="B29" s="10">
        <f>IF(B26="Soft (Clay)",37.5,IF(B26="Medium (Clay)",75,IF(B26="Stiff (Clay)",125,0)))</f>
        <v>0</v>
      </c>
      <c r="D29" s="58"/>
      <c r="H29" s="49" t="s">
        <v>228</v>
      </c>
    </row>
    <row r="30" spans="1:30" x14ac:dyDescent="0.25">
      <c r="A30" s="13" t="s">
        <v>132</v>
      </c>
      <c r="B30" s="10">
        <f>IF(B26="Soft (Clay)",1.1,IF(B26="Medium (Clay)",0.72,IF(B26="Stiff (Clay)",0.4,0)))</f>
        <v>0</v>
      </c>
      <c r="D30" s="58"/>
      <c r="H30" s="49" t="s">
        <v>229</v>
      </c>
      <c r="L30" s="67"/>
    </row>
    <row r="31" spans="1:30" x14ac:dyDescent="0.25">
      <c r="A31" s="10" t="s">
        <v>97</v>
      </c>
      <c r="B31" s="48">
        <v>0.8</v>
      </c>
      <c r="D31" s="58"/>
      <c r="H31" s="49" t="s">
        <v>230</v>
      </c>
      <c r="J31" s="16"/>
      <c r="K31" s="16"/>
      <c r="L31" s="12"/>
    </row>
    <row r="32" spans="1:30" ht="18" x14ac:dyDescent="0.25">
      <c r="A32" s="10" t="s">
        <v>133</v>
      </c>
      <c r="B32" s="68">
        <f>IF(B25="Cohesionless (Sand)", PI() * B9 * B31*B27* 0.5 * (1 + (1 - SIN(RADIANS(B28)))) * TAN(RADIANS(0.9*B28)), PI() * B9 * B30 * B29)</f>
        <v>26.895327686165491</v>
      </c>
      <c r="C32" s="65" t="s">
        <v>231</v>
      </c>
      <c r="D32" s="58"/>
      <c r="E32" s="65"/>
      <c r="F32" s="65"/>
      <c r="H32" s="15" t="s">
        <v>232</v>
      </c>
      <c r="L32" s="12"/>
    </row>
    <row r="33" spans="1:12" ht="18" x14ac:dyDescent="0.25">
      <c r="A33" s="10" t="s">
        <v>134</v>
      </c>
      <c r="B33" s="68">
        <v>18.784824717152006</v>
      </c>
      <c r="C33" s="65"/>
      <c r="D33" s="58"/>
      <c r="E33" s="65"/>
      <c r="F33" s="65"/>
      <c r="H33" s="15" t="s">
        <v>233</v>
      </c>
      <c r="L33" s="12"/>
    </row>
    <row r="34" spans="1:12" ht="18" x14ac:dyDescent="0.25">
      <c r="A34" s="10" t="s">
        <v>135</v>
      </c>
      <c r="B34" s="68">
        <f>MIN(80,EXP(0.18*B28-2.5))</f>
        <v>80</v>
      </c>
      <c r="C34" s="65"/>
      <c r="D34" s="58"/>
      <c r="E34" s="65"/>
      <c r="F34" s="65"/>
      <c r="H34" s="15" t="s">
        <v>234</v>
      </c>
      <c r="L34" s="12"/>
    </row>
    <row r="35" spans="1:12" ht="18" x14ac:dyDescent="0.25">
      <c r="A35" s="10" t="s">
        <v>136</v>
      </c>
      <c r="B35" s="68">
        <f>IF(B25="Cohesionless (Sand)",B33*B27*B31*B9 + 0.5*B27*(B9^2)*B34,5.14*B29*B9)</f>
        <v>1169.5299977255181</v>
      </c>
      <c r="C35" s="65"/>
      <c r="D35" s="58"/>
      <c r="E35" s="65"/>
      <c r="F35" s="65"/>
      <c r="H35" s="15"/>
      <c r="L35" s="12"/>
    </row>
    <row r="36" spans="1:12" ht="18" x14ac:dyDescent="0.25">
      <c r="A36" s="10" t="s">
        <v>235</v>
      </c>
      <c r="B36" s="68">
        <f>LN(B35)</f>
        <v>7.0643572357384734</v>
      </c>
      <c r="C36" s="65"/>
      <c r="D36" s="58"/>
      <c r="E36" s="65"/>
      <c r="F36" s="65"/>
      <c r="H36" s="15"/>
      <c r="L36" s="12"/>
    </row>
    <row r="37" spans="1:12" ht="15.75" thickBot="1" x14ac:dyDescent="0.3">
      <c r="A37" s="17"/>
      <c r="C37" s="15"/>
      <c r="D37" s="15"/>
      <c r="E37" s="69"/>
      <c r="F37" s="69"/>
      <c r="G37" s="69"/>
      <c r="H37" s="69"/>
      <c r="L37" s="12"/>
    </row>
    <row r="38" spans="1:12" ht="15.75" thickTop="1" x14ac:dyDescent="0.25">
      <c r="A38" s="70" t="s">
        <v>236</v>
      </c>
      <c r="B38" s="71"/>
      <c r="C38" s="71"/>
      <c r="D38" s="71"/>
      <c r="L38" s="11"/>
    </row>
    <row r="39" spans="1:12" ht="18" x14ac:dyDescent="0.25">
      <c r="A39" s="10" t="s">
        <v>139</v>
      </c>
      <c r="B39" s="72">
        <v>3.7532999999999999</v>
      </c>
      <c r="D39" s="10" t="s">
        <v>147</v>
      </c>
      <c r="E39" s="72">
        <v>-1.1082000000000001</v>
      </c>
      <c r="H39" s="15"/>
      <c r="L39" s="11"/>
    </row>
    <row r="40" spans="1:12" ht="18" x14ac:dyDescent="0.25">
      <c r="A40" s="10" t="s">
        <v>140</v>
      </c>
      <c r="B40" s="72">
        <v>0.14510000000000001</v>
      </c>
      <c r="D40" s="10" t="s">
        <v>148</v>
      </c>
      <c r="E40" s="72">
        <v>0.10630000000000001</v>
      </c>
      <c r="H40" s="15"/>
      <c r="L40" s="12"/>
    </row>
    <row r="41" spans="1:12" ht="18" x14ac:dyDescent="0.25">
      <c r="A41" s="10" t="s">
        <v>141</v>
      </c>
      <c r="B41" s="72">
        <v>1.2497</v>
      </c>
      <c r="D41" s="10" t="s">
        <v>149</v>
      </c>
      <c r="E41" s="72">
        <v>-0.1439</v>
      </c>
      <c r="H41" s="15"/>
    </row>
    <row r="42" spans="1:12" ht="18" x14ac:dyDescent="0.25">
      <c r="A42" s="10" t="s">
        <v>142</v>
      </c>
      <c r="B42" s="72">
        <v>-0.46100000000000002</v>
      </c>
      <c r="D42" s="10" t="s">
        <v>150</v>
      </c>
      <c r="E42" s="2">
        <v>0.27879999999999999</v>
      </c>
      <c r="F42"/>
      <c r="H42" s="15"/>
    </row>
    <row r="43" spans="1:12" ht="18" x14ac:dyDescent="0.25">
      <c r="A43" s="10" t="s">
        <v>143</v>
      </c>
      <c r="B43" s="72">
        <v>0.39140000000000003</v>
      </c>
      <c r="D43" s="10" t="s">
        <v>151</v>
      </c>
      <c r="E43" s="72">
        <v>-0.31030000000000002</v>
      </c>
      <c r="F43" s="73"/>
      <c r="H43" s="15"/>
    </row>
    <row r="44" spans="1:12" ht="18" x14ac:dyDescent="0.25">
      <c r="A44" s="10" t="s">
        <v>144</v>
      </c>
      <c r="B44" s="72">
        <v>-0.21310000000000001</v>
      </c>
      <c r="C44" s="1"/>
      <c r="D44" s="10" t="s">
        <v>152</v>
      </c>
      <c r="E44" s="72">
        <v>1.2553000000000001</v>
      </c>
      <c r="F44" s="73"/>
      <c r="H44" s="15"/>
    </row>
    <row r="45" spans="1:12" ht="18" x14ac:dyDescent="0.25">
      <c r="A45" s="10" t="s">
        <v>145</v>
      </c>
      <c r="B45" s="72">
        <v>-0.34139999999999998</v>
      </c>
      <c r="D45" s="10" t="s">
        <v>153</v>
      </c>
      <c r="E45" s="72">
        <v>2.9999999999999997E-4</v>
      </c>
      <c r="F45" s="73"/>
      <c r="H45" s="15"/>
    </row>
    <row r="46" spans="1:12" ht="18" x14ac:dyDescent="0.25">
      <c r="A46" s="10" t="s">
        <v>146</v>
      </c>
      <c r="B46" s="72">
        <f>B39+B40*B17 + B41*LN(B9) + B42*B18 + B43*B16 + B44*B36 + B45*B19</f>
        <v>-5.0124646637818238E-2</v>
      </c>
      <c r="D46" s="10" t="s">
        <v>154</v>
      </c>
      <c r="E46" s="72">
        <v>5.1999999999999998E-3</v>
      </c>
      <c r="F46" s="73"/>
      <c r="H46" s="15"/>
      <c r="J46"/>
      <c r="K46"/>
      <c r="L46"/>
    </row>
    <row r="47" spans="1:12" ht="18" x14ac:dyDescent="0.25">
      <c r="B47" s="74"/>
      <c r="D47" s="10" t="s">
        <v>155</v>
      </c>
      <c r="E47" s="72">
        <v>-8.5900000000000004E-2</v>
      </c>
      <c r="F47" s="73"/>
      <c r="H47" s="15"/>
      <c r="L47"/>
    </row>
    <row r="48" spans="1:12" ht="18" x14ac:dyDescent="0.25">
      <c r="B48" s="74"/>
      <c r="D48" s="10" t="s">
        <v>156</v>
      </c>
      <c r="E48" s="72">
        <v>5.9999999999999995E-4</v>
      </c>
      <c r="F48" s="73"/>
      <c r="H48" s="15"/>
      <c r="L48"/>
    </row>
    <row r="49" spans="1:12" ht="18" x14ac:dyDescent="0.25">
      <c r="B49" s="74"/>
      <c r="D49" s="10" t="s">
        <v>157</v>
      </c>
      <c r="E49" s="72">
        <v>-0.21759999999999999</v>
      </c>
      <c r="F49" s="73"/>
      <c r="H49" s="15"/>
      <c r="L49"/>
    </row>
    <row r="50" spans="1:12" ht="18" x14ac:dyDescent="0.25">
      <c r="B50" s="74"/>
      <c r="D50" s="10" t="s">
        <v>158</v>
      </c>
      <c r="E50" s="72">
        <v>-2.69E-2</v>
      </c>
      <c r="F50" s="73"/>
      <c r="H50" s="15"/>
      <c r="L50"/>
    </row>
    <row r="51" spans="1:12" ht="18" x14ac:dyDescent="0.25">
      <c r="B51" s="74"/>
      <c r="D51" s="10" t="s">
        <v>159</v>
      </c>
      <c r="E51" s="72">
        <v>0.57389999999999997</v>
      </c>
      <c r="F51" s="73"/>
      <c r="H51" s="15"/>
      <c r="L51"/>
    </row>
    <row r="52" spans="1:12" ht="18" x14ac:dyDescent="0.25">
      <c r="B52" s="74"/>
      <c r="D52" s="10" t="s">
        <v>160</v>
      </c>
      <c r="E52" s="72">
        <v>0.34460000000000002</v>
      </c>
      <c r="F52" s="73"/>
      <c r="H52" s="15"/>
      <c r="L52"/>
    </row>
    <row r="53" spans="1:12" ht="18" x14ac:dyDescent="0.25">
      <c r="B53" s="74"/>
      <c r="D53" s="10" t="s">
        <v>161</v>
      </c>
      <c r="E53" s="72">
        <f>IF(B61&lt;B46,1,0)</f>
        <v>0</v>
      </c>
      <c r="F53" s="73"/>
      <c r="H53" s="15"/>
      <c r="L53"/>
    </row>
    <row r="54" spans="1:12" ht="18" x14ac:dyDescent="0.25">
      <c r="B54" s="74"/>
      <c r="D54" s="10" t="s">
        <v>162</v>
      </c>
      <c r="E54" s="5">
        <f>IF(B12&lt;100,1,0)</f>
        <v>0</v>
      </c>
      <c r="F54" s="73"/>
      <c r="H54" s="15"/>
      <c r="L54"/>
    </row>
    <row r="55" spans="1:12" ht="18" x14ac:dyDescent="0.25">
      <c r="B55" s="74"/>
      <c r="D55" s="10" t="s">
        <v>163</v>
      </c>
      <c r="E55" s="72">
        <f>IF(B25="Cohesionless (Sand)",1,0)</f>
        <v>1</v>
      </c>
      <c r="F55" s="73"/>
      <c r="H55" s="15"/>
      <c r="L55"/>
    </row>
    <row r="56" spans="1:12" ht="18" x14ac:dyDescent="0.25">
      <c r="B56" s="74"/>
      <c r="D56" s="10" t="s">
        <v>164</v>
      </c>
      <c r="E56" s="72">
        <f>E53 * (E44+E45*B32 + E46*E54*(B12-100) + E47*(1-E54) + E48*B11) + (1-E53) * (E49 + E50*E54*(B12-100) + E51*(1-E54) + E52*B16)</f>
        <v>0.57823004567910519</v>
      </c>
      <c r="F56" s="73"/>
      <c r="H56" s="15"/>
      <c r="L56"/>
    </row>
    <row r="57" spans="1:12" x14ac:dyDescent="0.25">
      <c r="B57" s="74"/>
      <c r="D57" s="73"/>
      <c r="F57" s="73"/>
      <c r="H57" s="15"/>
      <c r="L57"/>
    </row>
    <row r="58" spans="1:12" x14ac:dyDescent="0.25">
      <c r="B58" s="73"/>
      <c r="D58" s="73"/>
      <c r="F58" s="73"/>
      <c r="H58" s="15"/>
      <c r="J58"/>
      <c r="K58"/>
      <c r="L58"/>
    </row>
    <row r="59" spans="1:12" ht="15.75" thickBot="1" x14ac:dyDescent="0.3">
      <c r="A59" s="75" t="s">
        <v>237</v>
      </c>
      <c r="B59" s="69"/>
      <c r="C59" s="69"/>
      <c r="D59" s="69"/>
      <c r="E59" s="69"/>
      <c r="F59" s="69"/>
      <c r="G59" s="69"/>
      <c r="H59" s="69"/>
      <c r="J59" s="16"/>
      <c r="K59" s="16"/>
      <c r="L59"/>
    </row>
    <row r="60" spans="1:12" ht="15.75" thickTop="1" x14ac:dyDescent="0.25">
      <c r="A60" s="18" t="s">
        <v>238</v>
      </c>
      <c r="B60" s="76">
        <v>2.2400000000000002</v>
      </c>
      <c r="C60" s="15"/>
      <c r="D60" s="15"/>
      <c r="E60" s="15"/>
      <c r="F60" s="15"/>
      <c r="H60" s="15" t="s">
        <v>239</v>
      </c>
      <c r="J60" s="17"/>
      <c r="L60"/>
    </row>
    <row r="61" spans="1:12" x14ac:dyDescent="0.25">
      <c r="A61" s="18" t="s">
        <v>240</v>
      </c>
      <c r="B61" s="10">
        <f>LN(B60)</f>
        <v>0.80647586586694853</v>
      </c>
      <c r="C61" s="15"/>
      <c r="D61" s="15"/>
      <c r="E61" s="15"/>
      <c r="F61" s="15"/>
      <c r="H61" s="62" t="s">
        <v>217</v>
      </c>
      <c r="J61" s="17"/>
      <c r="L61"/>
    </row>
    <row r="62" spans="1:12" x14ac:dyDescent="0.25">
      <c r="J62" s="17"/>
      <c r="L62" s="12"/>
    </row>
    <row r="63" spans="1:12" ht="15.75" thickBot="1" x14ac:dyDescent="0.3">
      <c r="A63" s="75" t="s">
        <v>241</v>
      </c>
      <c r="B63" s="69"/>
      <c r="C63" s="69"/>
      <c r="D63" s="69"/>
      <c r="E63" s="69"/>
      <c r="F63" s="69"/>
      <c r="G63" s="69"/>
      <c r="H63" s="69"/>
      <c r="J63" s="17"/>
      <c r="L63" s="12"/>
    </row>
    <row r="64" spans="1:12" ht="15.75" thickTop="1" x14ac:dyDescent="0.25">
      <c r="A64" s="17" t="s">
        <v>110</v>
      </c>
      <c r="B64" s="72">
        <f>B61-B46</f>
        <v>0.85660051250476676</v>
      </c>
      <c r="D64" s="15"/>
      <c r="E64" s="15"/>
      <c r="F64" s="15"/>
      <c r="H64" s="62" t="s">
        <v>217</v>
      </c>
      <c r="J64" s="17"/>
      <c r="L64" s="12"/>
    </row>
    <row r="65" spans="1:21" x14ac:dyDescent="0.25">
      <c r="A65" s="17" t="s">
        <v>111</v>
      </c>
      <c r="B65" s="72">
        <f>E56*B64</f>
        <v>0.49531215347437618</v>
      </c>
      <c r="C65" s="15"/>
      <c r="D65" s="15"/>
      <c r="E65" s="15"/>
      <c r="F65" s="15"/>
      <c r="H65" s="62" t="s">
        <v>217</v>
      </c>
      <c r="J65" s="17"/>
      <c r="L65" s="12"/>
    </row>
    <row r="66" spans="1:21" x14ac:dyDescent="0.25">
      <c r="A66" s="17" t="s">
        <v>112</v>
      </c>
      <c r="B66" s="72">
        <f>E40*B18</f>
        <v>0.50157643001866858</v>
      </c>
      <c r="C66" s="15"/>
      <c r="D66" s="15"/>
      <c r="E66" s="15"/>
      <c r="F66" s="15"/>
      <c r="H66" s="62" t="s">
        <v>217</v>
      </c>
      <c r="J66" s="17"/>
      <c r="L66" s="12"/>
    </row>
    <row r="67" spans="1:21" x14ac:dyDescent="0.25">
      <c r="A67" s="17" t="s">
        <v>113</v>
      </c>
      <c r="B67" s="77">
        <f>E41*E55*B19</f>
        <v>-0.47371197619832273</v>
      </c>
      <c r="C67" s="15"/>
      <c r="D67" s="15"/>
      <c r="E67" s="15"/>
      <c r="F67" s="15"/>
      <c r="H67" s="62" t="s">
        <v>217</v>
      </c>
      <c r="J67" s="17"/>
      <c r="L67" s="12"/>
    </row>
    <row r="68" spans="1:21" x14ac:dyDescent="0.25">
      <c r="A68" s="17" t="s">
        <v>114</v>
      </c>
      <c r="B68" s="77">
        <f>E42*B36</f>
        <v>1.9695427973238864</v>
      </c>
      <c r="C68" s="15"/>
      <c r="D68" s="15"/>
      <c r="E68" s="15"/>
      <c r="F68" s="15"/>
      <c r="H68" s="62" t="s">
        <v>217</v>
      </c>
      <c r="J68" s="17"/>
      <c r="L68" s="12"/>
    </row>
    <row r="69" spans="1:21" x14ac:dyDescent="0.25">
      <c r="A69" s="17" t="s">
        <v>115</v>
      </c>
      <c r="B69" s="77">
        <f>E43*LN(B9)</f>
        <v>-2.0065088184971575E-2</v>
      </c>
      <c r="C69" s="15"/>
      <c r="D69" s="15"/>
      <c r="E69" s="15"/>
      <c r="F69" s="15"/>
      <c r="H69" s="62" t="s">
        <v>217</v>
      </c>
      <c r="J69" s="17"/>
      <c r="L69" s="12"/>
    </row>
    <row r="70" spans="1:21" ht="18" x14ac:dyDescent="0.25">
      <c r="A70" s="17" t="s">
        <v>242</v>
      </c>
      <c r="B70" s="77">
        <f>E39+B65+B66+B67+B68+B69</f>
        <v>1.3644543164336369</v>
      </c>
      <c r="C70" s="15"/>
      <c r="D70" s="15"/>
      <c r="E70" s="15"/>
      <c r="F70" s="15"/>
      <c r="H70" s="62" t="s">
        <v>217</v>
      </c>
      <c r="J70" s="17"/>
      <c r="L70" s="12"/>
    </row>
    <row r="71" spans="1:21" x14ac:dyDescent="0.25">
      <c r="A71" s="17" t="s">
        <v>116</v>
      </c>
      <c r="B71" s="78">
        <f>EXP(B70)</f>
        <v>3.9135868891603036</v>
      </c>
      <c r="C71" s="15"/>
      <c r="D71" s="15"/>
      <c r="E71" s="15"/>
      <c r="F71" s="15"/>
      <c r="H71" s="15" t="s">
        <v>243</v>
      </c>
      <c r="J71" s="17"/>
      <c r="L71" s="12"/>
    </row>
    <row r="72" spans="1:21" x14ac:dyDescent="0.25">
      <c r="A72" s="17" t="s">
        <v>244</v>
      </c>
      <c r="B72" s="79">
        <v>0.3</v>
      </c>
      <c r="D72" s="15"/>
      <c r="E72" s="15"/>
      <c r="F72" s="15"/>
      <c r="H72" s="15" t="s">
        <v>245</v>
      </c>
      <c r="J72" s="17"/>
      <c r="L72" s="12"/>
    </row>
    <row r="73" spans="1:21" x14ac:dyDescent="0.25">
      <c r="D73" s="15"/>
      <c r="E73" s="15"/>
      <c r="F73" s="15"/>
      <c r="J73" s="17"/>
      <c r="L73" s="12"/>
    </row>
    <row r="74" spans="1:21" x14ac:dyDescent="0.25">
      <c r="A74"/>
      <c r="B74"/>
      <c r="C74"/>
      <c r="J74" s="17"/>
      <c r="L74" s="12"/>
    </row>
    <row r="75" spans="1:21" x14ac:dyDescent="0.25">
      <c r="J75" s="17"/>
      <c r="L75" s="12"/>
    </row>
    <row r="76" spans="1:21" x14ac:dyDescent="0.25">
      <c r="A76" s="10" t="s">
        <v>246</v>
      </c>
      <c r="J76" s="17"/>
      <c r="L76" s="12"/>
    </row>
    <row r="77" spans="1:21" x14ac:dyDescent="0.25">
      <c r="A77" s="15" t="s">
        <v>247</v>
      </c>
      <c r="J77" s="17"/>
    </row>
    <row r="78" spans="1:21" x14ac:dyDescent="0.25">
      <c r="A78" s="15" t="s">
        <v>248</v>
      </c>
    </row>
    <row r="79" spans="1:21" x14ac:dyDescent="0.25">
      <c r="J79" s="16"/>
      <c r="K79" s="16"/>
      <c r="L79" s="16"/>
    </row>
    <row r="80" spans="1:21" x14ac:dyDescent="0.25">
      <c r="K80" s="80"/>
      <c r="L80" s="81"/>
      <c r="U80" s="10"/>
    </row>
    <row r="81" spans="1:22" x14ac:dyDescent="0.25">
      <c r="A81" s="47" t="s">
        <v>249</v>
      </c>
      <c r="B81" s="48"/>
      <c r="C81" s="48"/>
      <c r="D81" s="48"/>
      <c r="E81" s="48"/>
      <c r="F81" s="48"/>
      <c r="G81" s="48"/>
      <c r="H81" s="48"/>
      <c r="K81" s="82"/>
      <c r="L81" s="81"/>
      <c r="N81" s="67"/>
      <c r="U81" s="10"/>
      <c r="V81" s="10"/>
    </row>
    <row r="82" spans="1:22" x14ac:dyDescent="0.25">
      <c r="A82" s="15" t="s">
        <v>250</v>
      </c>
      <c r="K82" s="82"/>
      <c r="L82" s="81"/>
      <c r="N82" s="67"/>
      <c r="U82" s="10"/>
      <c r="V82" s="10"/>
    </row>
    <row r="83" spans="1:22" x14ac:dyDescent="0.25">
      <c r="A83" s="83" t="s">
        <v>238</v>
      </c>
      <c r="B83" s="83" t="s">
        <v>251</v>
      </c>
      <c r="C83" s="33" t="s">
        <v>252</v>
      </c>
      <c r="D83"/>
      <c r="E83" s="150" t="s">
        <v>253</v>
      </c>
      <c r="F83" s="150"/>
      <c r="G83" s="15" t="s">
        <v>254</v>
      </c>
      <c r="K83" s="82"/>
      <c r="L83" s="81"/>
      <c r="N83" s="67"/>
      <c r="U83" s="10"/>
      <c r="V83" s="10"/>
    </row>
    <row r="84" spans="1:22" ht="15.75" x14ac:dyDescent="0.25">
      <c r="A84" s="84">
        <v>0.01</v>
      </c>
      <c r="B84" s="84">
        <f>SQRT(A84*A85)</f>
        <v>1.222844544993852E-2</v>
      </c>
      <c r="C84" s="84">
        <f>IF($B84&lt;F$85,0,NORMDIST(LN($B84),LN(F$84),F$86,1))</f>
        <v>1.9085875631063436E-18</v>
      </c>
      <c r="D84"/>
      <c r="E84" s="85" t="s">
        <v>255</v>
      </c>
      <c r="F84" s="86">
        <f>B60</f>
        <v>2.2400000000000002</v>
      </c>
      <c r="G84" s="15" t="s">
        <v>256</v>
      </c>
      <c r="K84" s="82"/>
      <c r="L84" s="81"/>
      <c r="N84" s="67"/>
      <c r="U84" s="10"/>
      <c r="V84" s="10"/>
    </row>
    <row r="85" spans="1:22" ht="15.75" x14ac:dyDescent="0.25">
      <c r="A85" s="84">
        <f>EXP(LN(A88/A84)/4+LN(A84))</f>
        <v>1.4953487812212209E-2</v>
      </c>
      <c r="B85" s="84">
        <f t="shared" ref="B85:B127" si="2">SQRT(A85*A86)</f>
        <v>1.8285790999795749E-2</v>
      </c>
      <c r="C85" s="84">
        <f t="shared" ref="C85:C128" si="3">IF($B85&lt;F$85,0,NORMDIST(LN($B85),LN(F$84),F$86,1))</f>
        <v>5.5739467408180941E-16</v>
      </c>
      <c r="D85"/>
      <c r="E85" s="85" t="s">
        <v>257</v>
      </c>
      <c r="F85">
        <v>0.01</v>
      </c>
      <c r="G85" s="15" t="s">
        <v>258</v>
      </c>
      <c r="K85" s="82"/>
      <c r="L85" s="81"/>
      <c r="N85" s="67"/>
      <c r="U85" s="10"/>
      <c r="V85" s="10"/>
    </row>
    <row r="86" spans="1:22" ht="15.75" x14ac:dyDescent="0.25">
      <c r="A86" s="84">
        <f>EXP(2*LN(A88/A84)/4+LN(A84))</f>
        <v>2.2360679774997907E-2</v>
      </c>
      <c r="B86" s="84">
        <f t="shared" si="2"/>
        <v>2.7343635285210541E-2</v>
      </c>
      <c r="C86" s="84">
        <f t="shared" si="3"/>
        <v>1.0449777157001486E-13</v>
      </c>
      <c r="D86"/>
      <c r="E86" s="87" t="s">
        <v>201</v>
      </c>
      <c r="F86">
        <v>0.6</v>
      </c>
      <c r="G86" s="15" t="s">
        <v>259</v>
      </c>
      <c r="K86" s="82"/>
      <c r="L86" s="81"/>
      <c r="N86" s="67"/>
      <c r="U86" s="10"/>
      <c r="V86" s="10"/>
    </row>
    <row r="87" spans="1:22" x14ac:dyDescent="0.25">
      <c r="A87" s="84">
        <f>EXP(3*LN(A88/A84)/4+LN(A84))</f>
        <v>3.343701524882111E-2</v>
      </c>
      <c r="B87" s="84">
        <f t="shared" si="2"/>
        <v>4.0888271697897133E-2</v>
      </c>
      <c r="C87" s="84">
        <f t="shared" si="3"/>
        <v>1.2590128861359489E-11</v>
      </c>
      <c r="D87"/>
      <c r="E87"/>
      <c r="F87"/>
      <c r="K87" s="82"/>
      <c r="L87" s="81"/>
      <c r="N87" s="67"/>
      <c r="U87" s="10"/>
      <c r="V87" s="10"/>
    </row>
    <row r="88" spans="1:22" ht="15.75" x14ac:dyDescent="0.25">
      <c r="A88" s="84">
        <v>0.05</v>
      </c>
      <c r="B88" s="84">
        <f t="shared" si="2"/>
        <v>5.4525386633262889E-2</v>
      </c>
      <c r="C88" s="84">
        <f t="shared" si="3"/>
        <v>2.9588405440300864E-10</v>
      </c>
      <c r="D88"/>
      <c r="E88" s="85" t="s">
        <v>260</v>
      </c>
      <c r="F88"/>
      <c r="K88" s="82"/>
      <c r="L88" s="88"/>
      <c r="N88" s="67"/>
      <c r="U88" s="10"/>
      <c r="V88" s="10"/>
    </row>
    <row r="89" spans="1:22" ht="15.75" x14ac:dyDescent="0.25">
      <c r="A89" s="84">
        <f>EXP(LN(A92/A88)/4+LN(A88))</f>
        <v>5.9460355750136064E-2</v>
      </c>
      <c r="B89" s="84">
        <f t="shared" si="2"/>
        <v>6.4841977732550501E-2</v>
      </c>
      <c r="C89" s="84">
        <f t="shared" si="3"/>
        <v>1.7761506845068918E-9</v>
      </c>
      <c r="D89"/>
      <c r="E89" s="85" t="s">
        <v>261</v>
      </c>
      <c r="F89"/>
      <c r="K89" s="82"/>
      <c r="L89" s="81"/>
      <c r="N89" s="67"/>
      <c r="U89" s="10"/>
      <c r="V89" s="10"/>
    </row>
    <row r="90" spans="1:22" ht="15.75" x14ac:dyDescent="0.25">
      <c r="A90" s="84">
        <f>EXP(2*LN(A92/A88)/4+LN(A88))</f>
        <v>7.0710678118654766E-2</v>
      </c>
      <c r="B90" s="84">
        <f t="shared" si="2"/>
        <v>7.7110541270397057E-2</v>
      </c>
      <c r="C90" s="84">
        <f t="shared" si="3"/>
        <v>9.8289505132512206E-9</v>
      </c>
      <c r="D90"/>
      <c r="E90" s="85" t="s">
        <v>262</v>
      </c>
      <c r="F90"/>
      <c r="K90" s="82"/>
      <c r="L90" s="81"/>
      <c r="U90" s="10"/>
    </row>
    <row r="91" spans="1:22" x14ac:dyDescent="0.25">
      <c r="A91" s="84">
        <f>EXP(3*LN(A92/A88)/4+LN(A88))</f>
        <v>8.4089641525371475E-2</v>
      </c>
      <c r="B91" s="84">
        <f t="shared" si="2"/>
        <v>9.1700404320467138E-2</v>
      </c>
      <c r="C91" s="84">
        <f t="shared" si="3"/>
        <v>5.0151545683384232E-8</v>
      </c>
      <c r="D91"/>
      <c r="E91"/>
      <c r="F91"/>
      <c r="K91" s="82"/>
      <c r="L91" s="81"/>
      <c r="U91" s="10"/>
    </row>
    <row r="92" spans="1:22" x14ac:dyDescent="0.25">
      <c r="A92" s="84">
        <v>0.1</v>
      </c>
      <c r="B92" s="84">
        <f t="shared" si="2"/>
        <v>0.10905077326652579</v>
      </c>
      <c r="C92" s="84">
        <f t="shared" si="3"/>
        <v>2.3599506752386917E-7</v>
      </c>
      <c r="D92"/>
      <c r="E92"/>
      <c r="F92"/>
      <c r="K92" s="82"/>
      <c r="L92" s="81"/>
      <c r="U92" s="10"/>
    </row>
    <row r="93" spans="1:22" x14ac:dyDescent="0.25">
      <c r="A93" s="84">
        <f>EXP(LN(A96/A92)/4+LN(A92))</f>
        <v>0.11892071150027214</v>
      </c>
      <c r="B93" s="84">
        <f t="shared" si="2"/>
        <v>0.129683955465101</v>
      </c>
      <c r="C93" s="84">
        <f t="shared" si="3"/>
        <v>1.0243947312270585E-6</v>
      </c>
      <c r="D93"/>
      <c r="E93"/>
      <c r="F93"/>
      <c r="K93" s="82"/>
      <c r="L93" s="81"/>
      <c r="U93" s="10"/>
    </row>
    <row r="94" spans="1:22" x14ac:dyDescent="0.25">
      <c r="A94" s="84">
        <f>EXP(2*LN(A96/A92)/4+LN(A92))</f>
        <v>0.14142135623730953</v>
      </c>
      <c r="B94" s="84">
        <f t="shared" si="2"/>
        <v>0.15422108254079411</v>
      </c>
      <c r="C94" s="84">
        <f t="shared" si="3"/>
        <v>4.1029578395117752E-6</v>
      </c>
      <c r="D94"/>
      <c r="E94"/>
      <c r="F94"/>
      <c r="K94" s="82"/>
      <c r="L94" s="81"/>
      <c r="U94" s="10"/>
    </row>
    <row r="95" spans="1:22" x14ac:dyDescent="0.25">
      <c r="A95" s="84">
        <f>EXP(3*LN(A96/A92)/4+LN(A92))</f>
        <v>0.16817928305074295</v>
      </c>
      <c r="B95" s="84">
        <f t="shared" si="2"/>
        <v>0.18340080864093428</v>
      </c>
      <c r="C95" s="84">
        <f t="shared" si="3"/>
        <v>1.5168043717758784E-5</v>
      </c>
      <c r="D95"/>
      <c r="E95"/>
      <c r="F95"/>
      <c r="K95" s="82"/>
      <c r="L95" s="81"/>
      <c r="U95" s="10"/>
    </row>
    <row r="96" spans="1:22" x14ac:dyDescent="0.25">
      <c r="A96" s="84">
        <v>0.2</v>
      </c>
      <c r="B96" s="84">
        <f t="shared" si="2"/>
        <v>0.21810154653305155</v>
      </c>
      <c r="C96" s="84">
        <f t="shared" si="3"/>
        <v>5.1775451297931329E-5</v>
      </c>
      <c r="D96"/>
      <c r="E96"/>
      <c r="F96"/>
      <c r="K96" s="82"/>
      <c r="L96" s="81"/>
      <c r="U96" s="10"/>
    </row>
    <row r="97" spans="1:31" x14ac:dyDescent="0.25">
      <c r="A97" s="84">
        <f>EXP(LN(A100/A96)/4+LN(A96))</f>
        <v>0.23784142300054423</v>
      </c>
      <c r="B97" s="84">
        <f t="shared" si="2"/>
        <v>0.25936791093020195</v>
      </c>
      <c r="C97" s="84">
        <f t="shared" si="3"/>
        <v>1.6325439882083033E-4</v>
      </c>
      <c r="D97"/>
      <c r="E97"/>
      <c r="F97"/>
      <c r="K97" s="82"/>
      <c r="L97" s="81"/>
      <c r="U97" s="10"/>
    </row>
    <row r="98" spans="1:31" x14ac:dyDescent="0.25">
      <c r="A98" s="84">
        <f>EXP(2*LN(A100/A96)/4+LN(A96))</f>
        <v>0.28284271247461906</v>
      </c>
      <c r="B98" s="84">
        <f t="shared" si="2"/>
        <v>0.30844216508158817</v>
      </c>
      <c r="C98" s="84">
        <f t="shared" si="3"/>
        <v>4.7573895813367317E-4</v>
      </c>
      <c r="D98"/>
      <c r="E98"/>
      <c r="F98"/>
      <c r="K98" s="82"/>
      <c r="L98" s="81"/>
      <c r="U98" s="10"/>
    </row>
    <row r="99" spans="1:31" x14ac:dyDescent="0.25">
      <c r="A99" s="84">
        <f>EXP(3*LN(A100/A96)/4+LN(A96))</f>
        <v>0.33635856610148579</v>
      </c>
      <c r="B99" s="84">
        <f t="shared" si="2"/>
        <v>0.3668016172818685</v>
      </c>
      <c r="C99" s="84">
        <f t="shared" si="3"/>
        <v>1.2820044461482921E-3</v>
      </c>
      <c r="D99"/>
      <c r="E99"/>
      <c r="F99"/>
    </row>
    <row r="100" spans="1:31" x14ac:dyDescent="0.25">
      <c r="A100" s="84">
        <v>0.4</v>
      </c>
      <c r="B100" s="84">
        <f t="shared" si="2"/>
        <v>0.43620309306610311</v>
      </c>
      <c r="C100" s="84">
        <f t="shared" si="3"/>
        <v>3.196891815507173E-3</v>
      </c>
      <c r="D100"/>
      <c r="E100"/>
      <c r="F100"/>
    </row>
    <row r="101" spans="1:31" x14ac:dyDescent="0.25">
      <c r="A101" s="84">
        <f>EXP(LN(A104/A100)/4+LN(A100))</f>
        <v>0.47568284600108846</v>
      </c>
      <c r="B101" s="84">
        <f t="shared" si="2"/>
        <v>0.5187358218604039</v>
      </c>
      <c r="C101" s="84">
        <f t="shared" si="3"/>
        <v>7.383147639853282E-3</v>
      </c>
      <c r="D101"/>
      <c r="E101"/>
      <c r="F101"/>
    </row>
    <row r="102" spans="1:31" x14ac:dyDescent="0.25">
      <c r="A102" s="84">
        <f>EXP(2*LN(A104/A100)/4+LN(A100))</f>
        <v>0.56568542494923801</v>
      </c>
      <c r="B102" s="84">
        <f t="shared" si="2"/>
        <v>0.61688433016317634</v>
      </c>
      <c r="C102" s="84">
        <f t="shared" si="3"/>
        <v>1.5807319603985841E-2</v>
      </c>
      <c r="D102"/>
      <c r="E102"/>
      <c r="F102"/>
      <c r="J102" s="17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</row>
    <row r="103" spans="1:31" x14ac:dyDescent="0.25">
      <c r="A103" s="84">
        <f>EXP(3*LN(A104/A100)/4+LN(A100))</f>
        <v>0.67271713220297169</v>
      </c>
      <c r="B103" s="84">
        <f t="shared" si="2"/>
        <v>0.73360323456373699</v>
      </c>
      <c r="C103" s="84">
        <f t="shared" si="3"/>
        <v>3.1411789569369651E-2</v>
      </c>
      <c r="D103"/>
      <c r="E103"/>
      <c r="F103"/>
      <c r="J103" s="17"/>
      <c r="K103" s="90"/>
      <c r="L103" s="90"/>
      <c r="M103" s="91"/>
      <c r="N103" s="91"/>
      <c r="O103" s="91"/>
      <c r="P103" s="91"/>
      <c r="Q103" s="91"/>
      <c r="R103" s="91"/>
      <c r="S103" s="91"/>
      <c r="T103" s="91"/>
      <c r="U103" s="92"/>
      <c r="AE103" s="17"/>
    </row>
    <row r="104" spans="1:31" x14ac:dyDescent="0.25">
      <c r="A104" s="84">
        <v>0.8</v>
      </c>
      <c r="B104" s="84">
        <f t="shared" si="2"/>
        <v>0.84159160440691538</v>
      </c>
      <c r="C104" s="84">
        <f t="shared" si="3"/>
        <v>5.1386056281393755E-2</v>
      </c>
      <c r="D104"/>
      <c r="E104"/>
      <c r="F104"/>
      <c r="J104" s="17"/>
      <c r="K104" s="82"/>
      <c r="L104" s="81"/>
      <c r="M104" s="93"/>
      <c r="N104" s="93"/>
      <c r="O104" s="93"/>
      <c r="P104" s="93"/>
      <c r="Q104" s="93"/>
      <c r="R104" s="93"/>
      <c r="S104" s="93"/>
      <c r="T104" s="93"/>
      <c r="U104" s="93"/>
    </row>
    <row r="105" spans="1:31" x14ac:dyDescent="0.25">
      <c r="A105" s="84">
        <f>EXP(LN(A108/A104)/4+LN(A104))</f>
        <v>0.88534553576025732</v>
      </c>
      <c r="B105" s="84">
        <f t="shared" si="2"/>
        <v>0.93137421236871865</v>
      </c>
      <c r="C105" s="84">
        <f t="shared" si="3"/>
        <v>7.1786149694018073E-2</v>
      </c>
      <c r="D105"/>
      <c r="E105"/>
      <c r="F105"/>
      <c r="J105" s="17"/>
      <c r="K105" s="82"/>
      <c r="L105" s="81"/>
      <c r="M105" s="93"/>
      <c r="N105" s="93"/>
      <c r="O105" s="93"/>
      <c r="P105" s="93"/>
      <c r="Q105" s="93"/>
      <c r="R105" s="93"/>
      <c r="S105" s="93"/>
      <c r="T105" s="93"/>
      <c r="U105" s="93"/>
    </row>
    <row r="106" spans="1:31" x14ac:dyDescent="0.25">
      <c r="A106" s="84">
        <f>EXP(2*LN(A108/A104)/4+LN(A104))</f>
        <v>0.9797958971132712</v>
      </c>
      <c r="B106" s="84">
        <f t="shared" si="2"/>
        <v>1.0307350013035885</v>
      </c>
      <c r="C106" s="84">
        <f t="shared" si="3"/>
        <v>9.788921937675657E-2</v>
      </c>
      <c r="D106"/>
      <c r="E106"/>
      <c r="F106"/>
      <c r="J106" s="17"/>
      <c r="K106" s="82"/>
      <c r="L106" s="81"/>
      <c r="M106" s="93"/>
      <c r="N106" s="93"/>
      <c r="O106" s="93"/>
      <c r="P106" s="93"/>
      <c r="Q106" s="93"/>
      <c r="R106" s="93"/>
      <c r="S106" s="93"/>
      <c r="T106" s="93"/>
      <c r="U106" s="93"/>
    </row>
    <row r="107" spans="1:31" x14ac:dyDescent="0.25">
      <c r="A107" s="84">
        <f>EXP(3*LN(A108/A104)/4+LN(A104))</f>
        <v>1.0843224043318138</v>
      </c>
      <c r="B107" s="84">
        <f t="shared" si="2"/>
        <v>1.1406957899449688</v>
      </c>
      <c r="C107" s="84">
        <f t="shared" si="3"/>
        <v>0.13035192765150305</v>
      </c>
      <c r="D107"/>
      <c r="E107" t="s">
        <v>263</v>
      </c>
      <c r="F107"/>
      <c r="J107" s="17"/>
      <c r="K107" s="82"/>
      <c r="L107" s="81"/>
      <c r="M107" s="93"/>
      <c r="N107" s="93"/>
      <c r="O107" s="93"/>
      <c r="P107" s="93"/>
      <c r="Q107" s="93"/>
      <c r="R107" s="93"/>
      <c r="S107" s="93"/>
      <c r="T107" s="93"/>
      <c r="U107" s="93"/>
    </row>
    <row r="108" spans="1:31" x14ac:dyDescent="0.25">
      <c r="A108" s="84">
        <v>1.2</v>
      </c>
      <c r="B108" s="84">
        <f t="shared" si="2"/>
        <v>1.2439375795536929</v>
      </c>
      <c r="C108" s="84">
        <f t="shared" si="3"/>
        <v>0.16346324966798531</v>
      </c>
      <c r="D108"/>
      <c r="E108" t="s">
        <v>264</v>
      </c>
      <c r="F108"/>
      <c r="J108" s="15"/>
      <c r="K108" s="82"/>
      <c r="L108" s="81"/>
      <c r="M108" s="93"/>
      <c r="N108" s="93"/>
      <c r="O108" s="93"/>
      <c r="P108" s="93"/>
      <c r="Q108" s="93"/>
      <c r="R108" s="93"/>
      <c r="S108" s="93"/>
      <c r="T108" s="93"/>
      <c r="U108" s="93"/>
    </row>
    <row r="109" spans="1:31" x14ac:dyDescent="0.25">
      <c r="A109" s="84">
        <f>EXP(LN(A112/A108)/4+LN(A108))</f>
        <v>1.2894839181882503</v>
      </c>
      <c r="B109" s="84">
        <f t="shared" si="2"/>
        <v>1.3366979200537537</v>
      </c>
      <c r="C109" s="84">
        <f t="shared" si="3"/>
        <v>0.19476889524471244</v>
      </c>
      <c r="D109"/>
      <c r="E109"/>
      <c r="F109"/>
      <c r="K109" s="82"/>
      <c r="L109" s="81"/>
      <c r="M109" s="93"/>
      <c r="N109" s="93"/>
      <c r="O109" s="93"/>
      <c r="P109" s="93"/>
      <c r="Q109" s="93"/>
      <c r="R109" s="93"/>
      <c r="S109" s="93"/>
      <c r="T109" s="93"/>
      <c r="U109" s="93"/>
    </row>
    <row r="110" spans="1:31" x14ac:dyDescent="0.25">
      <c r="A110" s="84">
        <f>EXP(2*LN(A112/A108)/4+LN(A108))</f>
        <v>1.3856406460551018</v>
      </c>
      <c r="B110" s="84">
        <f t="shared" si="2"/>
        <v>1.4363753928208323</v>
      </c>
      <c r="C110" s="84">
        <f t="shared" si="3"/>
        <v>0.22947153502583181</v>
      </c>
      <c r="D110"/>
      <c r="E110"/>
      <c r="F110"/>
      <c r="K110" s="82"/>
      <c r="L110" s="81"/>
      <c r="M110" s="93"/>
      <c r="N110" s="93"/>
      <c r="O110" s="93"/>
      <c r="P110" s="93"/>
      <c r="Q110" s="93"/>
      <c r="R110" s="93"/>
      <c r="S110" s="93"/>
      <c r="T110" s="93"/>
      <c r="U110" s="93"/>
    </row>
    <row r="111" spans="1:31" x14ac:dyDescent="0.25">
      <c r="A111" s="84">
        <f>EXP(3*LN(A112/A108)/4+LN(A108))</f>
        <v>1.4889677745633594</v>
      </c>
      <c r="B111" s="84">
        <f t="shared" si="2"/>
        <v>1.5434858079364953</v>
      </c>
      <c r="C111" s="84">
        <f t="shared" si="3"/>
        <v>0.26739166210394538</v>
      </c>
      <c r="D111"/>
      <c r="E111"/>
      <c r="F111"/>
      <c r="K111" s="82"/>
      <c r="L111" s="81"/>
      <c r="M111" s="93"/>
      <c r="N111" s="93"/>
      <c r="O111" s="93"/>
      <c r="P111" s="93"/>
      <c r="Q111" s="93"/>
      <c r="R111" s="93"/>
      <c r="S111" s="93"/>
      <c r="T111" s="93"/>
      <c r="U111" s="93"/>
    </row>
    <row r="112" spans="1:31" x14ac:dyDescent="0.25">
      <c r="A112" s="84">
        <v>1.6</v>
      </c>
      <c r="B112" s="84">
        <f t="shared" si="2"/>
        <v>1.6742525317171835</v>
      </c>
      <c r="C112" s="84">
        <f t="shared" si="3"/>
        <v>0.31377371331755766</v>
      </c>
      <c r="D112"/>
      <c r="E112"/>
      <c r="F112"/>
      <c r="K112" s="82"/>
      <c r="L112" s="81"/>
      <c r="M112" s="93"/>
      <c r="N112" s="93"/>
      <c r="O112" s="93"/>
      <c r="P112" s="93"/>
      <c r="Q112" s="93"/>
      <c r="R112" s="93"/>
      <c r="S112" s="93"/>
      <c r="T112" s="93"/>
      <c r="U112" s="93"/>
    </row>
    <row r="113" spans="1:21" x14ac:dyDescent="0.25">
      <c r="A113" s="84">
        <f>EXP(LN(A116/A112)/4+LN(A112))</f>
        <v>1.7519509624758738</v>
      </c>
      <c r="B113" s="84">
        <f t="shared" si="2"/>
        <v>1.8332552089809921</v>
      </c>
      <c r="C113" s="84">
        <f t="shared" si="3"/>
        <v>0.36920067296819342</v>
      </c>
      <c r="D113"/>
      <c r="E113"/>
      <c r="F113"/>
      <c r="K113" s="82"/>
      <c r="L113" s="81"/>
      <c r="M113" s="93"/>
      <c r="N113" s="93"/>
      <c r="O113" s="93"/>
      <c r="P113" s="93"/>
      <c r="Q113" s="93"/>
      <c r="R113" s="93"/>
      <c r="S113" s="93"/>
      <c r="T113" s="93"/>
      <c r="U113" s="93"/>
    </row>
    <row r="114" spans="1:21" x14ac:dyDescent="0.25">
      <c r="A114" s="84">
        <f>EXP(2*LN(A116/A112)/4+LN(A112))</f>
        <v>1.9183326093250876</v>
      </c>
      <c r="B114" s="84">
        <f t="shared" si="2"/>
        <v>2.0073582673988493</v>
      </c>
      <c r="C114" s="84">
        <f t="shared" si="3"/>
        <v>0.42749296947746895</v>
      </c>
      <c r="D114"/>
      <c r="E114"/>
      <c r="F114"/>
      <c r="K114" s="82"/>
      <c r="L114" s="81"/>
      <c r="M114" s="93"/>
      <c r="N114" s="93"/>
      <c r="O114" s="93"/>
      <c r="P114" s="93"/>
      <c r="Q114" s="93"/>
      <c r="R114" s="93"/>
      <c r="S114" s="93"/>
      <c r="T114" s="93"/>
      <c r="U114" s="93"/>
    </row>
    <row r="115" spans="1:21" x14ac:dyDescent="0.25">
      <c r="A115" s="84">
        <f>EXP(3*LN(A116/A112)/4+LN(A112))</f>
        <v>2.1005154132849637</v>
      </c>
      <c r="B115" s="84">
        <f t="shared" si="2"/>
        <v>2.1979957803770724</v>
      </c>
      <c r="C115" s="84">
        <f t="shared" si="3"/>
        <v>0.48741550562592878</v>
      </c>
      <c r="D115"/>
      <c r="E115"/>
      <c r="F115"/>
      <c r="K115" s="82"/>
      <c r="L115" s="81"/>
      <c r="M115" s="93"/>
      <c r="N115" s="93"/>
      <c r="O115" s="93"/>
      <c r="P115" s="93"/>
      <c r="Q115" s="93"/>
      <c r="R115" s="93"/>
      <c r="S115" s="93"/>
      <c r="T115" s="93"/>
      <c r="U115" s="93"/>
    </row>
    <row r="116" spans="1:21" x14ac:dyDescent="0.25">
      <c r="A116" s="84">
        <v>2.2999999999999998</v>
      </c>
      <c r="B116" s="84">
        <f t="shared" si="2"/>
        <v>2.377672382641121</v>
      </c>
      <c r="C116" s="84">
        <f t="shared" si="3"/>
        <v>0.53959372946496931</v>
      </c>
      <c r="D116"/>
      <c r="E116"/>
      <c r="F116"/>
      <c r="K116" s="82"/>
      <c r="L116" s="81"/>
      <c r="M116" s="93"/>
      <c r="N116" s="93"/>
      <c r="O116" s="93"/>
      <c r="P116" s="93"/>
      <c r="Q116" s="93"/>
      <c r="R116" s="93"/>
      <c r="S116" s="93"/>
      <c r="T116" s="93"/>
      <c r="U116" s="93"/>
    </row>
    <row r="117" spans="1:21" x14ac:dyDescent="0.25">
      <c r="A117" s="84">
        <f>EXP(LN(A120/A116)/4+LN(A116))</f>
        <v>2.457967808336655</v>
      </c>
      <c r="B117" s="84">
        <f t="shared" si="2"/>
        <v>2.5409748588273868</v>
      </c>
      <c r="C117" s="84">
        <f t="shared" si="3"/>
        <v>0.58321295563774544</v>
      </c>
      <c r="D117"/>
      <c r="E117"/>
      <c r="F117"/>
      <c r="K117" s="82"/>
      <c r="L117" s="81"/>
      <c r="M117" s="93"/>
      <c r="N117" s="93"/>
      <c r="O117" s="93"/>
      <c r="P117" s="93"/>
      <c r="Q117" s="93"/>
      <c r="R117" s="93"/>
      <c r="S117" s="93"/>
      <c r="T117" s="93"/>
      <c r="U117" s="93"/>
    </row>
    <row r="118" spans="1:21" x14ac:dyDescent="0.25">
      <c r="A118" s="84">
        <f>EXP(2*LN(A120/A116)/4+LN(A116))</f>
        <v>2.6267851073127391</v>
      </c>
      <c r="B118" s="84">
        <f t="shared" si="2"/>
        <v>2.7154932194741281</v>
      </c>
      <c r="C118" s="84">
        <f t="shared" si="3"/>
        <v>0.62583022130002286</v>
      </c>
      <c r="D118"/>
      <c r="E118"/>
      <c r="F118"/>
      <c r="K118" s="82"/>
      <c r="L118" s="81"/>
      <c r="M118" s="93"/>
      <c r="N118" s="93"/>
      <c r="O118" s="93"/>
      <c r="P118" s="93"/>
      <c r="Q118" s="93"/>
      <c r="R118" s="93"/>
      <c r="S118" s="93"/>
      <c r="T118" s="93"/>
      <c r="U118" s="93"/>
    </row>
    <row r="119" spans="1:21" x14ac:dyDescent="0.25">
      <c r="A119" s="84">
        <f>EXP(3*LN(A120/A116)/4+LN(A116))</f>
        <v>2.807197057909939</v>
      </c>
      <c r="B119" s="84">
        <f t="shared" si="2"/>
        <v>2.9019977900973353</v>
      </c>
      <c r="C119" s="84">
        <f t="shared" si="3"/>
        <v>0.66696182622713318</v>
      </c>
      <c r="D119"/>
      <c r="E119"/>
      <c r="F119"/>
      <c r="K119" s="82"/>
      <c r="L119" s="81"/>
      <c r="M119" s="93"/>
      <c r="N119" s="93"/>
      <c r="O119" s="93"/>
      <c r="P119" s="93"/>
      <c r="Q119" s="93"/>
      <c r="R119" s="93"/>
      <c r="S119" s="93"/>
      <c r="T119" s="93"/>
      <c r="U119" s="93"/>
    </row>
    <row r="120" spans="1:21" ht="15.75" x14ac:dyDescent="0.25">
      <c r="A120" s="84">
        <v>3</v>
      </c>
      <c r="B120" s="84">
        <f t="shared" si="2"/>
        <v>3.1978077331521191</v>
      </c>
      <c r="C120" s="84">
        <f t="shared" si="3"/>
        <v>0.7235151679039008</v>
      </c>
      <c r="D120"/>
      <c r="E120"/>
      <c r="F120"/>
      <c r="K120" s="82"/>
      <c r="L120" s="94"/>
      <c r="M120" s="95"/>
      <c r="N120" s="95"/>
      <c r="O120" s="95"/>
      <c r="P120" s="95"/>
      <c r="Q120" s="95"/>
      <c r="R120" s="95"/>
      <c r="S120" s="95"/>
      <c r="T120" s="95"/>
      <c r="U120" s="95"/>
    </row>
    <row r="121" spans="1:21" x14ac:dyDescent="0.25">
      <c r="A121" s="84">
        <f>EXP(LN(A124/A120)/4+LN(A120))</f>
        <v>3.4086580994024982</v>
      </c>
      <c r="B121" s="84">
        <f t="shared" si="2"/>
        <v>3.6334110766469716</v>
      </c>
      <c r="C121" s="84">
        <f t="shared" si="3"/>
        <v>0.78992471557995225</v>
      </c>
      <c r="D121"/>
      <c r="E121"/>
      <c r="F121"/>
      <c r="K121" s="82"/>
      <c r="L121" s="81"/>
      <c r="M121" s="93"/>
      <c r="N121" s="93"/>
      <c r="O121" s="93"/>
      <c r="P121" s="93"/>
      <c r="Q121" s="93"/>
      <c r="R121" s="93"/>
      <c r="S121" s="93"/>
      <c r="T121" s="93"/>
      <c r="U121" s="93"/>
    </row>
    <row r="122" spans="1:21" x14ac:dyDescent="0.25">
      <c r="A122" s="84">
        <f>EXP(2*LN(A124/A120)/4+LN(A120))</f>
        <v>3.8729833462074179</v>
      </c>
      <c r="B122" s="84">
        <f t="shared" si="2"/>
        <v>4.1283520316238169</v>
      </c>
      <c r="C122" s="84">
        <f t="shared" si="3"/>
        <v>0.84589948112685109</v>
      </c>
      <c r="D122"/>
      <c r="E122"/>
      <c r="F122"/>
      <c r="K122" s="82"/>
      <c r="L122" s="81"/>
      <c r="M122" s="93"/>
      <c r="N122" s="93"/>
      <c r="O122" s="93"/>
      <c r="P122" s="93"/>
      <c r="Q122" s="93"/>
      <c r="R122" s="93"/>
      <c r="S122" s="93"/>
      <c r="T122" s="93"/>
      <c r="U122" s="93"/>
    </row>
    <row r="123" spans="1:21" x14ac:dyDescent="0.25">
      <c r="A123" s="84">
        <f>EXP(3*LN(A124/A120)/4+LN(A120))</f>
        <v>4.4005586839669677</v>
      </c>
      <c r="B123" s="84">
        <f t="shared" si="2"/>
        <v>4.6907135299264269</v>
      </c>
      <c r="C123" s="84">
        <f t="shared" si="3"/>
        <v>0.89099707905352354</v>
      </c>
      <c r="D123"/>
      <c r="E123"/>
      <c r="F123"/>
      <c r="K123" s="82"/>
      <c r="L123" s="81"/>
      <c r="M123" s="93"/>
      <c r="N123" s="93"/>
      <c r="O123" s="93"/>
      <c r="P123" s="93"/>
      <c r="Q123" s="93"/>
      <c r="R123" s="93"/>
      <c r="S123" s="93"/>
      <c r="T123" s="93"/>
      <c r="U123" s="93"/>
    </row>
    <row r="124" spans="1:21" x14ac:dyDescent="0.25">
      <c r="A124" s="84">
        <v>5</v>
      </c>
      <c r="B124" s="84">
        <f t="shared" si="2"/>
        <v>5.4525386633262878</v>
      </c>
      <c r="C124" s="84">
        <f t="shared" si="3"/>
        <v>0.93091970843214933</v>
      </c>
      <c r="D124"/>
      <c r="E124"/>
      <c r="F124"/>
      <c r="K124" s="82"/>
      <c r="L124" s="81"/>
      <c r="M124" s="93"/>
      <c r="N124" s="93"/>
      <c r="O124" s="93"/>
      <c r="P124" s="93"/>
      <c r="Q124" s="93"/>
      <c r="R124" s="93"/>
      <c r="S124" s="93"/>
      <c r="T124" s="93"/>
      <c r="U124" s="93"/>
    </row>
    <row r="125" spans="1:21" x14ac:dyDescent="0.25">
      <c r="A125" s="84">
        <f>EXP(LN(A128/A124)/4+LN(A124))</f>
        <v>5.9460355750136049</v>
      </c>
      <c r="B125" s="84">
        <f t="shared" si="2"/>
        <v>6.4841977732550484</v>
      </c>
      <c r="C125" s="84">
        <f t="shared" si="3"/>
        <v>0.96176012914518594</v>
      </c>
      <c r="D125"/>
      <c r="E125"/>
      <c r="F125"/>
      <c r="K125" s="82"/>
      <c r="L125" s="81"/>
      <c r="M125" s="93"/>
      <c r="N125" s="93"/>
      <c r="O125" s="93"/>
      <c r="P125" s="93"/>
      <c r="Q125" s="93"/>
      <c r="R125" s="93"/>
      <c r="S125" s="93"/>
      <c r="T125" s="93"/>
      <c r="U125" s="93"/>
    </row>
    <row r="126" spans="1:21" x14ac:dyDescent="0.25">
      <c r="A126" s="84">
        <f>EXP(2*LN(A128/A124)/4+LN(A124))</f>
        <v>7.0710678118654746</v>
      </c>
      <c r="B126" s="84">
        <f t="shared" si="2"/>
        <v>7.7110541270397031</v>
      </c>
      <c r="C126" s="84">
        <f t="shared" si="3"/>
        <v>0.98031498815607976</v>
      </c>
      <c r="D126"/>
      <c r="E126"/>
      <c r="F126"/>
      <c r="K126" s="82"/>
      <c r="L126" s="81"/>
      <c r="M126" s="93"/>
      <c r="N126" s="93"/>
      <c r="O126" s="93"/>
      <c r="P126" s="93"/>
      <c r="Q126" s="93"/>
      <c r="R126" s="93"/>
      <c r="S126" s="93"/>
      <c r="T126" s="93"/>
      <c r="U126" s="93"/>
    </row>
    <row r="127" spans="1:21" x14ac:dyDescent="0.25">
      <c r="A127" s="84">
        <f>EXP(3*LN(A128/A124)/4+LN(A124))</f>
        <v>8.408964152537143</v>
      </c>
      <c r="B127" s="84">
        <f t="shared" si="2"/>
        <v>9.1700404320467115</v>
      </c>
      <c r="C127" s="84">
        <f t="shared" si="3"/>
        <v>0.99059081958621853</v>
      </c>
      <c r="D127"/>
      <c r="E127"/>
      <c r="F127"/>
      <c r="K127" s="82"/>
      <c r="L127" s="81"/>
      <c r="M127" s="93"/>
      <c r="N127" s="93"/>
      <c r="O127" s="93"/>
      <c r="P127" s="93"/>
      <c r="Q127" s="93"/>
      <c r="R127" s="93"/>
      <c r="S127" s="93"/>
      <c r="T127" s="93"/>
      <c r="U127" s="93"/>
    </row>
    <row r="128" spans="1:21" x14ac:dyDescent="0.25">
      <c r="A128" s="84">
        <v>10</v>
      </c>
      <c r="B128" s="84">
        <v>10</v>
      </c>
      <c r="C128" s="84">
        <f t="shared" si="3"/>
        <v>0.99367574474989995</v>
      </c>
      <c r="D128"/>
      <c r="E128"/>
      <c r="F128"/>
      <c r="K128" s="82"/>
      <c r="L128" s="81"/>
      <c r="M128" s="93"/>
      <c r="N128" s="93"/>
      <c r="O128" s="93"/>
      <c r="P128" s="93"/>
      <c r="Q128" s="93"/>
      <c r="R128" s="93"/>
      <c r="S128" s="93"/>
      <c r="T128" s="93"/>
      <c r="U128" s="93"/>
    </row>
    <row r="129" spans="11:21" x14ac:dyDescent="0.25">
      <c r="K129" s="82"/>
      <c r="L129" s="81"/>
      <c r="M129" s="93"/>
      <c r="N129" s="93"/>
      <c r="O129" s="93"/>
      <c r="P129" s="93"/>
      <c r="Q129" s="93"/>
      <c r="R129" s="93"/>
      <c r="S129" s="93"/>
      <c r="T129" s="93"/>
      <c r="U129" s="3"/>
    </row>
    <row r="130" spans="11:21" x14ac:dyDescent="0.25">
      <c r="K130" s="82"/>
      <c r="L130" s="81"/>
      <c r="M130" s="93"/>
      <c r="N130" s="93"/>
      <c r="O130" s="93"/>
      <c r="P130" s="93"/>
      <c r="Q130" s="93"/>
      <c r="R130" s="93"/>
      <c r="S130" s="93"/>
      <c r="T130" s="93"/>
      <c r="U130" s="3"/>
    </row>
  </sheetData>
  <mergeCells count="8">
    <mergeCell ref="M6:N6"/>
    <mergeCell ref="O6:O7"/>
    <mergeCell ref="A7:H7"/>
    <mergeCell ref="A22:H22"/>
    <mergeCell ref="E83:F83"/>
    <mergeCell ref="J6:J7"/>
    <mergeCell ref="K6:K7"/>
    <mergeCell ref="L6:L7"/>
  </mergeCells>
  <dataValidations count="4">
    <dataValidation type="list" allowBlank="1" showInputMessage="1" showErrorMessage="1" sqref="B13" xr:uid="{DDB745FE-BAAE-48A3-A380-3F3FF7F13EFB}">
      <formula1>"Grade-B,X-42,X-52,X-60,X-70,X-80"</formula1>
    </dataValidation>
    <dataValidation type="list" allowBlank="1" showInputMessage="1" showErrorMessage="1" sqref="B26" xr:uid="{C01A3391-16AD-4B01-B906-87E57E01EF4B}">
      <formula1>"Medium Dense (Sand),Dense (Sand),Very Dense (Sand),Soft (Clay),Medium (Clay),Stiff (Clay)"</formula1>
    </dataValidation>
    <dataValidation type="list" allowBlank="1" showInputMessage="1" showErrorMessage="1" sqref="B25" xr:uid="{2E430B46-2F23-429A-96C9-9028B486C296}">
      <formula1>"Cohesionless (Sand),Cohesive (Clay)"</formula1>
    </dataValidation>
    <dataValidation type="list" allowBlank="1" showInputMessage="1" showErrorMessage="1" sqref="G24 G32:G36 G9:G10 G12:G19" xr:uid="{773FB462-77F6-4B6C-94D2-8BB7FF3ED14B}">
      <formula1>"normal, lognormal"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4B16A7889294FA65F793333317AC9" ma:contentTypeVersion="16" ma:contentTypeDescription="Create a new document." ma:contentTypeScope="" ma:versionID="e831a16f2402aca5b2492f7df27309b4">
  <xsd:schema xmlns:xsd="http://www.w3.org/2001/XMLSchema" xmlns:xs="http://www.w3.org/2001/XMLSchema" xmlns:p="http://schemas.microsoft.com/office/2006/metadata/properties" xmlns:ns2="93513e00-3874-417d-9873-00671f0f0fb7" xmlns:ns3="4327d0aa-1248-4cfc-88bd-29d5bfa91db8" targetNamespace="http://schemas.microsoft.com/office/2006/metadata/properties" ma:root="true" ma:fieldsID="b2f02ee2f20a0f2ea799807f426edf30" ns2:_="" ns3:_="">
    <xsd:import namespace="93513e00-3874-417d-9873-00671f0f0fb7"/>
    <xsd:import namespace="4327d0aa-1248-4cfc-88bd-29d5bfa91d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13e00-3874-417d-9873-00671f0f0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492325-91fd-41aa-a6a4-1edd659316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7d0aa-1248-4cfc-88bd-29d5bfa91db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249d5e6-ca45-4003-8aeb-1b1a8acad777}" ma:internalName="TaxCatchAll" ma:showField="CatchAllData" ma:web="4327d0aa-1248-4cfc-88bd-29d5bfa91d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6C72C3-10F6-44F4-BCE3-098CC76A64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C99F0A-9495-4A39-ADC8-06189EA4C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513e00-3874-417d-9873-00671f0f0fb7"/>
    <ds:schemaRef ds:uri="4327d0aa-1248-4cfc-88bd-29d5bfa91d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Estimation Model SSC Level 3</vt:lpstr>
      <vt:lpstr>HutabaratEtal2022_ss_comp</vt:lpstr>
      <vt:lpstr>HutabaratEtal2022_ss_tens</vt:lpstr>
      <vt:lpstr>HutabaratEtal2022_ss_tens(5-85)</vt:lpstr>
      <vt:lpstr>Estimation Model SST (85-90)</vt:lpstr>
      <vt:lpstr>HutabaratEtal2022_ss_tens(85-90</vt:lpstr>
      <vt:lpstr>Estimation Model Reverse-Slip</vt:lpstr>
      <vt:lpstr>HutabaratEtal2022_reverse</vt:lpstr>
      <vt:lpstr>Estimation Model Normal-Slip</vt:lpstr>
      <vt:lpstr>HutabaratEtal2022_normal</vt:lpstr>
      <vt:lpstr>Coefficient Normal</vt:lpstr>
      <vt:lpstr>case_to_run</vt:lpstr>
      <vt:lpstr>'Estimation Model Reverse-Slip'!_Ref100818699</vt:lpstr>
      <vt:lpstr>'Estimation Model SSC Level 3'!_Ref100818699</vt:lpstr>
      <vt:lpstr>'Estimation Model SST (85-90)'!_Ref100818699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2022-06-07T20:04:58Z</dcterms:created>
  <dcterms:modified xsi:type="dcterms:W3CDTF">2022-08-26T00:04:39Z</dcterms:modified>
</cp:coreProperties>
</file>