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pipe_strain_lateral_spread/"/>
    </mc:Choice>
  </mc:AlternateContent>
  <xr:revisionPtr revIDLastSave="230" documentId="13_ncr:40009_{21AD2E0B-D792-4D17-BCD5-430697596433}" xr6:coauthVersionLast="47" xr6:coauthVersionMax="47" xr10:uidLastSave="{616E4CAC-FF3B-4F31-AFE1-946A90E0D891}"/>
  <bookViews>
    <workbookView xWindow="-120" yWindow="-120" windowWidth="38640" windowHeight="21120" activeTab="2" xr2:uid="{00000000-000D-0000-FFFF-FFFF00000000}"/>
  </bookViews>
  <sheets>
    <sheet name="backup" sheetId="1" r:id="rId1"/>
    <sheet name="cleaned" sheetId="3" r:id="rId2"/>
    <sheet name="to_csv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63" i="3" l="1"/>
  <c r="BV62" i="3"/>
  <c r="BV61" i="3"/>
  <c r="BV60" i="3"/>
  <c r="BV59" i="3"/>
  <c r="BV58" i="3"/>
  <c r="BV57" i="3"/>
  <c r="BV56" i="3"/>
  <c r="BV55" i="3"/>
  <c r="BV54" i="3"/>
  <c r="BV53" i="3"/>
  <c r="BV52" i="3"/>
  <c r="BV51" i="3"/>
  <c r="BV50" i="3"/>
  <c r="BX50" i="3" s="1"/>
  <c r="BV49" i="3"/>
  <c r="BX49" i="3" s="1"/>
  <c r="BV48" i="3"/>
  <c r="BX48" i="3" s="1"/>
  <c r="BV47" i="3"/>
  <c r="BV46" i="3"/>
  <c r="BV45" i="3"/>
  <c r="BV44" i="3"/>
  <c r="BV43" i="3"/>
  <c r="BV42" i="3"/>
  <c r="BV41" i="3"/>
  <c r="BV40" i="3"/>
  <c r="BV39" i="3"/>
  <c r="BV38" i="3"/>
  <c r="BV37" i="3"/>
  <c r="BV36" i="3"/>
  <c r="BV35" i="3"/>
  <c r="BV34" i="3"/>
  <c r="BV33" i="3"/>
  <c r="BV32" i="3"/>
  <c r="BX32" i="3" s="1"/>
  <c r="BV31" i="3"/>
  <c r="BV30" i="3"/>
  <c r="BV29" i="3"/>
  <c r="BV28" i="3"/>
  <c r="BV27" i="3"/>
  <c r="BV26" i="3"/>
  <c r="BV25" i="3"/>
  <c r="BX37" i="3"/>
  <c r="BX38" i="3"/>
  <c r="BX53" i="3"/>
  <c r="BX54" i="3"/>
  <c r="BX55" i="3"/>
  <c r="BX34" i="3"/>
  <c r="BX33" i="3"/>
  <c r="BX39" i="3"/>
  <c r="BX40" i="3"/>
  <c r="BV24" i="3"/>
  <c r="BZ113" i="3"/>
  <c r="CA113" i="3"/>
  <c r="BZ114" i="3"/>
  <c r="CA114" i="3"/>
  <c r="BZ115" i="3"/>
  <c r="CA115" i="3"/>
  <c r="BZ116" i="3"/>
  <c r="CA116" i="3"/>
  <c r="BZ117" i="3"/>
  <c r="CA117" i="3"/>
  <c r="BZ118" i="3"/>
  <c r="CA118" i="3"/>
  <c r="BZ119" i="3"/>
  <c r="CA119" i="3"/>
  <c r="BZ120" i="3"/>
  <c r="CA120" i="3"/>
  <c r="BZ121" i="3"/>
  <c r="CA121" i="3"/>
  <c r="BZ122" i="3"/>
  <c r="CA122" i="3"/>
  <c r="BZ123" i="3"/>
  <c r="CA123" i="3"/>
  <c r="BZ124" i="3"/>
  <c r="CA124" i="3"/>
  <c r="BZ125" i="3"/>
  <c r="CA125" i="3"/>
  <c r="BZ126" i="3"/>
  <c r="CA126" i="3"/>
  <c r="BZ127" i="3"/>
  <c r="CA127" i="3"/>
  <c r="BZ128" i="3"/>
  <c r="CA128" i="3"/>
  <c r="BZ129" i="3"/>
  <c r="CA129" i="3"/>
  <c r="BZ130" i="3"/>
  <c r="CA130" i="3"/>
  <c r="BZ131" i="3"/>
  <c r="CA131" i="3"/>
  <c r="BZ132" i="3"/>
  <c r="CA132" i="3"/>
  <c r="BZ133" i="3"/>
  <c r="CA133" i="3"/>
  <c r="BZ134" i="3"/>
  <c r="CA134" i="3"/>
  <c r="BZ135" i="3"/>
  <c r="CA135" i="3"/>
  <c r="BZ136" i="3"/>
  <c r="CA136" i="3"/>
  <c r="BZ137" i="3"/>
  <c r="CA137" i="3"/>
  <c r="BZ138" i="3"/>
  <c r="CA138" i="3"/>
  <c r="BZ139" i="3"/>
  <c r="CA139" i="3"/>
  <c r="BZ140" i="3"/>
  <c r="CA140" i="3"/>
  <c r="BZ141" i="3"/>
  <c r="CA141" i="3"/>
  <c r="BZ142" i="3"/>
  <c r="CA142" i="3"/>
  <c r="BZ143" i="3"/>
  <c r="CA143" i="3"/>
  <c r="BZ144" i="3"/>
  <c r="CA144" i="3"/>
  <c r="BZ145" i="3"/>
  <c r="CA145" i="3"/>
  <c r="BZ146" i="3"/>
  <c r="CA146" i="3"/>
  <c r="BZ147" i="3"/>
  <c r="CA147" i="3"/>
  <c r="BZ148" i="3"/>
  <c r="CA148" i="3"/>
  <c r="BZ149" i="3"/>
  <c r="CA149" i="3"/>
  <c r="BZ150" i="3"/>
  <c r="CA150" i="3"/>
  <c r="BZ151" i="3"/>
  <c r="CA151" i="3"/>
  <c r="BZ152" i="3"/>
  <c r="CA152" i="3"/>
  <c r="BZ153" i="3"/>
  <c r="CA153" i="3"/>
  <c r="BZ154" i="3"/>
  <c r="CA154" i="3"/>
  <c r="BZ155" i="3"/>
  <c r="CA155" i="3"/>
  <c r="CA112" i="3"/>
  <c r="BZ112" i="3"/>
  <c r="BZ67" i="3"/>
  <c r="CA67" i="3"/>
  <c r="BZ68" i="3"/>
  <c r="CA68" i="3"/>
  <c r="BZ69" i="3"/>
  <c r="CA69" i="3"/>
  <c r="BZ70" i="3"/>
  <c r="CA70" i="3"/>
  <c r="BZ71" i="3"/>
  <c r="CA71" i="3"/>
  <c r="BZ72" i="3"/>
  <c r="CA72" i="3"/>
  <c r="BZ73" i="3"/>
  <c r="CA73" i="3"/>
  <c r="BZ74" i="3"/>
  <c r="CA74" i="3"/>
  <c r="BZ75" i="3"/>
  <c r="CA75" i="3"/>
  <c r="BZ76" i="3"/>
  <c r="CA76" i="3"/>
  <c r="BZ77" i="3"/>
  <c r="CA77" i="3"/>
  <c r="BZ78" i="3"/>
  <c r="CA78" i="3"/>
  <c r="BZ79" i="3"/>
  <c r="CA79" i="3"/>
  <c r="BZ80" i="3"/>
  <c r="CA80" i="3"/>
  <c r="BZ81" i="3"/>
  <c r="CA81" i="3"/>
  <c r="BZ82" i="3"/>
  <c r="CA82" i="3"/>
  <c r="BZ83" i="3"/>
  <c r="CA83" i="3"/>
  <c r="BZ84" i="3"/>
  <c r="CA84" i="3"/>
  <c r="BZ85" i="3"/>
  <c r="CA85" i="3"/>
  <c r="BZ86" i="3"/>
  <c r="CA86" i="3"/>
  <c r="BZ87" i="3"/>
  <c r="CA87" i="3"/>
  <c r="BZ88" i="3"/>
  <c r="CA88" i="3"/>
  <c r="BZ89" i="3"/>
  <c r="CA89" i="3"/>
  <c r="BZ90" i="3"/>
  <c r="CA90" i="3"/>
  <c r="BZ91" i="3"/>
  <c r="CA91" i="3"/>
  <c r="BZ92" i="3"/>
  <c r="CA92" i="3"/>
  <c r="BZ93" i="3"/>
  <c r="CA93" i="3"/>
  <c r="BZ94" i="3"/>
  <c r="CA94" i="3"/>
  <c r="BZ95" i="3"/>
  <c r="CA95" i="3"/>
  <c r="BZ96" i="3"/>
  <c r="CA96" i="3"/>
  <c r="BZ97" i="3"/>
  <c r="CA97" i="3"/>
  <c r="BZ98" i="3"/>
  <c r="CA98" i="3"/>
  <c r="BZ99" i="3"/>
  <c r="CA99" i="3"/>
  <c r="BZ100" i="3"/>
  <c r="CA100" i="3"/>
  <c r="BZ101" i="3"/>
  <c r="CA101" i="3"/>
  <c r="BZ102" i="3"/>
  <c r="CA102" i="3"/>
  <c r="BZ103" i="3"/>
  <c r="CA103" i="3"/>
  <c r="BZ104" i="3"/>
  <c r="CA104" i="3"/>
  <c r="BZ105" i="3"/>
  <c r="CA105" i="3"/>
  <c r="BZ106" i="3"/>
  <c r="CA106" i="3"/>
  <c r="BZ107" i="3"/>
  <c r="CA107" i="3"/>
  <c r="BZ108" i="3"/>
  <c r="CA108" i="3"/>
  <c r="BZ109" i="3"/>
  <c r="CA109" i="3"/>
  <c r="CA66" i="3"/>
  <c r="BZ66" i="3"/>
  <c r="BZ25" i="3"/>
  <c r="CA25" i="3"/>
  <c r="BZ26" i="3"/>
  <c r="CA26" i="3"/>
  <c r="BZ27" i="3"/>
  <c r="CA27" i="3"/>
  <c r="BZ28" i="3"/>
  <c r="CA28" i="3"/>
  <c r="BZ29" i="3"/>
  <c r="CA29" i="3"/>
  <c r="BZ30" i="3"/>
  <c r="CA30" i="3"/>
  <c r="BZ31" i="3"/>
  <c r="CA31" i="3"/>
  <c r="BZ32" i="3"/>
  <c r="CA32" i="3"/>
  <c r="BZ33" i="3"/>
  <c r="CA33" i="3"/>
  <c r="BZ34" i="3"/>
  <c r="CA34" i="3"/>
  <c r="BZ35" i="3"/>
  <c r="CA35" i="3"/>
  <c r="BZ36" i="3"/>
  <c r="CA36" i="3"/>
  <c r="BZ37" i="3"/>
  <c r="CA37" i="3"/>
  <c r="BZ38" i="3"/>
  <c r="CA38" i="3"/>
  <c r="BZ39" i="3"/>
  <c r="CA39" i="3"/>
  <c r="BZ40" i="3"/>
  <c r="CA40" i="3"/>
  <c r="BZ41" i="3"/>
  <c r="CA41" i="3"/>
  <c r="BZ42" i="3"/>
  <c r="CA42" i="3"/>
  <c r="BZ43" i="3"/>
  <c r="CA43" i="3"/>
  <c r="BZ44" i="3"/>
  <c r="CA44" i="3"/>
  <c r="BZ45" i="3"/>
  <c r="CA45" i="3"/>
  <c r="BZ46" i="3"/>
  <c r="CA46" i="3"/>
  <c r="BZ47" i="3"/>
  <c r="CA47" i="3"/>
  <c r="BZ48" i="3"/>
  <c r="CA48" i="3"/>
  <c r="BZ49" i="3"/>
  <c r="CA49" i="3"/>
  <c r="BZ50" i="3"/>
  <c r="CA50" i="3"/>
  <c r="BZ51" i="3"/>
  <c r="CA51" i="3"/>
  <c r="BZ52" i="3"/>
  <c r="CA52" i="3"/>
  <c r="BZ53" i="3"/>
  <c r="CA53" i="3"/>
  <c r="BZ54" i="3"/>
  <c r="CA54" i="3"/>
  <c r="BZ55" i="3"/>
  <c r="CA55" i="3"/>
  <c r="BZ56" i="3"/>
  <c r="CA56" i="3"/>
  <c r="BZ57" i="3"/>
  <c r="CA57" i="3"/>
  <c r="BZ58" i="3"/>
  <c r="CA58" i="3"/>
  <c r="BZ59" i="3"/>
  <c r="CA59" i="3"/>
  <c r="BZ60" i="3"/>
  <c r="CA60" i="3"/>
  <c r="BZ61" i="3"/>
  <c r="CA61" i="3"/>
  <c r="BZ62" i="3"/>
  <c r="CA62" i="3"/>
  <c r="BZ63" i="3"/>
  <c r="CA63" i="3"/>
  <c r="CA24" i="3"/>
  <c r="BZ24" i="3"/>
  <c r="BZ3" i="3"/>
  <c r="CA3" i="3"/>
  <c r="BZ4" i="3"/>
  <c r="CA4" i="3"/>
  <c r="BZ5" i="3"/>
  <c r="CA5" i="3"/>
  <c r="BZ6" i="3"/>
  <c r="CA6" i="3"/>
  <c r="BZ7" i="3"/>
  <c r="CA7" i="3"/>
  <c r="BZ8" i="3"/>
  <c r="CA8" i="3"/>
  <c r="BZ9" i="3"/>
  <c r="CA9" i="3"/>
  <c r="BZ10" i="3"/>
  <c r="CA10" i="3"/>
  <c r="BZ11" i="3"/>
  <c r="CA11" i="3"/>
  <c r="BZ12" i="3"/>
  <c r="CA12" i="3"/>
  <c r="BZ13" i="3"/>
  <c r="CA13" i="3"/>
  <c r="BZ14" i="3"/>
  <c r="CA14" i="3"/>
  <c r="BZ15" i="3"/>
  <c r="CA15" i="3"/>
  <c r="BZ16" i="3"/>
  <c r="CA16" i="3"/>
  <c r="BZ17" i="3"/>
  <c r="CA17" i="3"/>
  <c r="BZ18" i="3"/>
  <c r="CA18" i="3"/>
  <c r="BZ19" i="3"/>
  <c r="CA19" i="3"/>
  <c r="BZ20" i="3"/>
  <c r="CA20" i="3"/>
  <c r="BZ21" i="3"/>
  <c r="CA21" i="3"/>
  <c r="CA2" i="3"/>
  <c r="BZ2" i="3"/>
  <c r="BW113" i="3"/>
  <c r="BX113" i="3"/>
  <c r="BW114" i="3"/>
  <c r="BX114" i="3"/>
  <c r="BW115" i="3"/>
  <c r="BX115" i="3"/>
  <c r="BW116" i="3"/>
  <c r="BX116" i="3"/>
  <c r="BW117" i="3"/>
  <c r="BX117" i="3"/>
  <c r="BW118" i="3"/>
  <c r="BX118" i="3"/>
  <c r="BW119" i="3"/>
  <c r="BX119" i="3"/>
  <c r="BW120" i="3"/>
  <c r="BX120" i="3"/>
  <c r="BW121" i="3"/>
  <c r="BX121" i="3"/>
  <c r="BW122" i="3"/>
  <c r="BX122" i="3"/>
  <c r="BW123" i="3"/>
  <c r="BX123" i="3"/>
  <c r="BW124" i="3"/>
  <c r="BX124" i="3"/>
  <c r="BW125" i="3"/>
  <c r="BX125" i="3"/>
  <c r="BW126" i="3"/>
  <c r="BX126" i="3"/>
  <c r="BW127" i="3"/>
  <c r="BX127" i="3"/>
  <c r="BW128" i="3"/>
  <c r="BX128" i="3"/>
  <c r="BW129" i="3"/>
  <c r="BX129" i="3"/>
  <c r="BW130" i="3"/>
  <c r="BX130" i="3"/>
  <c r="BW131" i="3"/>
  <c r="BX131" i="3"/>
  <c r="BW132" i="3"/>
  <c r="BX132" i="3"/>
  <c r="BW133" i="3"/>
  <c r="BX133" i="3"/>
  <c r="BW134" i="3"/>
  <c r="BX134" i="3"/>
  <c r="BW135" i="3"/>
  <c r="BX135" i="3"/>
  <c r="BW136" i="3"/>
  <c r="BX136" i="3"/>
  <c r="BW137" i="3"/>
  <c r="BX137" i="3"/>
  <c r="BW138" i="3"/>
  <c r="BX138" i="3"/>
  <c r="BW139" i="3"/>
  <c r="BX139" i="3"/>
  <c r="BW140" i="3"/>
  <c r="BX140" i="3"/>
  <c r="BW141" i="3"/>
  <c r="BX141" i="3"/>
  <c r="BW142" i="3"/>
  <c r="BX142" i="3"/>
  <c r="BW143" i="3"/>
  <c r="BX143" i="3"/>
  <c r="BW144" i="3"/>
  <c r="BX144" i="3"/>
  <c r="BW145" i="3"/>
  <c r="BX145" i="3"/>
  <c r="BW146" i="3"/>
  <c r="BX146" i="3"/>
  <c r="BW147" i="3"/>
  <c r="BX147" i="3"/>
  <c r="BW148" i="3"/>
  <c r="BX148" i="3"/>
  <c r="BW149" i="3"/>
  <c r="BX149" i="3"/>
  <c r="BW150" i="3"/>
  <c r="BX150" i="3"/>
  <c r="BW151" i="3"/>
  <c r="BX151" i="3"/>
  <c r="BW152" i="3"/>
  <c r="BX152" i="3"/>
  <c r="BW153" i="3"/>
  <c r="BX153" i="3"/>
  <c r="BW154" i="3"/>
  <c r="BX154" i="3"/>
  <c r="BW155" i="3"/>
  <c r="BX155" i="3"/>
  <c r="BX112" i="3"/>
  <c r="BW112" i="3"/>
  <c r="BW106" i="3"/>
  <c r="BX106" i="3"/>
  <c r="BW107" i="3"/>
  <c r="BX107" i="3"/>
  <c r="BW108" i="3"/>
  <c r="BX108" i="3"/>
  <c r="BW109" i="3"/>
  <c r="BX109" i="3"/>
  <c r="BW67" i="3"/>
  <c r="BX67" i="3"/>
  <c r="BW68" i="3"/>
  <c r="BX68" i="3"/>
  <c r="BW69" i="3"/>
  <c r="BX69" i="3"/>
  <c r="BW70" i="3"/>
  <c r="BX70" i="3"/>
  <c r="BW71" i="3"/>
  <c r="BX71" i="3"/>
  <c r="BW72" i="3"/>
  <c r="BX72" i="3"/>
  <c r="BW73" i="3"/>
  <c r="BX73" i="3"/>
  <c r="BW74" i="3"/>
  <c r="BX74" i="3"/>
  <c r="BW75" i="3"/>
  <c r="BX75" i="3"/>
  <c r="BW76" i="3"/>
  <c r="BX76" i="3"/>
  <c r="BW77" i="3"/>
  <c r="BX77" i="3"/>
  <c r="BW78" i="3"/>
  <c r="BX78" i="3"/>
  <c r="BW79" i="3"/>
  <c r="BX79" i="3"/>
  <c r="BW80" i="3"/>
  <c r="BX80" i="3"/>
  <c r="BW81" i="3"/>
  <c r="BX81" i="3"/>
  <c r="BW82" i="3"/>
  <c r="BX82" i="3"/>
  <c r="BW83" i="3"/>
  <c r="BX83" i="3"/>
  <c r="BW84" i="3"/>
  <c r="BX84" i="3"/>
  <c r="BW85" i="3"/>
  <c r="BX85" i="3"/>
  <c r="BW86" i="3"/>
  <c r="BX86" i="3"/>
  <c r="BW87" i="3"/>
  <c r="BX87" i="3"/>
  <c r="BW88" i="3"/>
  <c r="BX88" i="3"/>
  <c r="BW89" i="3"/>
  <c r="BX89" i="3"/>
  <c r="BW90" i="3"/>
  <c r="BX90" i="3"/>
  <c r="BW91" i="3"/>
  <c r="BX91" i="3"/>
  <c r="BW92" i="3"/>
  <c r="BX92" i="3"/>
  <c r="BW93" i="3"/>
  <c r="BX93" i="3"/>
  <c r="BW94" i="3"/>
  <c r="BX94" i="3"/>
  <c r="BW95" i="3"/>
  <c r="BX95" i="3"/>
  <c r="BW96" i="3"/>
  <c r="BX96" i="3"/>
  <c r="BW97" i="3"/>
  <c r="BX97" i="3"/>
  <c r="BW98" i="3"/>
  <c r="BX98" i="3"/>
  <c r="BW99" i="3"/>
  <c r="BX99" i="3"/>
  <c r="BW100" i="3"/>
  <c r="BX100" i="3"/>
  <c r="BW101" i="3"/>
  <c r="BX101" i="3"/>
  <c r="BW102" i="3"/>
  <c r="BX102" i="3"/>
  <c r="BW103" i="3"/>
  <c r="BX103" i="3"/>
  <c r="BW104" i="3"/>
  <c r="BX104" i="3"/>
  <c r="BW105" i="3"/>
  <c r="BX105" i="3"/>
  <c r="BX66" i="3"/>
  <c r="BW66" i="3"/>
  <c r="BW25" i="3"/>
  <c r="BX25" i="3"/>
  <c r="BW26" i="3"/>
  <c r="BX26" i="3"/>
  <c r="BW27" i="3"/>
  <c r="BX27" i="3"/>
  <c r="BW28" i="3"/>
  <c r="BX28" i="3"/>
  <c r="BW29" i="3"/>
  <c r="BX29" i="3"/>
  <c r="BW30" i="3"/>
  <c r="BX30" i="3"/>
  <c r="BW31" i="3"/>
  <c r="BX31" i="3"/>
  <c r="BW32" i="3"/>
  <c r="BW33" i="3"/>
  <c r="BW34" i="3"/>
  <c r="BW35" i="3"/>
  <c r="BX35" i="3"/>
  <c r="BW36" i="3"/>
  <c r="BX36" i="3"/>
  <c r="BW37" i="3"/>
  <c r="BW38" i="3"/>
  <c r="BW39" i="3"/>
  <c r="BW40" i="3"/>
  <c r="BW41" i="3"/>
  <c r="BX41" i="3"/>
  <c r="BW42" i="3"/>
  <c r="BX42" i="3"/>
  <c r="BW43" i="3"/>
  <c r="BX43" i="3"/>
  <c r="BW44" i="3"/>
  <c r="BX44" i="3"/>
  <c r="BW45" i="3"/>
  <c r="BX45" i="3"/>
  <c r="BW46" i="3"/>
  <c r="BX46" i="3"/>
  <c r="BW47" i="3"/>
  <c r="BX47" i="3"/>
  <c r="BW48" i="3"/>
  <c r="BW49" i="3"/>
  <c r="BW50" i="3"/>
  <c r="BW51" i="3"/>
  <c r="BX51" i="3"/>
  <c r="BW52" i="3"/>
  <c r="BX52" i="3"/>
  <c r="BW53" i="3"/>
  <c r="BW54" i="3"/>
  <c r="BW55" i="3"/>
  <c r="BW56" i="3"/>
  <c r="BX56" i="3"/>
  <c r="BW57" i="3"/>
  <c r="BX57" i="3"/>
  <c r="BW58" i="3"/>
  <c r="BX58" i="3"/>
  <c r="BW59" i="3"/>
  <c r="BX59" i="3"/>
  <c r="BW60" i="3"/>
  <c r="BX60" i="3"/>
  <c r="BW61" i="3"/>
  <c r="BX61" i="3"/>
  <c r="BW62" i="3"/>
  <c r="BX62" i="3"/>
  <c r="BW63" i="3"/>
  <c r="BX63" i="3"/>
  <c r="BX24" i="3"/>
  <c r="BW24" i="3"/>
  <c r="BW3" i="3"/>
  <c r="BX3" i="3"/>
  <c r="BW4" i="3"/>
  <c r="BX4" i="3"/>
  <c r="BW5" i="3"/>
  <c r="BX5" i="3"/>
  <c r="BW6" i="3"/>
  <c r="BX6" i="3"/>
  <c r="BW7" i="3"/>
  <c r="BX7" i="3"/>
  <c r="BW8" i="3"/>
  <c r="BX8" i="3"/>
  <c r="BW9" i="3"/>
  <c r="BX9" i="3"/>
  <c r="BW10" i="3"/>
  <c r="BX10" i="3"/>
  <c r="BW11" i="3"/>
  <c r="BX11" i="3"/>
  <c r="BW12" i="3"/>
  <c r="BX12" i="3"/>
  <c r="BW13" i="3"/>
  <c r="BX13" i="3"/>
  <c r="BW14" i="3"/>
  <c r="BX14" i="3"/>
  <c r="BW15" i="3"/>
  <c r="BX15" i="3"/>
  <c r="BW16" i="3"/>
  <c r="BX16" i="3"/>
  <c r="BW17" i="3"/>
  <c r="BX17" i="3"/>
  <c r="BW18" i="3"/>
  <c r="BX18" i="3"/>
  <c r="BW19" i="3"/>
  <c r="BX19" i="3"/>
  <c r="BW20" i="3"/>
  <c r="BX20" i="3"/>
  <c r="BW21" i="3"/>
  <c r="BX21" i="3"/>
  <c r="BX2" i="3"/>
  <c r="BW2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BJ63" i="3"/>
  <c r="V63" i="3"/>
  <c r="U63" i="3"/>
  <c r="Y63" i="3" s="1"/>
  <c r="T63" i="3"/>
  <c r="S63" i="3"/>
  <c r="N63" i="3"/>
  <c r="M63" i="3"/>
  <c r="L63" i="3"/>
  <c r="K63" i="3"/>
  <c r="H63" i="3"/>
  <c r="G63" i="3"/>
  <c r="E63" i="3"/>
  <c r="C63" i="3"/>
  <c r="BJ62" i="3"/>
  <c r="V62" i="3"/>
  <c r="U62" i="3"/>
  <c r="T62" i="3"/>
  <c r="S62" i="3"/>
  <c r="N62" i="3"/>
  <c r="M62" i="3"/>
  <c r="L62" i="3"/>
  <c r="K62" i="3"/>
  <c r="H62" i="3"/>
  <c r="G62" i="3"/>
  <c r="E62" i="3"/>
  <c r="C62" i="3"/>
  <c r="BJ61" i="3"/>
  <c r="V61" i="3"/>
  <c r="U61" i="3"/>
  <c r="T61" i="3"/>
  <c r="S61" i="3"/>
  <c r="N61" i="3"/>
  <c r="M61" i="3"/>
  <c r="L61" i="3"/>
  <c r="K61" i="3"/>
  <c r="O61" i="3" s="1"/>
  <c r="H61" i="3"/>
  <c r="G61" i="3"/>
  <c r="E61" i="3"/>
  <c r="C61" i="3"/>
  <c r="BJ60" i="3"/>
  <c r="V60" i="3"/>
  <c r="U60" i="3"/>
  <c r="T60" i="3"/>
  <c r="S60" i="3"/>
  <c r="N60" i="3"/>
  <c r="M60" i="3"/>
  <c r="L60" i="3"/>
  <c r="K60" i="3"/>
  <c r="O60" i="3" s="1"/>
  <c r="H60" i="3"/>
  <c r="G60" i="3"/>
  <c r="E60" i="3"/>
  <c r="C60" i="3"/>
  <c r="BJ59" i="3"/>
  <c r="V59" i="3"/>
  <c r="U59" i="3"/>
  <c r="T59" i="3"/>
  <c r="S59" i="3"/>
  <c r="N59" i="3"/>
  <c r="M59" i="3"/>
  <c r="L59" i="3"/>
  <c r="K59" i="3"/>
  <c r="H59" i="3"/>
  <c r="G59" i="3"/>
  <c r="E59" i="3"/>
  <c r="C59" i="3"/>
  <c r="BJ58" i="3"/>
  <c r="V58" i="3"/>
  <c r="U58" i="3"/>
  <c r="T58" i="3"/>
  <c r="S58" i="3"/>
  <c r="N58" i="3"/>
  <c r="M58" i="3"/>
  <c r="L58" i="3"/>
  <c r="K58" i="3"/>
  <c r="H58" i="3"/>
  <c r="G58" i="3"/>
  <c r="E58" i="3"/>
  <c r="C58" i="3"/>
  <c r="BJ57" i="3"/>
  <c r="V57" i="3"/>
  <c r="Y57" i="3" s="1"/>
  <c r="U57" i="3"/>
  <c r="T57" i="3"/>
  <c r="S57" i="3"/>
  <c r="N57" i="3"/>
  <c r="M57" i="3"/>
  <c r="L57" i="3"/>
  <c r="K57" i="3"/>
  <c r="H57" i="3"/>
  <c r="G57" i="3"/>
  <c r="E57" i="3"/>
  <c r="C57" i="3"/>
  <c r="BJ56" i="3"/>
  <c r="V56" i="3"/>
  <c r="U56" i="3"/>
  <c r="T56" i="3"/>
  <c r="S56" i="3"/>
  <c r="N56" i="3"/>
  <c r="M56" i="3"/>
  <c r="L56" i="3"/>
  <c r="K56" i="3"/>
  <c r="H56" i="3"/>
  <c r="G56" i="3"/>
  <c r="E56" i="3"/>
  <c r="C56" i="3"/>
  <c r="BJ55" i="3"/>
  <c r="V55" i="3"/>
  <c r="U55" i="3"/>
  <c r="T55" i="3"/>
  <c r="S55" i="3"/>
  <c r="N55" i="3"/>
  <c r="M55" i="3"/>
  <c r="L55" i="3"/>
  <c r="O55" i="3" s="1"/>
  <c r="K55" i="3"/>
  <c r="H55" i="3"/>
  <c r="G55" i="3"/>
  <c r="E55" i="3"/>
  <c r="C55" i="3"/>
  <c r="BJ54" i="3"/>
  <c r="V54" i="3"/>
  <c r="U54" i="3"/>
  <c r="T54" i="3"/>
  <c r="S54" i="3"/>
  <c r="N54" i="3"/>
  <c r="M54" i="3"/>
  <c r="L54" i="3"/>
  <c r="K54" i="3"/>
  <c r="H54" i="3"/>
  <c r="G54" i="3"/>
  <c r="E54" i="3"/>
  <c r="C54" i="3"/>
  <c r="BJ53" i="3"/>
  <c r="V53" i="3"/>
  <c r="U53" i="3"/>
  <c r="T53" i="3"/>
  <c r="S53" i="3"/>
  <c r="N53" i="3"/>
  <c r="M53" i="3"/>
  <c r="L53" i="3"/>
  <c r="K53" i="3"/>
  <c r="H53" i="3"/>
  <c r="G53" i="3"/>
  <c r="E53" i="3"/>
  <c r="C53" i="3"/>
  <c r="BJ52" i="3"/>
  <c r="V52" i="3"/>
  <c r="U52" i="3"/>
  <c r="T52" i="3"/>
  <c r="S52" i="3"/>
  <c r="Y52" i="3" s="1"/>
  <c r="N52" i="3"/>
  <c r="M52" i="3"/>
  <c r="L52" i="3"/>
  <c r="K52" i="3"/>
  <c r="H52" i="3"/>
  <c r="G52" i="3"/>
  <c r="E52" i="3"/>
  <c r="C52" i="3"/>
  <c r="BJ51" i="3"/>
  <c r="V51" i="3"/>
  <c r="U51" i="3"/>
  <c r="T51" i="3"/>
  <c r="S51" i="3"/>
  <c r="N51" i="3"/>
  <c r="M51" i="3"/>
  <c r="L51" i="3"/>
  <c r="K51" i="3"/>
  <c r="H51" i="3"/>
  <c r="G51" i="3"/>
  <c r="E51" i="3"/>
  <c r="C51" i="3"/>
  <c r="BJ50" i="3"/>
  <c r="V50" i="3"/>
  <c r="U50" i="3"/>
  <c r="T50" i="3"/>
  <c r="S50" i="3"/>
  <c r="Y50" i="3" s="1"/>
  <c r="N50" i="3"/>
  <c r="M50" i="3"/>
  <c r="L50" i="3"/>
  <c r="K50" i="3"/>
  <c r="H50" i="3"/>
  <c r="G50" i="3"/>
  <c r="E50" i="3"/>
  <c r="C50" i="3"/>
  <c r="BJ49" i="3"/>
  <c r="V49" i="3"/>
  <c r="U49" i="3"/>
  <c r="T49" i="3"/>
  <c r="Y49" i="3" s="1"/>
  <c r="S49" i="3"/>
  <c r="N49" i="3"/>
  <c r="M49" i="3"/>
  <c r="L49" i="3"/>
  <c r="K49" i="3"/>
  <c r="H49" i="3"/>
  <c r="G49" i="3"/>
  <c r="E49" i="3"/>
  <c r="C49" i="3"/>
  <c r="BJ48" i="3"/>
  <c r="V48" i="3"/>
  <c r="U48" i="3"/>
  <c r="T48" i="3"/>
  <c r="S48" i="3"/>
  <c r="N48" i="3"/>
  <c r="M48" i="3"/>
  <c r="L48" i="3"/>
  <c r="K48" i="3"/>
  <c r="H48" i="3"/>
  <c r="G48" i="3"/>
  <c r="E48" i="3"/>
  <c r="C48" i="3"/>
  <c r="BJ47" i="3"/>
  <c r="V47" i="3"/>
  <c r="U47" i="3"/>
  <c r="T47" i="3"/>
  <c r="S47" i="3"/>
  <c r="N47" i="3"/>
  <c r="M47" i="3"/>
  <c r="L47" i="3"/>
  <c r="K47" i="3"/>
  <c r="H47" i="3"/>
  <c r="G47" i="3"/>
  <c r="E47" i="3"/>
  <c r="C47" i="3"/>
  <c r="BJ46" i="3"/>
  <c r="V46" i="3"/>
  <c r="U46" i="3"/>
  <c r="T46" i="3"/>
  <c r="S46" i="3"/>
  <c r="N46" i="3"/>
  <c r="M46" i="3"/>
  <c r="L46" i="3"/>
  <c r="K46" i="3"/>
  <c r="H46" i="3"/>
  <c r="G46" i="3"/>
  <c r="E46" i="3"/>
  <c r="C46" i="3"/>
  <c r="BJ45" i="3"/>
  <c r="V45" i="3"/>
  <c r="U45" i="3"/>
  <c r="T45" i="3"/>
  <c r="S45" i="3"/>
  <c r="N45" i="3"/>
  <c r="M45" i="3"/>
  <c r="L45" i="3"/>
  <c r="K45" i="3"/>
  <c r="H45" i="3"/>
  <c r="G45" i="3"/>
  <c r="E45" i="3"/>
  <c r="C45" i="3"/>
  <c r="BJ44" i="3"/>
  <c r="V44" i="3"/>
  <c r="U44" i="3"/>
  <c r="T44" i="3"/>
  <c r="S44" i="3"/>
  <c r="Y44" i="3" s="1"/>
  <c r="N44" i="3"/>
  <c r="M44" i="3"/>
  <c r="L44" i="3"/>
  <c r="K44" i="3"/>
  <c r="H44" i="3"/>
  <c r="G44" i="3"/>
  <c r="E44" i="3"/>
  <c r="C44" i="3"/>
  <c r="BY43" i="3"/>
  <c r="BL43" i="3"/>
  <c r="BJ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J43" i="3"/>
  <c r="AI43" i="3"/>
  <c r="AH43" i="3"/>
  <c r="AG43" i="3"/>
  <c r="AF43" i="3"/>
  <c r="AE43" i="3"/>
  <c r="AC43" i="3"/>
  <c r="V43" i="3"/>
  <c r="U43" i="3"/>
  <c r="T43" i="3"/>
  <c r="S43" i="3"/>
  <c r="N43" i="3"/>
  <c r="M43" i="3"/>
  <c r="L43" i="3"/>
  <c r="K43" i="3"/>
  <c r="H43" i="3"/>
  <c r="AB43" i="3" s="1"/>
  <c r="G43" i="3"/>
  <c r="E43" i="3"/>
  <c r="C43" i="3"/>
  <c r="BY42" i="3"/>
  <c r="BL42" i="3"/>
  <c r="BJ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J42" i="3"/>
  <c r="AI42" i="3"/>
  <c r="AH42" i="3"/>
  <c r="AG42" i="3"/>
  <c r="AF42" i="3"/>
  <c r="AE42" i="3"/>
  <c r="AC42" i="3"/>
  <c r="V42" i="3"/>
  <c r="U42" i="3"/>
  <c r="T42" i="3"/>
  <c r="S42" i="3"/>
  <c r="N42" i="3"/>
  <c r="M42" i="3"/>
  <c r="L42" i="3"/>
  <c r="K42" i="3"/>
  <c r="H42" i="3"/>
  <c r="AB42" i="3" s="1"/>
  <c r="G42" i="3"/>
  <c r="E42" i="3"/>
  <c r="C42" i="3"/>
  <c r="BY41" i="3"/>
  <c r="BL41" i="3"/>
  <c r="BJ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J41" i="3"/>
  <c r="AI41" i="3"/>
  <c r="AH41" i="3"/>
  <c r="AG41" i="3"/>
  <c r="AF41" i="3"/>
  <c r="AE41" i="3"/>
  <c r="AC41" i="3"/>
  <c r="V41" i="3"/>
  <c r="U41" i="3"/>
  <c r="T41" i="3"/>
  <c r="S41" i="3"/>
  <c r="N41" i="3"/>
  <c r="M41" i="3"/>
  <c r="L41" i="3"/>
  <c r="K41" i="3"/>
  <c r="H41" i="3"/>
  <c r="AB41" i="3" s="1"/>
  <c r="G41" i="3"/>
  <c r="E41" i="3"/>
  <c r="C41" i="3"/>
  <c r="BY40" i="3"/>
  <c r="BL40" i="3"/>
  <c r="BJ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J40" i="3"/>
  <c r="AI40" i="3"/>
  <c r="AH40" i="3"/>
  <c r="AG40" i="3"/>
  <c r="AF40" i="3"/>
  <c r="AE40" i="3"/>
  <c r="AC40" i="3"/>
  <c r="V40" i="3"/>
  <c r="U40" i="3"/>
  <c r="T40" i="3"/>
  <c r="S40" i="3"/>
  <c r="N40" i="3"/>
  <c r="M40" i="3"/>
  <c r="L40" i="3"/>
  <c r="K40" i="3"/>
  <c r="H40" i="3"/>
  <c r="AB40" i="3" s="1"/>
  <c r="G40" i="3"/>
  <c r="E40" i="3"/>
  <c r="C40" i="3"/>
  <c r="BY39" i="3"/>
  <c r="BL39" i="3"/>
  <c r="BJ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J39" i="3"/>
  <c r="AI39" i="3"/>
  <c r="AH39" i="3"/>
  <c r="AG39" i="3"/>
  <c r="AF39" i="3"/>
  <c r="AE39" i="3"/>
  <c r="AC39" i="3"/>
  <c r="V39" i="3"/>
  <c r="U39" i="3"/>
  <c r="T39" i="3"/>
  <c r="S39" i="3"/>
  <c r="N39" i="3"/>
  <c r="M39" i="3"/>
  <c r="L39" i="3"/>
  <c r="K39" i="3"/>
  <c r="H39" i="3"/>
  <c r="AB39" i="3" s="1"/>
  <c r="G39" i="3"/>
  <c r="E39" i="3"/>
  <c r="C39" i="3"/>
  <c r="BY38" i="3"/>
  <c r="BL38" i="3"/>
  <c r="BJ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J38" i="3"/>
  <c r="AI38" i="3"/>
  <c r="AH38" i="3"/>
  <c r="AG38" i="3"/>
  <c r="AF38" i="3"/>
  <c r="AE38" i="3"/>
  <c r="AC38" i="3"/>
  <c r="V38" i="3"/>
  <c r="U38" i="3"/>
  <c r="T38" i="3"/>
  <c r="S38" i="3"/>
  <c r="N38" i="3"/>
  <c r="M38" i="3"/>
  <c r="L38" i="3"/>
  <c r="K38" i="3"/>
  <c r="H38" i="3"/>
  <c r="AB38" i="3" s="1"/>
  <c r="G38" i="3"/>
  <c r="E38" i="3"/>
  <c r="C38" i="3"/>
  <c r="BY37" i="3"/>
  <c r="BL37" i="3"/>
  <c r="BJ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J37" i="3"/>
  <c r="AI37" i="3"/>
  <c r="AH37" i="3"/>
  <c r="AG37" i="3"/>
  <c r="AF37" i="3"/>
  <c r="AE37" i="3"/>
  <c r="AC37" i="3"/>
  <c r="V37" i="3"/>
  <c r="U37" i="3"/>
  <c r="T37" i="3"/>
  <c r="S37" i="3"/>
  <c r="N37" i="3"/>
  <c r="M37" i="3"/>
  <c r="L37" i="3"/>
  <c r="K37" i="3"/>
  <c r="H37" i="3"/>
  <c r="AB37" i="3" s="1"/>
  <c r="G37" i="3"/>
  <c r="E37" i="3"/>
  <c r="C37" i="3"/>
  <c r="BY36" i="3"/>
  <c r="BL36" i="3"/>
  <c r="BJ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J36" i="3"/>
  <c r="AI36" i="3"/>
  <c r="AH36" i="3"/>
  <c r="AG36" i="3"/>
  <c r="AF36" i="3"/>
  <c r="AE36" i="3"/>
  <c r="AC36" i="3"/>
  <c r="V36" i="3"/>
  <c r="U36" i="3"/>
  <c r="T36" i="3"/>
  <c r="S36" i="3"/>
  <c r="N36" i="3"/>
  <c r="M36" i="3"/>
  <c r="L36" i="3"/>
  <c r="K36" i="3"/>
  <c r="H36" i="3"/>
  <c r="AB36" i="3" s="1"/>
  <c r="G36" i="3"/>
  <c r="E36" i="3"/>
  <c r="C36" i="3"/>
  <c r="BY35" i="3"/>
  <c r="BL35" i="3"/>
  <c r="BJ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J35" i="3"/>
  <c r="AI35" i="3"/>
  <c r="AH35" i="3"/>
  <c r="AG35" i="3"/>
  <c r="AF35" i="3"/>
  <c r="AE35" i="3"/>
  <c r="AC35" i="3"/>
  <c r="V35" i="3"/>
  <c r="U35" i="3"/>
  <c r="T35" i="3"/>
  <c r="S35" i="3"/>
  <c r="N35" i="3"/>
  <c r="M35" i="3"/>
  <c r="L35" i="3"/>
  <c r="K35" i="3"/>
  <c r="H35" i="3"/>
  <c r="AB35" i="3" s="1"/>
  <c r="G35" i="3"/>
  <c r="E35" i="3"/>
  <c r="C35" i="3"/>
  <c r="BY34" i="3"/>
  <c r="BL34" i="3"/>
  <c r="BJ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J34" i="3"/>
  <c r="AI34" i="3"/>
  <c r="AH34" i="3"/>
  <c r="AG34" i="3"/>
  <c r="AF34" i="3"/>
  <c r="AE34" i="3"/>
  <c r="AC34" i="3"/>
  <c r="V34" i="3"/>
  <c r="U34" i="3"/>
  <c r="T34" i="3"/>
  <c r="S34" i="3"/>
  <c r="N34" i="3"/>
  <c r="M34" i="3"/>
  <c r="L34" i="3"/>
  <c r="K34" i="3"/>
  <c r="H34" i="3"/>
  <c r="AB34" i="3" s="1"/>
  <c r="G34" i="3"/>
  <c r="E34" i="3"/>
  <c r="C34" i="3"/>
  <c r="BY33" i="3"/>
  <c r="BL33" i="3"/>
  <c r="BJ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J33" i="3"/>
  <c r="AI33" i="3"/>
  <c r="AH33" i="3"/>
  <c r="AG33" i="3"/>
  <c r="AF33" i="3"/>
  <c r="AE33" i="3"/>
  <c r="AC33" i="3"/>
  <c r="V33" i="3"/>
  <c r="U33" i="3"/>
  <c r="T33" i="3"/>
  <c r="S33" i="3"/>
  <c r="N33" i="3"/>
  <c r="M33" i="3"/>
  <c r="L33" i="3"/>
  <c r="K33" i="3"/>
  <c r="H33" i="3"/>
  <c r="AB33" i="3" s="1"/>
  <c r="G33" i="3"/>
  <c r="E33" i="3"/>
  <c r="C33" i="3"/>
  <c r="BY32" i="3"/>
  <c r="BL32" i="3"/>
  <c r="BJ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J32" i="3"/>
  <c r="AI32" i="3"/>
  <c r="AH32" i="3"/>
  <c r="AG32" i="3"/>
  <c r="AF32" i="3"/>
  <c r="AE32" i="3"/>
  <c r="AC32" i="3"/>
  <c r="V32" i="3"/>
  <c r="U32" i="3"/>
  <c r="T32" i="3"/>
  <c r="S32" i="3"/>
  <c r="N32" i="3"/>
  <c r="M32" i="3"/>
  <c r="L32" i="3"/>
  <c r="K32" i="3"/>
  <c r="H32" i="3"/>
  <c r="AB32" i="3" s="1"/>
  <c r="G32" i="3"/>
  <c r="E32" i="3"/>
  <c r="C32" i="3"/>
  <c r="BY31" i="3"/>
  <c r="BL31" i="3"/>
  <c r="BJ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J31" i="3"/>
  <c r="AI31" i="3"/>
  <c r="AH31" i="3"/>
  <c r="AG31" i="3"/>
  <c r="AF31" i="3"/>
  <c r="AE31" i="3"/>
  <c r="AC31" i="3"/>
  <c r="V31" i="3"/>
  <c r="U31" i="3"/>
  <c r="T31" i="3"/>
  <c r="S31" i="3"/>
  <c r="N31" i="3"/>
  <c r="M31" i="3"/>
  <c r="L31" i="3"/>
  <c r="K31" i="3"/>
  <c r="H31" i="3"/>
  <c r="AB31" i="3" s="1"/>
  <c r="G31" i="3"/>
  <c r="E31" i="3"/>
  <c r="C31" i="3"/>
  <c r="BY30" i="3"/>
  <c r="BL30" i="3"/>
  <c r="BJ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J30" i="3"/>
  <c r="AI30" i="3"/>
  <c r="AH30" i="3"/>
  <c r="AG30" i="3"/>
  <c r="AF30" i="3"/>
  <c r="AE30" i="3"/>
  <c r="AC30" i="3"/>
  <c r="V30" i="3"/>
  <c r="U30" i="3"/>
  <c r="T30" i="3"/>
  <c r="S30" i="3"/>
  <c r="N30" i="3"/>
  <c r="M30" i="3"/>
  <c r="L30" i="3"/>
  <c r="K30" i="3"/>
  <c r="H30" i="3"/>
  <c r="AB30" i="3" s="1"/>
  <c r="G30" i="3"/>
  <c r="E30" i="3"/>
  <c r="C30" i="3"/>
  <c r="BY29" i="3"/>
  <c r="BL29" i="3"/>
  <c r="BJ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J29" i="3"/>
  <c r="AI29" i="3"/>
  <c r="AH29" i="3"/>
  <c r="AG29" i="3"/>
  <c r="AF29" i="3"/>
  <c r="AE29" i="3"/>
  <c r="AC29" i="3"/>
  <c r="V29" i="3"/>
  <c r="U29" i="3"/>
  <c r="T29" i="3"/>
  <c r="S29" i="3"/>
  <c r="N29" i="3"/>
  <c r="M29" i="3"/>
  <c r="L29" i="3"/>
  <c r="K29" i="3"/>
  <c r="H29" i="3"/>
  <c r="AB29" i="3" s="1"/>
  <c r="G29" i="3"/>
  <c r="E29" i="3"/>
  <c r="C29" i="3"/>
  <c r="BY28" i="3"/>
  <c r="BL28" i="3"/>
  <c r="BJ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J28" i="3"/>
  <c r="AI28" i="3"/>
  <c r="AH28" i="3"/>
  <c r="AG28" i="3"/>
  <c r="AF28" i="3"/>
  <c r="AE28" i="3"/>
  <c r="AC28" i="3"/>
  <c r="V28" i="3"/>
  <c r="U28" i="3"/>
  <c r="T28" i="3"/>
  <c r="S28" i="3"/>
  <c r="N28" i="3"/>
  <c r="M28" i="3"/>
  <c r="L28" i="3"/>
  <c r="K28" i="3"/>
  <c r="H28" i="3"/>
  <c r="AB28" i="3" s="1"/>
  <c r="G28" i="3"/>
  <c r="E28" i="3"/>
  <c r="C28" i="3"/>
  <c r="BY27" i="3"/>
  <c r="BL27" i="3"/>
  <c r="BJ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J27" i="3"/>
  <c r="AI27" i="3"/>
  <c r="AH27" i="3"/>
  <c r="AG27" i="3"/>
  <c r="AF27" i="3"/>
  <c r="AE27" i="3"/>
  <c r="AC27" i="3"/>
  <c r="V27" i="3"/>
  <c r="U27" i="3"/>
  <c r="T27" i="3"/>
  <c r="S27" i="3"/>
  <c r="N27" i="3"/>
  <c r="M27" i="3"/>
  <c r="L27" i="3"/>
  <c r="K27" i="3"/>
  <c r="H27" i="3"/>
  <c r="AB27" i="3" s="1"/>
  <c r="G27" i="3"/>
  <c r="E27" i="3"/>
  <c r="C27" i="3"/>
  <c r="BY26" i="3"/>
  <c r="BL26" i="3"/>
  <c r="BJ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J26" i="3"/>
  <c r="AI26" i="3"/>
  <c r="AH26" i="3"/>
  <c r="AG26" i="3"/>
  <c r="AF26" i="3"/>
  <c r="AE26" i="3"/>
  <c r="AC26" i="3"/>
  <c r="V26" i="3"/>
  <c r="U26" i="3"/>
  <c r="T26" i="3"/>
  <c r="S26" i="3"/>
  <c r="Y26" i="3" s="1"/>
  <c r="AA26" i="3" s="1"/>
  <c r="N26" i="3"/>
  <c r="M26" i="3"/>
  <c r="L26" i="3"/>
  <c r="K26" i="3"/>
  <c r="H26" i="3"/>
  <c r="AB26" i="3" s="1"/>
  <c r="G26" i="3"/>
  <c r="E26" i="3"/>
  <c r="C26" i="3"/>
  <c r="BY25" i="3"/>
  <c r="BL25" i="3"/>
  <c r="BJ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J25" i="3"/>
  <c r="AI25" i="3"/>
  <c r="AH25" i="3"/>
  <c r="AG25" i="3"/>
  <c r="AF25" i="3"/>
  <c r="AE25" i="3"/>
  <c r="AC25" i="3"/>
  <c r="V25" i="3"/>
  <c r="U25" i="3"/>
  <c r="T25" i="3"/>
  <c r="S25" i="3"/>
  <c r="N25" i="3"/>
  <c r="M25" i="3"/>
  <c r="L25" i="3"/>
  <c r="K25" i="3"/>
  <c r="H25" i="3"/>
  <c r="AB25" i="3" s="1"/>
  <c r="G25" i="3"/>
  <c r="E25" i="3"/>
  <c r="C25" i="3"/>
  <c r="BY24" i="3"/>
  <c r="BL24" i="3"/>
  <c r="BJ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J24" i="3"/>
  <c r="AI24" i="3"/>
  <c r="AH24" i="3"/>
  <c r="AG24" i="3"/>
  <c r="AF24" i="3"/>
  <c r="AE24" i="3"/>
  <c r="AC24" i="3"/>
  <c r="V24" i="3"/>
  <c r="U24" i="3"/>
  <c r="T24" i="3"/>
  <c r="S24" i="3"/>
  <c r="Y24" i="3" s="1"/>
  <c r="AA24" i="3" s="1"/>
  <c r="N24" i="3"/>
  <c r="M24" i="3"/>
  <c r="L24" i="3"/>
  <c r="K24" i="3"/>
  <c r="H24" i="3"/>
  <c r="AB24" i="3" s="1"/>
  <c r="G24" i="3"/>
  <c r="E24" i="3"/>
  <c r="C24" i="3"/>
  <c r="BM21" i="3"/>
  <c r="BG21" i="3"/>
  <c r="AN21" i="3" s="1"/>
  <c r="E21" i="3"/>
  <c r="C21" i="3"/>
  <c r="BM20" i="3"/>
  <c r="BG20" i="3"/>
  <c r="AN20" i="3" s="1"/>
  <c r="E20" i="3"/>
  <c r="C20" i="3"/>
  <c r="BM19" i="3"/>
  <c r="BG19" i="3"/>
  <c r="AN19" i="3" s="1"/>
  <c r="E19" i="3"/>
  <c r="C19" i="3"/>
  <c r="BM18" i="3"/>
  <c r="BG18" i="3"/>
  <c r="AN18" i="3" s="1"/>
  <c r="E18" i="3"/>
  <c r="C18" i="3"/>
  <c r="BM17" i="3"/>
  <c r="BG17" i="3"/>
  <c r="AN17" i="3" s="1"/>
  <c r="AM17" i="3"/>
  <c r="E17" i="3"/>
  <c r="C17" i="3"/>
  <c r="BM16" i="3"/>
  <c r="BG16" i="3"/>
  <c r="AM16" i="3" s="1"/>
  <c r="BN16" i="3" s="1"/>
  <c r="BO16" i="3" s="1"/>
  <c r="E16" i="3"/>
  <c r="C16" i="3"/>
  <c r="BM15" i="3"/>
  <c r="BG15" i="3"/>
  <c r="AM15" i="3" s="1"/>
  <c r="E15" i="3"/>
  <c r="C15" i="3"/>
  <c r="BM14" i="3"/>
  <c r="BG14" i="3"/>
  <c r="AN14" i="3" s="1"/>
  <c r="E14" i="3"/>
  <c r="C14" i="3"/>
  <c r="BM13" i="3"/>
  <c r="BG13" i="3"/>
  <c r="AN13" i="3" s="1"/>
  <c r="E13" i="3"/>
  <c r="C13" i="3"/>
  <c r="BM12" i="3"/>
  <c r="BG12" i="3"/>
  <c r="AN12" i="3" s="1"/>
  <c r="E12" i="3"/>
  <c r="C12" i="3"/>
  <c r="BM11" i="3"/>
  <c r="BG11" i="3"/>
  <c r="AN11" i="3" s="1"/>
  <c r="E11" i="3"/>
  <c r="C11" i="3"/>
  <c r="BM10" i="3"/>
  <c r="BG10" i="3"/>
  <c r="AN10" i="3" s="1"/>
  <c r="E10" i="3"/>
  <c r="C10" i="3"/>
  <c r="BM9" i="3"/>
  <c r="BG9" i="3"/>
  <c r="AM9" i="3" s="1"/>
  <c r="E9" i="3"/>
  <c r="C9" i="3"/>
  <c r="BM8" i="3"/>
  <c r="BG8" i="3"/>
  <c r="AN8" i="3" s="1"/>
  <c r="E8" i="3"/>
  <c r="C8" i="3"/>
  <c r="BM7" i="3"/>
  <c r="BG7" i="3"/>
  <c r="AM7" i="3" s="1"/>
  <c r="E7" i="3"/>
  <c r="C7" i="3"/>
  <c r="BM6" i="3"/>
  <c r="BG6" i="3"/>
  <c r="AN6" i="3" s="1"/>
  <c r="E6" i="3"/>
  <c r="C6" i="3"/>
  <c r="BM5" i="3"/>
  <c r="BG5" i="3"/>
  <c r="AN5" i="3" s="1"/>
  <c r="E5" i="3"/>
  <c r="C5" i="3"/>
  <c r="BM4" i="3"/>
  <c r="BG4" i="3"/>
  <c r="AN4" i="3" s="1"/>
  <c r="E4" i="3"/>
  <c r="C4" i="3"/>
  <c r="BM3" i="3"/>
  <c r="BG3" i="3"/>
  <c r="AN3" i="3" s="1"/>
  <c r="E3" i="3"/>
  <c r="C3" i="3"/>
  <c r="BM2" i="3"/>
  <c r="BG2" i="3"/>
  <c r="AN2" i="3" s="1"/>
  <c r="E2" i="3"/>
  <c r="C2" i="3"/>
  <c r="C123" i="1"/>
  <c r="C124" i="1"/>
  <c r="C125" i="1"/>
  <c r="C126" i="1"/>
  <c r="C127" i="1"/>
  <c r="C135" i="1"/>
  <c r="C139" i="1"/>
  <c r="C140" i="1"/>
  <c r="C141" i="1"/>
  <c r="C142" i="1"/>
  <c r="C143" i="1"/>
  <c r="C152" i="1"/>
  <c r="C153" i="1"/>
  <c r="C154" i="1"/>
  <c r="C155" i="1"/>
  <c r="C119" i="1"/>
  <c r="C120" i="1"/>
  <c r="C121" i="1"/>
  <c r="C122" i="1"/>
  <c r="C128" i="1"/>
  <c r="C136" i="1"/>
  <c r="C137" i="1"/>
  <c r="C144" i="1"/>
  <c r="C151" i="1"/>
  <c r="C112" i="1"/>
  <c r="C114" i="1"/>
  <c r="C115" i="1"/>
  <c r="C116" i="1"/>
  <c r="C117" i="1"/>
  <c r="C118" i="1"/>
  <c r="C129" i="1"/>
  <c r="C130" i="1"/>
  <c r="C131" i="1"/>
  <c r="C132" i="1"/>
  <c r="C133" i="1"/>
  <c r="C134" i="1"/>
  <c r="C138" i="1"/>
  <c r="C145" i="1"/>
  <c r="C146" i="1"/>
  <c r="C147" i="1"/>
  <c r="C148" i="1"/>
  <c r="C149" i="1"/>
  <c r="C150" i="1"/>
  <c r="C113" i="1"/>
  <c r="C71" i="1"/>
  <c r="C72" i="1"/>
  <c r="C74" i="1"/>
  <c r="C75" i="1"/>
  <c r="C76" i="1"/>
  <c r="C77" i="1"/>
  <c r="C78" i="1"/>
  <c r="C79" i="1"/>
  <c r="C80" i="1"/>
  <c r="C81" i="1"/>
  <c r="C82" i="1"/>
  <c r="C87" i="1"/>
  <c r="C90" i="1"/>
  <c r="C91" i="1"/>
  <c r="C92" i="1"/>
  <c r="C93" i="1"/>
  <c r="C94" i="1"/>
  <c r="C95" i="1"/>
  <c r="C96" i="1"/>
  <c r="C97" i="1"/>
  <c r="C98" i="1"/>
  <c r="C103" i="1"/>
  <c r="C106" i="1"/>
  <c r="C107" i="1"/>
  <c r="C108" i="1"/>
  <c r="C109" i="1"/>
  <c r="C66" i="1"/>
  <c r="C67" i="1"/>
  <c r="C68" i="1"/>
  <c r="C69" i="1"/>
  <c r="C70" i="1"/>
  <c r="C73" i="1"/>
  <c r="C83" i="1"/>
  <c r="C84" i="1"/>
  <c r="C85" i="1"/>
  <c r="C86" i="1"/>
  <c r="C88" i="1"/>
  <c r="C89" i="1"/>
  <c r="C99" i="1"/>
  <c r="C100" i="1"/>
  <c r="C101" i="1"/>
  <c r="C102" i="1"/>
  <c r="C104" i="1"/>
  <c r="C105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J63" i="1"/>
  <c r="V63" i="1"/>
  <c r="U63" i="1"/>
  <c r="T63" i="1"/>
  <c r="S63" i="1"/>
  <c r="N63" i="1"/>
  <c r="M63" i="1"/>
  <c r="L63" i="1"/>
  <c r="K63" i="1"/>
  <c r="H63" i="1"/>
  <c r="G63" i="1"/>
  <c r="E63" i="1"/>
  <c r="BJ62" i="1"/>
  <c r="V62" i="1"/>
  <c r="U62" i="1"/>
  <c r="T62" i="1"/>
  <c r="S62" i="1"/>
  <c r="N62" i="1"/>
  <c r="M62" i="1"/>
  <c r="L62" i="1"/>
  <c r="K62" i="1"/>
  <c r="H62" i="1"/>
  <c r="G62" i="1"/>
  <c r="E62" i="1"/>
  <c r="BJ61" i="1"/>
  <c r="V61" i="1"/>
  <c r="U61" i="1"/>
  <c r="T61" i="1"/>
  <c r="S61" i="1"/>
  <c r="N61" i="1"/>
  <c r="M61" i="1"/>
  <c r="L61" i="1"/>
  <c r="K61" i="1"/>
  <c r="H61" i="1"/>
  <c r="G61" i="1"/>
  <c r="E61" i="1"/>
  <c r="BJ60" i="1"/>
  <c r="V60" i="1"/>
  <c r="U60" i="1"/>
  <c r="T60" i="1"/>
  <c r="S60" i="1"/>
  <c r="N60" i="1"/>
  <c r="M60" i="1"/>
  <c r="L60" i="1"/>
  <c r="K60" i="1"/>
  <c r="H60" i="1"/>
  <c r="G60" i="1"/>
  <c r="E60" i="1"/>
  <c r="BJ59" i="1"/>
  <c r="V59" i="1"/>
  <c r="U59" i="1"/>
  <c r="T59" i="1"/>
  <c r="S59" i="1"/>
  <c r="N59" i="1"/>
  <c r="M59" i="1"/>
  <c r="L59" i="1"/>
  <c r="K59" i="1"/>
  <c r="H59" i="1"/>
  <c r="G59" i="1"/>
  <c r="E59" i="1"/>
  <c r="BJ58" i="1"/>
  <c r="V58" i="1"/>
  <c r="U58" i="1"/>
  <c r="T58" i="1"/>
  <c r="S58" i="1"/>
  <c r="N58" i="1"/>
  <c r="M58" i="1"/>
  <c r="L58" i="1"/>
  <c r="K58" i="1"/>
  <c r="H58" i="1"/>
  <c r="G58" i="1"/>
  <c r="E58" i="1"/>
  <c r="BJ57" i="1"/>
  <c r="V57" i="1"/>
  <c r="U57" i="1"/>
  <c r="T57" i="1"/>
  <c r="S57" i="1"/>
  <c r="N57" i="1"/>
  <c r="M57" i="1"/>
  <c r="L57" i="1"/>
  <c r="K57" i="1"/>
  <c r="H57" i="1"/>
  <c r="G57" i="1"/>
  <c r="E57" i="1"/>
  <c r="BJ56" i="1"/>
  <c r="V56" i="1"/>
  <c r="U56" i="1"/>
  <c r="T56" i="1"/>
  <c r="S56" i="1"/>
  <c r="N56" i="1"/>
  <c r="M56" i="1"/>
  <c r="L56" i="1"/>
  <c r="K56" i="1"/>
  <c r="H56" i="1"/>
  <c r="G56" i="1"/>
  <c r="E56" i="1"/>
  <c r="BJ55" i="1"/>
  <c r="V55" i="1"/>
  <c r="U55" i="1"/>
  <c r="T55" i="1"/>
  <c r="S55" i="1"/>
  <c r="N55" i="1"/>
  <c r="M55" i="1"/>
  <c r="L55" i="1"/>
  <c r="K55" i="1"/>
  <c r="H55" i="1"/>
  <c r="G55" i="1"/>
  <c r="E55" i="1"/>
  <c r="BJ54" i="1"/>
  <c r="V54" i="1"/>
  <c r="U54" i="1"/>
  <c r="T54" i="1"/>
  <c r="S54" i="1"/>
  <c r="N54" i="1"/>
  <c r="M54" i="1"/>
  <c r="L54" i="1"/>
  <c r="K54" i="1"/>
  <c r="H54" i="1"/>
  <c r="G54" i="1"/>
  <c r="E54" i="1"/>
  <c r="BJ53" i="1"/>
  <c r="V53" i="1"/>
  <c r="U53" i="1"/>
  <c r="T53" i="1"/>
  <c r="S53" i="1"/>
  <c r="N53" i="1"/>
  <c r="M53" i="1"/>
  <c r="L53" i="1"/>
  <c r="K53" i="1"/>
  <c r="H53" i="1"/>
  <c r="G53" i="1"/>
  <c r="E53" i="1"/>
  <c r="BJ52" i="1"/>
  <c r="V52" i="1"/>
  <c r="U52" i="1"/>
  <c r="T52" i="1"/>
  <c r="S52" i="1"/>
  <c r="N52" i="1"/>
  <c r="M52" i="1"/>
  <c r="L52" i="1"/>
  <c r="K52" i="1"/>
  <c r="H52" i="1"/>
  <c r="G52" i="1"/>
  <c r="E52" i="1"/>
  <c r="BJ51" i="1"/>
  <c r="V51" i="1"/>
  <c r="U51" i="1"/>
  <c r="T51" i="1"/>
  <c r="S51" i="1"/>
  <c r="N51" i="1"/>
  <c r="M51" i="1"/>
  <c r="L51" i="1"/>
  <c r="K51" i="1"/>
  <c r="H51" i="1"/>
  <c r="G51" i="1"/>
  <c r="E51" i="1"/>
  <c r="BJ50" i="1"/>
  <c r="V50" i="1"/>
  <c r="U50" i="1"/>
  <c r="T50" i="1"/>
  <c r="S50" i="1"/>
  <c r="N50" i="1"/>
  <c r="M50" i="1"/>
  <c r="L50" i="1"/>
  <c r="K50" i="1"/>
  <c r="H50" i="1"/>
  <c r="G50" i="1"/>
  <c r="E50" i="1"/>
  <c r="BJ49" i="1"/>
  <c r="V49" i="1"/>
  <c r="U49" i="1"/>
  <c r="T49" i="1"/>
  <c r="S49" i="1"/>
  <c r="N49" i="1"/>
  <c r="M49" i="1"/>
  <c r="L49" i="1"/>
  <c r="K49" i="1"/>
  <c r="H49" i="1"/>
  <c r="G49" i="1"/>
  <c r="E49" i="1"/>
  <c r="BJ48" i="1"/>
  <c r="V48" i="1"/>
  <c r="U48" i="1"/>
  <c r="T48" i="1"/>
  <c r="S48" i="1"/>
  <c r="N48" i="1"/>
  <c r="M48" i="1"/>
  <c r="L48" i="1"/>
  <c r="K48" i="1"/>
  <c r="H48" i="1"/>
  <c r="G48" i="1"/>
  <c r="E48" i="1"/>
  <c r="BJ47" i="1"/>
  <c r="V47" i="1"/>
  <c r="U47" i="1"/>
  <c r="T47" i="1"/>
  <c r="S47" i="1"/>
  <c r="N47" i="1"/>
  <c r="M47" i="1"/>
  <c r="L47" i="1"/>
  <c r="K47" i="1"/>
  <c r="H47" i="1"/>
  <c r="G47" i="1"/>
  <c r="E47" i="1"/>
  <c r="BJ46" i="1"/>
  <c r="V46" i="1"/>
  <c r="U46" i="1"/>
  <c r="T46" i="1"/>
  <c r="S46" i="1"/>
  <c r="N46" i="1"/>
  <c r="M46" i="1"/>
  <c r="L46" i="1"/>
  <c r="K46" i="1"/>
  <c r="H46" i="1"/>
  <c r="G46" i="1"/>
  <c r="E46" i="1"/>
  <c r="BJ45" i="1"/>
  <c r="V45" i="1"/>
  <c r="U45" i="1"/>
  <c r="T45" i="1"/>
  <c r="S45" i="1"/>
  <c r="N45" i="1"/>
  <c r="M45" i="1"/>
  <c r="L45" i="1"/>
  <c r="K45" i="1"/>
  <c r="H45" i="1"/>
  <c r="G45" i="1"/>
  <c r="E45" i="1"/>
  <c r="BJ44" i="1"/>
  <c r="V44" i="1"/>
  <c r="U44" i="1"/>
  <c r="T44" i="1"/>
  <c r="S44" i="1"/>
  <c r="N44" i="1"/>
  <c r="M44" i="1"/>
  <c r="L44" i="1"/>
  <c r="K44" i="1"/>
  <c r="H44" i="1"/>
  <c r="G44" i="1"/>
  <c r="E44" i="1"/>
  <c r="BW43" i="1"/>
  <c r="BL43" i="1"/>
  <c r="BJ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J43" i="1"/>
  <c r="AI43" i="1"/>
  <c r="AH43" i="1"/>
  <c r="AG43" i="1"/>
  <c r="AF43" i="1"/>
  <c r="AE43" i="1"/>
  <c r="AC43" i="1"/>
  <c r="V43" i="1"/>
  <c r="U43" i="1"/>
  <c r="T43" i="1"/>
  <c r="S43" i="1"/>
  <c r="N43" i="1"/>
  <c r="M43" i="1"/>
  <c r="L43" i="1"/>
  <c r="K43" i="1"/>
  <c r="H43" i="1"/>
  <c r="AB43" i="1" s="1"/>
  <c r="G43" i="1"/>
  <c r="E43" i="1"/>
  <c r="BW42" i="1"/>
  <c r="BL42" i="1"/>
  <c r="BJ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J42" i="1"/>
  <c r="AI42" i="1"/>
  <c r="AH42" i="1"/>
  <c r="AG42" i="1"/>
  <c r="AF42" i="1"/>
  <c r="AE42" i="1"/>
  <c r="AC42" i="1"/>
  <c r="V42" i="1"/>
  <c r="U42" i="1"/>
  <c r="T42" i="1"/>
  <c r="S42" i="1"/>
  <c r="N42" i="1"/>
  <c r="M42" i="1"/>
  <c r="L42" i="1"/>
  <c r="K42" i="1"/>
  <c r="H42" i="1"/>
  <c r="AB42" i="1" s="1"/>
  <c r="G42" i="1"/>
  <c r="E42" i="1"/>
  <c r="BW41" i="1"/>
  <c r="BL41" i="1"/>
  <c r="BJ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J41" i="1"/>
  <c r="AI41" i="1"/>
  <c r="AH41" i="1"/>
  <c r="AG41" i="1"/>
  <c r="AF41" i="1"/>
  <c r="AE41" i="1"/>
  <c r="AC41" i="1"/>
  <c r="V41" i="1"/>
  <c r="U41" i="1"/>
  <c r="T41" i="1"/>
  <c r="S41" i="1"/>
  <c r="N41" i="1"/>
  <c r="M41" i="1"/>
  <c r="L41" i="1"/>
  <c r="K41" i="1"/>
  <c r="H41" i="1"/>
  <c r="AB41" i="1" s="1"/>
  <c r="G41" i="1"/>
  <c r="E41" i="1"/>
  <c r="BW40" i="1"/>
  <c r="BL40" i="1"/>
  <c r="BJ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J40" i="1"/>
  <c r="AI40" i="1"/>
  <c r="AH40" i="1"/>
  <c r="AG40" i="1"/>
  <c r="AF40" i="1"/>
  <c r="AE40" i="1"/>
  <c r="AC40" i="1"/>
  <c r="AB40" i="1"/>
  <c r="V40" i="1"/>
  <c r="U40" i="1"/>
  <c r="T40" i="1"/>
  <c r="S40" i="1"/>
  <c r="N40" i="1"/>
  <c r="M40" i="1"/>
  <c r="L40" i="1"/>
  <c r="K40" i="1"/>
  <c r="H40" i="1"/>
  <c r="G40" i="1"/>
  <c r="E40" i="1"/>
  <c r="BW39" i="1"/>
  <c r="BL39" i="1"/>
  <c r="BJ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J39" i="1"/>
  <c r="AI39" i="1"/>
  <c r="AH39" i="1"/>
  <c r="AG39" i="1"/>
  <c r="AF39" i="1"/>
  <c r="AE39" i="1"/>
  <c r="AC39" i="1"/>
  <c r="V39" i="1"/>
  <c r="U39" i="1"/>
  <c r="T39" i="1"/>
  <c r="S39" i="1"/>
  <c r="N39" i="1"/>
  <c r="M39" i="1"/>
  <c r="L39" i="1"/>
  <c r="K39" i="1"/>
  <c r="H39" i="1"/>
  <c r="AB39" i="1" s="1"/>
  <c r="G39" i="1"/>
  <c r="E39" i="1"/>
  <c r="BW38" i="1"/>
  <c r="BL38" i="1"/>
  <c r="BJ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J38" i="1"/>
  <c r="AI38" i="1"/>
  <c r="AH38" i="1"/>
  <c r="AG38" i="1"/>
  <c r="AF38" i="1"/>
  <c r="AE38" i="1"/>
  <c r="AC38" i="1"/>
  <c r="V38" i="1"/>
  <c r="U38" i="1"/>
  <c r="T38" i="1"/>
  <c r="S38" i="1"/>
  <c r="N38" i="1"/>
  <c r="M38" i="1"/>
  <c r="L38" i="1"/>
  <c r="K38" i="1"/>
  <c r="H38" i="1"/>
  <c r="AB38" i="1" s="1"/>
  <c r="G38" i="1"/>
  <c r="E38" i="1"/>
  <c r="BW37" i="1"/>
  <c r="BL37" i="1"/>
  <c r="BJ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J37" i="1"/>
  <c r="AI37" i="1"/>
  <c r="AH37" i="1"/>
  <c r="AG37" i="1"/>
  <c r="AF37" i="1"/>
  <c r="AE37" i="1"/>
  <c r="AC37" i="1"/>
  <c r="V37" i="1"/>
  <c r="U37" i="1"/>
  <c r="T37" i="1"/>
  <c r="S37" i="1"/>
  <c r="N37" i="1"/>
  <c r="M37" i="1"/>
  <c r="L37" i="1"/>
  <c r="K37" i="1"/>
  <c r="H37" i="1"/>
  <c r="AB37" i="1" s="1"/>
  <c r="G37" i="1"/>
  <c r="E37" i="1"/>
  <c r="BW36" i="1"/>
  <c r="BL36" i="1"/>
  <c r="BJ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J36" i="1"/>
  <c r="AI36" i="1"/>
  <c r="AH36" i="1"/>
  <c r="AG36" i="1"/>
  <c r="AF36" i="1"/>
  <c r="AE36" i="1"/>
  <c r="AC36" i="1"/>
  <c r="V36" i="1"/>
  <c r="U36" i="1"/>
  <c r="T36" i="1"/>
  <c r="S36" i="1"/>
  <c r="N36" i="1"/>
  <c r="M36" i="1"/>
  <c r="L36" i="1"/>
  <c r="K36" i="1"/>
  <c r="H36" i="1"/>
  <c r="AB36" i="1" s="1"/>
  <c r="G36" i="1"/>
  <c r="E36" i="1"/>
  <c r="BW35" i="1"/>
  <c r="BL35" i="1"/>
  <c r="BJ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J35" i="1"/>
  <c r="AI35" i="1"/>
  <c r="AH35" i="1"/>
  <c r="AG35" i="1"/>
  <c r="AF35" i="1"/>
  <c r="AE35" i="1"/>
  <c r="AC35" i="1"/>
  <c r="V35" i="1"/>
  <c r="U35" i="1"/>
  <c r="T35" i="1"/>
  <c r="S35" i="1"/>
  <c r="N35" i="1"/>
  <c r="M35" i="1"/>
  <c r="L35" i="1"/>
  <c r="K35" i="1"/>
  <c r="H35" i="1"/>
  <c r="AB35" i="1" s="1"/>
  <c r="G35" i="1"/>
  <c r="E35" i="1"/>
  <c r="BW34" i="1"/>
  <c r="BL34" i="1"/>
  <c r="BJ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J34" i="1"/>
  <c r="AI34" i="1"/>
  <c r="AH34" i="1"/>
  <c r="AG34" i="1"/>
  <c r="AF34" i="1"/>
  <c r="AE34" i="1"/>
  <c r="AC34" i="1"/>
  <c r="V34" i="1"/>
  <c r="U34" i="1"/>
  <c r="T34" i="1"/>
  <c r="S34" i="1"/>
  <c r="N34" i="1"/>
  <c r="M34" i="1"/>
  <c r="L34" i="1"/>
  <c r="K34" i="1"/>
  <c r="H34" i="1"/>
  <c r="AB34" i="1" s="1"/>
  <c r="G34" i="1"/>
  <c r="E34" i="1"/>
  <c r="BW33" i="1"/>
  <c r="BL33" i="1"/>
  <c r="BJ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J33" i="1"/>
  <c r="AI33" i="1"/>
  <c r="AH33" i="1"/>
  <c r="AG33" i="1"/>
  <c r="AF33" i="1"/>
  <c r="AE33" i="1"/>
  <c r="AC33" i="1"/>
  <c r="V33" i="1"/>
  <c r="U33" i="1"/>
  <c r="T33" i="1"/>
  <c r="S33" i="1"/>
  <c r="N33" i="1"/>
  <c r="M33" i="1"/>
  <c r="L33" i="1"/>
  <c r="K33" i="1"/>
  <c r="H33" i="1"/>
  <c r="AB33" i="1" s="1"/>
  <c r="G33" i="1"/>
  <c r="E33" i="1"/>
  <c r="BW32" i="1"/>
  <c r="BL32" i="1"/>
  <c r="BJ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J32" i="1"/>
  <c r="AI32" i="1"/>
  <c r="AH32" i="1"/>
  <c r="AG32" i="1"/>
  <c r="AF32" i="1"/>
  <c r="AE32" i="1"/>
  <c r="AC32" i="1"/>
  <c r="V32" i="1"/>
  <c r="U32" i="1"/>
  <c r="T32" i="1"/>
  <c r="S32" i="1"/>
  <c r="N32" i="1"/>
  <c r="M32" i="1"/>
  <c r="L32" i="1"/>
  <c r="K32" i="1"/>
  <c r="H32" i="1"/>
  <c r="AB32" i="1" s="1"/>
  <c r="G32" i="1"/>
  <c r="E32" i="1"/>
  <c r="BW31" i="1"/>
  <c r="BL31" i="1"/>
  <c r="BJ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J31" i="1"/>
  <c r="AI31" i="1"/>
  <c r="AH31" i="1"/>
  <c r="AG31" i="1"/>
  <c r="AF31" i="1"/>
  <c r="AE31" i="1"/>
  <c r="AC31" i="1"/>
  <c r="V31" i="1"/>
  <c r="U31" i="1"/>
  <c r="T31" i="1"/>
  <c r="S31" i="1"/>
  <c r="N31" i="1"/>
  <c r="M31" i="1"/>
  <c r="L31" i="1"/>
  <c r="K31" i="1"/>
  <c r="H31" i="1"/>
  <c r="AB31" i="1" s="1"/>
  <c r="G31" i="1"/>
  <c r="E31" i="1"/>
  <c r="BW30" i="1"/>
  <c r="BL30" i="1"/>
  <c r="BJ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J30" i="1"/>
  <c r="AI30" i="1"/>
  <c r="AH30" i="1"/>
  <c r="AG30" i="1"/>
  <c r="AF30" i="1"/>
  <c r="AE30" i="1"/>
  <c r="AC30" i="1"/>
  <c r="V30" i="1"/>
  <c r="U30" i="1"/>
  <c r="T30" i="1"/>
  <c r="S30" i="1"/>
  <c r="N30" i="1"/>
  <c r="M30" i="1"/>
  <c r="L30" i="1"/>
  <c r="K30" i="1"/>
  <c r="H30" i="1"/>
  <c r="AB30" i="1" s="1"/>
  <c r="G30" i="1"/>
  <c r="E30" i="1"/>
  <c r="BW29" i="1"/>
  <c r="BL29" i="1"/>
  <c r="BJ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J29" i="1"/>
  <c r="AI29" i="1"/>
  <c r="AH29" i="1"/>
  <c r="AG29" i="1"/>
  <c r="AF29" i="1"/>
  <c r="AE29" i="1"/>
  <c r="AC29" i="1"/>
  <c r="V29" i="1"/>
  <c r="U29" i="1"/>
  <c r="T29" i="1"/>
  <c r="S29" i="1"/>
  <c r="N29" i="1"/>
  <c r="M29" i="1"/>
  <c r="L29" i="1"/>
  <c r="K29" i="1"/>
  <c r="H29" i="1"/>
  <c r="AB29" i="1" s="1"/>
  <c r="G29" i="1"/>
  <c r="E29" i="1"/>
  <c r="BW28" i="1"/>
  <c r="BL28" i="1"/>
  <c r="BJ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J28" i="1"/>
  <c r="AI28" i="1"/>
  <c r="AH28" i="1"/>
  <c r="AG28" i="1"/>
  <c r="AF28" i="1"/>
  <c r="AE28" i="1"/>
  <c r="AC28" i="1"/>
  <c r="V28" i="1"/>
  <c r="U28" i="1"/>
  <c r="T28" i="1"/>
  <c r="S28" i="1"/>
  <c r="N28" i="1"/>
  <c r="M28" i="1"/>
  <c r="L28" i="1"/>
  <c r="K28" i="1"/>
  <c r="H28" i="1"/>
  <c r="AB28" i="1" s="1"/>
  <c r="G28" i="1"/>
  <c r="E28" i="1"/>
  <c r="BW27" i="1"/>
  <c r="BL27" i="1"/>
  <c r="BJ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J27" i="1"/>
  <c r="AI27" i="1"/>
  <c r="AH27" i="1"/>
  <c r="AG27" i="1"/>
  <c r="AF27" i="1"/>
  <c r="AE27" i="1"/>
  <c r="AC27" i="1"/>
  <c r="V27" i="1"/>
  <c r="U27" i="1"/>
  <c r="T27" i="1"/>
  <c r="S27" i="1"/>
  <c r="N27" i="1"/>
  <c r="M27" i="1"/>
  <c r="L27" i="1"/>
  <c r="K27" i="1"/>
  <c r="H27" i="1"/>
  <c r="AB27" i="1" s="1"/>
  <c r="G27" i="1"/>
  <c r="E27" i="1"/>
  <c r="BW26" i="1"/>
  <c r="BL26" i="1"/>
  <c r="BJ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J26" i="1"/>
  <c r="AI26" i="1"/>
  <c r="AH26" i="1"/>
  <c r="AG26" i="1"/>
  <c r="AF26" i="1"/>
  <c r="AE26" i="1"/>
  <c r="AC26" i="1"/>
  <c r="V26" i="1"/>
  <c r="U26" i="1"/>
  <c r="T26" i="1"/>
  <c r="S26" i="1"/>
  <c r="N26" i="1"/>
  <c r="M26" i="1"/>
  <c r="L26" i="1"/>
  <c r="K26" i="1"/>
  <c r="H26" i="1"/>
  <c r="AB26" i="1" s="1"/>
  <c r="G26" i="1"/>
  <c r="E26" i="1"/>
  <c r="BW25" i="1"/>
  <c r="BL25" i="1"/>
  <c r="BJ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J25" i="1"/>
  <c r="AI25" i="1"/>
  <c r="AH25" i="1"/>
  <c r="AG25" i="1"/>
  <c r="AF25" i="1"/>
  <c r="AE25" i="1"/>
  <c r="AC25" i="1"/>
  <c r="V25" i="1"/>
  <c r="U25" i="1"/>
  <c r="T25" i="1"/>
  <c r="S25" i="1"/>
  <c r="N25" i="1"/>
  <c r="M25" i="1"/>
  <c r="L25" i="1"/>
  <c r="K25" i="1"/>
  <c r="H25" i="1"/>
  <c r="AB25" i="1" s="1"/>
  <c r="G25" i="1"/>
  <c r="E25" i="1"/>
  <c r="BW24" i="1"/>
  <c r="BL24" i="1"/>
  <c r="BJ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J24" i="1"/>
  <c r="AI24" i="1"/>
  <c r="AH24" i="1"/>
  <c r="AG24" i="1"/>
  <c r="AF24" i="1"/>
  <c r="AE24" i="1"/>
  <c r="AC24" i="1"/>
  <c r="V24" i="1"/>
  <c r="U24" i="1"/>
  <c r="T24" i="1"/>
  <c r="S24" i="1"/>
  <c r="N24" i="1"/>
  <c r="M24" i="1"/>
  <c r="L24" i="1"/>
  <c r="K24" i="1"/>
  <c r="H24" i="1"/>
  <c r="AB24" i="1" s="1"/>
  <c r="G24" i="1"/>
  <c r="E24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BG3" i="1"/>
  <c r="AN3" i="1" s="1"/>
  <c r="BG4" i="1"/>
  <c r="AM4" i="1" s="1"/>
  <c r="BG5" i="1"/>
  <c r="AN5" i="1" s="1"/>
  <c r="BG6" i="1"/>
  <c r="AM6" i="1" s="1"/>
  <c r="BG7" i="1"/>
  <c r="AN7" i="1" s="1"/>
  <c r="BG8" i="1"/>
  <c r="AN8" i="1" s="1"/>
  <c r="BG9" i="1"/>
  <c r="AM9" i="1" s="1"/>
  <c r="BG10" i="1"/>
  <c r="AM10" i="1" s="1"/>
  <c r="BG11" i="1"/>
  <c r="AM11" i="1" s="1"/>
  <c r="BG12" i="1"/>
  <c r="AM12" i="1" s="1"/>
  <c r="BG13" i="1"/>
  <c r="AM13" i="1" s="1"/>
  <c r="BG14" i="1"/>
  <c r="AM14" i="1" s="1"/>
  <c r="BG15" i="1"/>
  <c r="AM15" i="1" s="1"/>
  <c r="BG16" i="1"/>
  <c r="AN16" i="1" s="1"/>
  <c r="BG17" i="1"/>
  <c r="AM17" i="1" s="1"/>
  <c r="BG18" i="1"/>
  <c r="AM18" i="1" s="1"/>
  <c r="BG19" i="1"/>
  <c r="AN19" i="1" s="1"/>
  <c r="BG20" i="1"/>
  <c r="AN20" i="1" s="1"/>
  <c r="BG21" i="1"/>
  <c r="AN21" i="1" s="1"/>
  <c r="BG2" i="1"/>
  <c r="AN2" i="1" s="1"/>
  <c r="BM21" i="1"/>
  <c r="E21" i="1"/>
  <c r="BM20" i="1"/>
  <c r="E20" i="1"/>
  <c r="BM19" i="1"/>
  <c r="E19" i="1"/>
  <c r="BM18" i="1"/>
  <c r="E18" i="1"/>
  <c r="BM17" i="1"/>
  <c r="E17" i="1"/>
  <c r="BM16" i="1"/>
  <c r="E16" i="1"/>
  <c r="BM15" i="1"/>
  <c r="E15" i="1"/>
  <c r="BM14" i="1"/>
  <c r="E14" i="1"/>
  <c r="BM13" i="1"/>
  <c r="E13" i="1"/>
  <c r="BM12" i="1"/>
  <c r="E12" i="1"/>
  <c r="BM11" i="1"/>
  <c r="E11" i="1"/>
  <c r="BM10" i="1"/>
  <c r="E10" i="1"/>
  <c r="BM9" i="1"/>
  <c r="E9" i="1"/>
  <c r="BM8" i="1"/>
  <c r="E8" i="1"/>
  <c r="BM7" i="1"/>
  <c r="E7" i="1"/>
  <c r="BM6" i="1"/>
  <c r="E6" i="1"/>
  <c r="BM5" i="1"/>
  <c r="E5" i="1"/>
  <c r="BM4" i="1"/>
  <c r="E4" i="1"/>
  <c r="BM3" i="1"/>
  <c r="E3" i="1"/>
  <c r="BM2" i="1"/>
  <c r="E2" i="1"/>
  <c r="Y38" i="3" l="1"/>
  <c r="AA38" i="3" s="1"/>
  <c r="Y47" i="3"/>
  <c r="O25" i="3"/>
  <c r="Y53" i="3"/>
  <c r="Y33" i="3"/>
  <c r="AA33" i="3" s="1"/>
  <c r="Y46" i="3"/>
  <c r="AN9" i="3"/>
  <c r="Y51" i="3"/>
  <c r="O28" i="3"/>
  <c r="O44" i="3"/>
  <c r="Y35" i="3"/>
  <c r="AA35" i="3" s="1"/>
  <c r="O31" i="3"/>
  <c r="Y30" i="3"/>
  <c r="AA30" i="3" s="1"/>
  <c r="AD30" i="3" s="1"/>
  <c r="Y40" i="3"/>
  <c r="AA40" i="3" s="1"/>
  <c r="AD40" i="3" s="1"/>
  <c r="O42" i="3"/>
  <c r="O57" i="3"/>
  <c r="AD57" i="3" s="1"/>
  <c r="AK57" i="3" s="1"/>
  <c r="Y28" i="3"/>
  <c r="AA28" i="3" s="1"/>
  <c r="Y34" i="3"/>
  <c r="AA34" i="3" s="1"/>
  <c r="O36" i="3"/>
  <c r="Y41" i="3"/>
  <c r="AA41" i="3" s="1"/>
  <c r="O49" i="3"/>
  <c r="O50" i="3"/>
  <c r="Y59" i="3"/>
  <c r="AD41" i="3"/>
  <c r="AL41" i="3" s="1"/>
  <c r="BK41" i="3" s="1"/>
  <c r="Y62" i="3"/>
  <c r="Y36" i="3"/>
  <c r="AA36" i="3" s="1"/>
  <c r="AD36" i="3" s="1"/>
  <c r="AL36" i="3" s="1"/>
  <c r="BK36" i="3" s="1"/>
  <c r="Y39" i="3"/>
  <c r="AA39" i="3" s="1"/>
  <c r="AD39" i="3" s="1"/>
  <c r="AN16" i="3"/>
  <c r="BU16" i="3" s="1"/>
  <c r="BV16" i="3" s="1"/>
  <c r="O38" i="3"/>
  <c r="AL38" i="3" s="1"/>
  <c r="BK38" i="3" s="1"/>
  <c r="O41" i="3"/>
  <c r="Y31" i="3"/>
  <c r="AA31" i="3" s="1"/>
  <c r="AD31" i="3" s="1"/>
  <c r="AL31" i="3" s="1"/>
  <c r="BK31" i="3" s="1"/>
  <c r="BS31" i="3" s="1"/>
  <c r="Y32" i="3"/>
  <c r="AA32" i="3" s="1"/>
  <c r="AD32" i="3" s="1"/>
  <c r="Y60" i="3"/>
  <c r="BN9" i="3"/>
  <c r="BO9" i="3" s="1"/>
  <c r="BU9" i="3" s="1"/>
  <c r="BV9" i="3" s="1"/>
  <c r="O33" i="3"/>
  <c r="Y54" i="3"/>
  <c r="AD49" i="3"/>
  <c r="AK49" i="3" s="1"/>
  <c r="AM6" i="3"/>
  <c r="BN6" i="3" s="1"/>
  <c r="BO6" i="3" s="1"/>
  <c r="BN15" i="3"/>
  <c r="BO15" i="3" s="1"/>
  <c r="AM18" i="3"/>
  <c r="BN18" i="3" s="1"/>
  <c r="BO18" i="3" s="1"/>
  <c r="BU18" i="3" s="1"/>
  <c r="BV18" i="3" s="1"/>
  <c r="O32" i="3"/>
  <c r="Y42" i="3"/>
  <c r="AA42" i="3" s="1"/>
  <c r="AD42" i="3" s="1"/>
  <c r="Y45" i="3"/>
  <c r="O51" i="3"/>
  <c r="Y37" i="3"/>
  <c r="AA37" i="3" s="1"/>
  <c r="AD37" i="3" s="1"/>
  <c r="O39" i="3"/>
  <c r="Y58" i="3"/>
  <c r="Y43" i="3"/>
  <c r="AA43" i="3" s="1"/>
  <c r="AD43" i="3" s="1"/>
  <c r="O29" i="3"/>
  <c r="O56" i="3"/>
  <c r="AD38" i="3"/>
  <c r="AD50" i="3"/>
  <c r="AK50" i="3" s="1"/>
  <c r="BH50" i="3" s="1"/>
  <c r="BS50" i="3" s="1"/>
  <c r="AN7" i="3"/>
  <c r="O24" i="3"/>
  <c r="Y29" i="3"/>
  <c r="AA29" i="3" s="1"/>
  <c r="AD29" i="3" s="1"/>
  <c r="AL29" i="3" s="1"/>
  <c r="BK29" i="3" s="1"/>
  <c r="O34" i="3"/>
  <c r="O47" i="3"/>
  <c r="AD47" i="3" s="1"/>
  <c r="AK47" i="3" s="1"/>
  <c r="BN7" i="3"/>
  <c r="BO7" i="3" s="1"/>
  <c r="AM10" i="3"/>
  <c r="BN10" i="3" s="1"/>
  <c r="BO10" i="3" s="1"/>
  <c r="BU10" i="3" s="1"/>
  <c r="BV10" i="3" s="1"/>
  <c r="O30" i="3"/>
  <c r="O40" i="3"/>
  <c r="O48" i="3"/>
  <c r="AM14" i="3"/>
  <c r="BN14" i="3" s="1"/>
  <c r="BO14" i="3" s="1"/>
  <c r="BU14" i="3" s="1"/>
  <c r="BV14" i="3" s="1"/>
  <c r="O35" i="3"/>
  <c r="Y48" i="3"/>
  <c r="Y56" i="3"/>
  <c r="AD56" i="3" s="1"/>
  <c r="AK56" i="3" s="1"/>
  <c r="BN17" i="3"/>
  <c r="BO17" i="3" s="1"/>
  <c r="BU17" i="3" s="1"/>
  <c r="BV17" i="3" s="1"/>
  <c r="O54" i="3"/>
  <c r="Y61" i="3"/>
  <c r="AD61" i="3" s="1"/>
  <c r="AK61" i="3" s="1"/>
  <c r="AD44" i="3"/>
  <c r="AK44" i="3" s="1"/>
  <c r="AL44" i="3" s="1"/>
  <c r="BI44" i="3" s="1"/>
  <c r="BT44" i="3" s="1"/>
  <c r="AM8" i="3"/>
  <c r="BN8" i="3" s="1"/>
  <c r="BO8" i="3" s="1"/>
  <c r="BU8" i="3" s="1"/>
  <c r="BV8" i="3" s="1"/>
  <c r="Y25" i="3"/>
  <c r="AA25" i="3" s="1"/>
  <c r="AD25" i="3" s="1"/>
  <c r="AL25" i="3" s="1"/>
  <c r="BK25" i="3" s="1"/>
  <c r="Y55" i="3"/>
  <c r="AD55" i="3" s="1"/>
  <c r="AK55" i="3" s="1"/>
  <c r="O59" i="3"/>
  <c r="AD59" i="3" s="1"/>
  <c r="AK59" i="3" s="1"/>
  <c r="O62" i="3"/>
  <c r="AD62" i="3" s="1"/>
  <c r="AK62" i="3" s="1"/>
  <c r="O26" i="3"/>
  <c r="O45" i="3"/>
  <c r="O46" i="3"/>
  <c r="AD46" i="3" s="1"/>
  <c r="AK46" i="3" s="1"/>
  <c r="O53" i="3"/>
  <c r="AD53" i="3" s="1"/>
  <c r="AK53" i="3" s="1"/>
  <c r="AD60" i="3"/>
  <c r="AK60" i="3" s="1"/>
  <c r="BH60" i="3" s="1"/>
  <c r="BS60" i="3" s="1"/>
  <c r="O63" i="3"/>
  <c r="AD63" i="3" s="1"/>
  <c r="AK63" i="3" s="1"/>
  <c r="O27" i="3"/>
  <c r="O37" i="3"/>
  <c r="O52" i="3"/>
  <c r="AD52" i="3" s="1"/>
  <c r="AK52" i="3" s="1"/>
  <c r="O58" i="3"/>
  <c r="AM2" i="3"/>
  <c r="BN2" i="3" s="1"/>
  <c r="BO2" i="3" s="1"/>
  <c r="BU2" i="3" s="1"/>
  <c r="BV2" i="3" s="1"/>
  <c r="AN15" i="3"/>
  <c r="Y27" i="3"/>
  <c r="AA27" i="3" s="1"/>
  <c r="AD27" i="3" s="1"/>
  <c r="O43" i="3"/>
  <c r="AD51" i="3"/>
  <c r="AK51" i="3" s="1"/>
  <c r="BU6" i="3"/>
  <c r="BV6" i="3" s="1"/>
  <c r="AD26" i="3"/>
  <c r="AL26" i="3" s="1"/>
  <c r="BK26" i="3" s="1"/>
  <c r="AD48" i="3"/>
  <c r="AK48" i="3" s="1"/>
  <c r="AD28" i="3"/>
  <c r="AL28" i="3" s="1"/>
  <c r="BK28" i="3" s="1"/>
  <c r="BH49" i="3"/>
  <c r="BS49" i="3" s="1"/>
  <c r="AL49" i="3"/>
  <c r="BI49" i="3" s="1"/>
  <c r="BT49" i="3" s="1"/>
  <c r="AD24" i="3"/>
  <c r="AD33" i="3"/>
  <c r="AL33" i="3" s="1"/>
  <c r="BK33" i="3" s="1"/>
  <c r="AD54" i="3"/>
  <c r="AK54" i="3" s="1"/>
  <c r="AD34" i="3"/>
  <c r="AD35" i="3"/>
  <c r="AL35" i="3" s="1"/>
  <c r="BK35" i="3" s="1"/>
  <c r="AM3" i="3"/>
  <c r="BN3" i="3" s="1"/>
  <c r="BO3" i="3" s="1"/>
  <c r="BU3" i="3" s="1"/>
  <c r="BV3" i="3" s="1"/>
  <c r="AM11" i="3"/>
  <c r="BN11" i="3" s="1"/>
  <c r="BO11" i="3" s="1"/>
  <c r="BU11" i="3" s="1"/>
  <c r="BV11" i="3" s="1"/>
  <c r="AM19" i="3"/>
  <c r="BN19" i="3" s="1"/>
  <c r="BO19" i="3" s="1"/>
  <c r="BU19" i="3" s="1"/>
  <c r="BV19" i="3" s="1"/>
  <c r="AM5" i="3"/>
  <c r="BN5" i="3" s="1"/>
  <c r="BO5" i="3" s="1"/>
  <c r="BU5" i="3" s="1"/>
  <c r="BV5" i="3" s="1"/>
  <c r="AM13" i="3"/>
  <c r="BN13" i="3" s="1"/>
  <c r="BO13" i="3" s="1"/>
  <c r="BU13" i="3" s="1"/>
  <c r="BV13" i="3" s="1"/>
  <c r="AM21" i="3"/>
  <c r="BN21" i="3" s="1"/>
  <c r="BO21" i="3" s="1"/>
  <c r="BU21" i="3" s="1"/>
  <c r="BV21" i="3" s="1"/>
  <c r="AM4" i="3"/>
  <c r="BN4" i="3" s="1"/>
  <c r="BO4" i="3" s="1"/>
  <c r="BU4" i="3" s="1"/>
  <c r="BV4" i="3" s="1"/>
  <c r="AM12" i="3"/>
  <c r="BN12" i="3" s="1"/>
  <c r="BO12" i="3" s="1"/>
  <c r="BU12" i="3" s="1"/>
  <c r="BV12" i="3" s="1"/>
  <c r="AM20" i="3"/>
  <c r="BN20" i="3" s="1"/>
  <c r="BO20" i="3" s="1"/>
  <c r="BU20" i="3" s="1"/>
  <c r="BV20" i="3" s="1"/>
  <c r="O38" i="1"/>
  <c r="Y24" i="1"/>
  <c r="AA24" i="1" s="1"/>
  <c r="Y54" i="1"/>
  <c r="Y29" i="1"/>
  <c r="AA29" i="1" s="1"/>
  <c r="Y30" i="1"/>
  <c r="AA30" i="1" s="1"/>
  <c r="Y28" i="1"/>
  <c r="AA28" i="1" s="1"/>
  <c r="Y31" i="1"/>
  <c r="AA31" i="1" s="1"/>
  <c r="Y59" i="1"/>
  <c r="Y50" i="1"/>
  <c r="O57" i="1"/>
  <c r="O32" i="1"/>
  <c r="Y44" i="1"/>
  <c r="Y52" i="1"/>
  <c r="Y56" i="1"/>
  <c r="AD56" i="1" s="1"/>
  <c r="AK56" i="1" s="1"/>
  <c r="BH56" i="1" s="1"/>
  <c r="BS56" i="1" s="1"/>
  <c r="Y55" i="1"/>
  <c r="O50" i="1"/>
  <c r="AD50" i="1" s="1"/>
  <c r="AK50" i="1" s="1"/>
  <c r="O26" i="1"/>
  <c r="Y36" i="1"/>
  <c r="AA36" i="1" s="1"/>
  <c r="AD36" i="1" s="1"/>
  <c r="Y25" i="1"/>
  <c r="AA25" i="1" s="1"/>
  <c r="AD25" i="1" s="1"/>
  <c r="O61" i="1"/>
  <c r="O29" i="1"/>
  <c r="Y27" i="1"/>
  <c r="AA27" i="1" s="1"/>
  <c r="AD27" i="1" s="1"/>
  <c r="Y45" i="1"/>
  <c r="O48" i="1"/>
  <c r="Y49" i="1"/>
  <c r="O52" i="1"/>
  <c r="Y53" i="1"/>
  <c r="O56" i="1"/>
  <c r="Y57" i="1"/>
  <c r="AD57" i="1" s="1"/>
  <c r="AK57" i="1" s="1"/>
  <c r="AL57" i="1" s="1"/>
  <c r="BI57" i="1" s="1"/>
  <c r="BT57" i="1" s="1"/>
  <c r="Y43" i="1"/>
  <c r="AA43" i="1" s="1"/>
  <c r="AD43" i="1" s="1"/>
  <c r="AL43" i="1" s="1"/>
  <c r="BK43" i="1" s="1"/>
  <c r="Y33" i="1"/>
  <c r="AA33" i="1" s="1"/>
  <c r="AD33" i="1" s="1"/>
  <c r="Y60" i="1"/>
  <c r="Y34" i="1"/>
  <c r="AA34" i="1" s="1"/>
  <c r="AD34" i="1" s="1"/>
  <c r="Y26" i="1"/>
  <c r="AA26" i="1" s="1"/>
  <c r="AD26" i="1" s="1"/>
  <c r="AL26" i="1" s="1"/>
  <c r="BK26" i="1" s="1"/>
  <c r="Y37" i="1"/>
  <c r="AA37" i="1" s="1"/>
  <c r="AD37" i="1" s="1"/>
  <c r="Y38" i="1"/>
  <c r="AA38" i="1" s="1"/>
  <c r="AD38" i="1" s="1"/>
  <c r="AL38" i="1" s="1"/>
  <c r="BK38" i="1" s="1"/>
  <c r="BS38" i="1" s="1"/>
  <c r="Y39" i="1"/>
  <c r="AA39" i="1" s="1"/>
  <c r="AD39" i="1" s="1"/>
  <c r="O30" i="1"/>
  <c r="Y47" i="1"/>
  <c r="O60" i="1"/>
  <c r="O36" i="1"/>
  <c r="O41" i="1"/>
  <c r="AD24" i="1"/>
  <c r="O31" i="1"/>
  <c r="Y40" i="1"/>
  <c r="AA40" i="1" s="1"/>
  <c r="AD40" i="1" s="1"/>
  <c r="O46" i="1"/>
  <c r="O51" i="1"/>
  <c r="O59" i="1"/>
  <c r="AD59" i="1" s="1"/>
  <c r="AK59" i="1" s="1"/>
  <c r="Y61" i="1"/>
  <c r="O24" i="1"/>
  <c r="Y35" i="1"/>
  <c r="AA35" i="1" s="1"/>
  <c r="AD35" i="1" s="1"/>
  <c r="O42" i="1"/>
  <c r="Y46" i="1"/>
  <c r="O25" i="1"/>
  <c r="O37" i="1"/>
  <c r="Y41" i="1"/>
  <c r="AA41" i="1" s="1"/>
  <c r="AD41" i="1" s="1"/>
  <c r="O43" i="1"/>
  <c r="O45" i="1"/>
  <c r="Y51" i="1"/>
  <c r="O58" i="1"/>
  <c r="O35" i="1"/>
  <c r="AD30" i="1"/>
  <c r="AD45" i="1"/>
  <c r="AK45" i="1" s="1"/>
  <c r="BH45" i="1" s="1"/>
  <c r="BS45" i="1" s="1"/>
  <c r="Y62" i="1"/>
  <c r="Y42" i="1"/>
  <c r="AA42" i="1" s="1"/>
  <c r="AD42" i="1" s="1"/>
  <c r="O44" i="1"/>
  <c r="O27" i="1"/>
  <c r="O39" i="1"/>
  <c r="O55" i="1"/>
  <c r="Y58" i="1"/>
  <c r="O63" i="1"/>
  <c r="O49" i="1"/>
  <c r="O28" i="1"/>
  <c r="Y32" i="1"/>
  <c r="AA32" i="1" s="1"/>
  <c r="AD32" i="1" s="1"/>
  <c r="AL32" i="1" s="1"/>
  <c r="BK32" i="1" s="1"/>
  <c r="O54" i="1"/>
  <c r="AD54" i="1" s="1"/>
  <c r="AK54" i="1" s="1"/>
  <c r="O33" i="1"/>
  <c r="O40" i="1"/>
  <c r="O62" i="1"/>
  <c r="O47" i="1"/>
  <c r="O53" i="1"/>
  <c r="AD53" i="1" s="1"/>
  <c r="AK53" i="1" s="1"/>
  <c r="Y63" i="1"/>
  <c r="O34" i="1"/>
  <c r="Y48" i="1"/>
  <c r="AD28" i="1"/>
  <c r="AD29" i="1"/>
  <c r="AD31" i="1"/>
  <c r="AM2" i="1"/>
  <c r="BN2" i="1" s="1"/>
  <c r="BO2" i="1" s="1"/>
  <c r="BU2" i="1" s="1"/>
  <c r="BV2" i="1" s="1"/>
  <c r="AN9" i="1"/>
  <c r="AN11" i="1"/>
  <c r="BN14" i="1"/>
  <c r="BO14" i="1" s="1"/>
  <c r="BN18" i="1"/>
  <c r="BO18" i="1" s="1"/>
  <c r="BN4" i="1"/>
  <c r="BO4" i="1" s="1"/>
  <c r="AN4" i="1"/>
  <c r="BN15" i="1"/>
  <c r="BO15" i="1" s="1"/>
  <c r="BN9" i="1"/>
  <c r="BO9" i="1" s="1"/>
  <c r="AN12" i="1"/>
  <c r="AM20" i="1"/>
  <c r="BN20" i="1" s="1"/>
  <c r="BO20" i="1" s="1"/>
  <c r="BU20" i="1" s="1"/>
  <c r="BV20" i="1" s="1"/>
  <c r="BN12" i="1"/>
  <c r="BO12" i="1" s="1"/>
  <c r="BN17" i="1"/>
  <c r="BO17" i="1" s="1"/>
  <c r="BN13" i="1"/>
  <c r="BO13" i="1" s="1"/>
  <c r="AN14" i="1"/>
  <c r="BN10" i="1"/>
  <c r="BO10" i="1" s="1"/>
  <c r="BN6" i="1"/>
  <c r="BO6" i="1" s="1"/>
  <c r="BN11" i="1"/>
  <c r="BO11" i="1" s="1"/>
  <c r="AN17" i="1"/>
  <c r="AN18" i="1"/>
  <c r="AN6" i="1"/>
  <c r="AM8" i="1"/>
  <c r="BN8" i="1" s="1"/>
  <c r="BO8" i="1" s="1"/>
  <c r="BU8" i="1" s="1"/>
  <c r="BV8" i="1" s="1"/>
  <c r="AN15" i="1"/>
  <c r="AN13" i="1"/>
  <c r="AM3" i="1"/>
  <c r="BN3" i="1" s="1"/>
  <c r="BO3" i="1" s="1"/>
  <c r="BU3" i="1" s="1"/>
  <c r="BV3" i="1" s="1"/>
  <c r="AM19" i="1"/>
  <c r="BN19" i="1" s="1"/>
  <c r="BO19" i="1" s="1"/>
  <c r="BU19" i="1" s="1"/>
  <c r="BV19" i="1" s="1"/>
  <c r="AN10" i="1"/>
  <c r="AM5" i="1"/>
  <c r="BN5" i="1" s="1"/>
  <c r="BO5" i="1" s="1"/>
  <c r="BU5" i="1" s="1"/>
  <c r="BV5" i="1" s="1"/>
  <c r="AM21" i="1"/>
  <c r="BN21" i="1" s="1"/>
  <c r="BO21" i="1" s="1"/>
  <c r="BU21" i="1" s="1"/>
  <c r="BV21" i="1" s="1"/>
  <c r="AM7" i="1"/>
  <c r="BN7" i="1" s="1"/>
  <c r="BO7" i="1" s="1"/>
  <c r="BU7" i="1" s="1"/>
  <c r="BV7" i="1" s="1"/>
  <c r="AM16" i="1"/>
  <c r="BN16" i="1" s="1"/>
  <c r="BO16" i="1" s="1"/>
  <c r="BU16" i="1" s="1"/>
  <c r="BV16" i="1" s="1"/>
  <c r="BS41" i="3" l="1"/>
  <c r="BT41" i="3"/>
  <c r="AL42" i="3"/>
  <c r="BK42" i="3" s="1"/>
  <c r="AL32" i="3"/>
  <c r="BK32" i="3" s="1"/>
  <c r="AL50" i="3"/>
  <c r="BI50" i="3" s="1"/>
  <c r="BT50" i="3" s="1"/>
  <c r="AL43" i="3"/>
  <c r="BK43" i="3" s="1"/>
  <c r="BS36" i="3"/>
  <c r="BT36" i="3"/>
  <c r="BM36" i="3" s="1"/>
  <c r="BU36" i="3" s="1"/>
  <c r="BH53" i="3"/>
  <c r="BS53" i="3" s="1"/>
  <c r="AL53" i="3"/>
  <c r="BI53" i="3" s="1"/>
  <c r="BT53" i="3" s="1"/>
  <c r="BM53" i="3" s="1"/>
  <c r="BU53" i="3" s="1"/>
  <c r="BH44" i="3"/>
  <c r="BS44" i="3" s="1"/>
  <c r="AL24" i="3"/>
  <c r="BK24" i="3" s="1"/>
  <c r="BS24" i="3" s="1"/>
  <c r="BM24" i="3" s="1"/>
  <c r="BU24" i="3" s="1"/>
  <c r="AL40" i="3"/>
  <c r="BK40" i="3" s="1"/>
  <c r="AL30" i="3"/>
  <c r="BK30" i="3" s="1"/>
  <c r="BT30" i="3" s="1"/>
  <c r="AL27" i="3"/>
  <c r="BK27" i="3" s="1"/>
  <c r="BS27" i="3" s="1"/>
  <c r="AL39" i="3"/>
  <c r="BK39" i="3" s="1"/>
  <c r="BT39" i="3" s="1"/>
  <c r="BU7" i="3"/>
  <c r="BV7" i="3" s="1"/>
  <c r="AL37" i="3"/>
  <c r="BK37" i="3" s="1"/>
  <c r="AD45" i="3"/>
  <c r="AK45" i="3" s="1"/>
  <c r="AL46" i="3"/>
  <c r="BI46" i="3" s="1"/>
  <c r="BT46" i="3" s="1"/>
  <c r="BH46" i="3"/>
  <c r="BS46" i="3" s="1"/>
  <c r="AL52" i="3"/>
  <c r="BI52" i="3" s="1"/>
  <c r="BT52" i="3" s="1"/>
  <c r="BH52" i="3"/>
  <c r="BS52" i="3" s="1"/>
  <c r="AL63" i="3"/>
  <c r="BI63" i="3" s="1"/>
  <c r="BT63" i="3" s="1"/>
  <c r="BH63" i="3"/>
  <c r="BS63" i="3" s="1"/>
  <c r="AD58" i="3"/>
  <c r="AK58" i="3" s="1"/>
  <c r="BT31" i="3"/>
  <c r="BM31" i="3" s="1"/>
  <c r="BU31" i="3" s="1"/>
  <c r="AL34" i="3"/>
  <c r="BK34" i="3" s="1"/>
  <c r="BU15" i="3"/>
  <c r="BV15" i="3" s="1"/>
  <c r="AL60" i="3"/>
  <c r="BI60" i="3" s="1"/>
  <c r="BT60" i="3" s="1"/>
  <c r="BM60" i="3" s="1"/>
  <c r="BU60" i="3" s="1"/>
  <c r="BT24" i="3"/>
  <c r="BS29" i="3"/>
  <c r="BT29" i="3"/>
  <c r="BH57" i="3"/>
  <c r="BS57" i="3" s="1"/>
  <c r="AL57" i="3"/>
  <c r="BI57" i="3" s="1"/>
  <c r="BT57" i="3" s="1"/>
  <c r="BH54" i="3"/>
  <c r="BS54" i="3" s="1"/>
  <c r="AL54" i="3"/>
  <c r="BI54" i="3" s="1"/>
  <c r="BT54" i="3" s="1"/>
  <c r="BM50" i="3"/>
  <c r="BU50" i="3" s="1"/>
  <c r="BS28" i="3"/>
  <c r="BT28" i="3"/>
  <c r="BT42" i="3"/>
  <c r="BS42" i="3"/>
  <c r="BT40" i="3"/>
  <c r="BS40" i="3"/>
  <c r="BH56" i="3"/>
  <c r="BS56" i="3" s="1"/>
  <c r="AL56" i="3"/>
  <c r="BI56" i="3" s="1"/>
  <c r="BT56" i="3" s="1"/>
  <c r="AL59" i="3"/>
  <c r="BI59" i="3" s="1"/>
  <c r="BT59" i="3" s="1"/>
  <c r="BH59" i="3"/>
  <c r="BS59" i="3" s="1"/>
  <c r="BH48" i="3"/>
  <c r="BS48" i="3" s="1"/>
  <c r="AL48" i="3"/>
  <c r="BI48" i="3" s="1"/>
  <c r="BT48" i="3" s="1"/>
  <c r="BT35" i="3"/>
  <c r="BS35" i="3"/>
  <c r="BH51" i="3"/>
  <c r="BS51" i="3" s="1"/>
  <c r="AL51" i="3"/>
  <c r="BI51" i="3" s="1"/>
  <c r="BT51" i="3" s="1"/>
  <c r="BH55" i="3"/>
  <c r="BS55" i="3" s="1"/>
  <c r="AL55" i="3"/>
  <c r="BI55" i="3" s="1"/>
  <c r="BT55" i="3" s="1"/>
  <c r="BH62" i="3"/>
  <c r="BS62" i="3" s="1"/>
  <c r="AL62" i="3"/>
  <c r="BI62" i="3" s="1"/>
  <c r="BT62" i="3" s="1"/>
  <c r="BS37" i="3"/>
  <c r="BT37" i="3"/>
  <c r="BH47" i="3"/>
  <c r="BS47" i="3" s="1"/>
  <c r="AL47" i="3"/>
  <c r="BI47" i="3" s="1"/>
  <c r="BT47" i="3" s="1"/>
  <c r="BT33" i="3"/>
  <c r="BS33" i="3"/>
  <c r="BM33" i="3" s="1"/>
  <c r="BU33" i="3" s="1"/>
  <c r="BT38" i="3"/>
  <c r="BS38" i="3"/>
  <c r="BM38" i="3" s="1"/>
  <c r="BU38" i="3" s="1"/>
  <c r="BT26" i="3"/>
  <c r="BS26" i="3"/>
  <c r="BT43" i="3"/>
  <c r="BS43" i="3"/>
  <c r="BT34" i="3"/>
  <c r="BS34" i="3"/>
  <c r="AL61" i="3"/>
  <c r="BI61" i="3" s="1"/>
  <c r="BT61" i="3" s="1"/>
  <c r="BH61" i="3"/>
  <c r="BS61" i="3" s="1"/>
  <c r="BT32" i="3"/>
  <c r="BS32" i="3"/>
  <c r="BM52" i="3"/>
  <c r="BU52" i="3" s="1"/>
  <c r="BM49" i="3"/>
  <c r="BU49" i="3" s="1"/>
  <c r="BM44" i="3"/>
  <c r="BU44" i="3" s="1"/>
  <c r="BT25" i="3"/>
  <c r="BS25" i="3"/>
  <c r="BM25" i="3" s="1"/>
  <c r="BU25" i="3" s="1"/>
  <c r="AL41" i="1"/>
  <c r="BK41" i="1" s="1"/>
  <c r="AL31" i="1"/>
  <c r="BK31" i="1" s="1"/>
  <c r="AD44" i="1"/>
  <c r="AK44" i="1" s="1"/>
  <c r="AD55" i="1"/>
  <c r="AK55" i="1" s="1"/>
  <c r="AL55" i="1" s="1"/>
  <c r="BI55" i="1" s="1"/>
  <c r="BT55" i="1" s="1"/>
  <c r="AL35" i="1"/>
  <c r="BK35" i="1" s="1"/>
  <c r="AL42" i="1"/>
  <c r="BK42" i="1" s="1"/>
  <c r="BH50" i="1"/>
  <c r="BS50" i="1" s="1"/>
  <c r="AL50" i="1"/>
  <c r="BI50" i="1" s="1"/>
  <c r="BT50" i="1" s="1"/>
  <c r="AL28" i="1"/>
  <c r="BK28" i="1" s="1"/>
  <c r="AD61" i="1"/>
  <c r="AK61" i="1" s="1"/>
  <c r="BH61" i="1" s="1"/>
  <c r="BS61" i="1" s="1"/>
  <c r="AL29" i="1"/>
  <c r="BK29" i="1" s="1"/>
  <c r="BS29" i="1" s="1"/>
  <c r="AD52" i="1"/>
  <c r="AK52" i="1" s="1"/>
  <c r="BH52" i="1" s="1"/>
  <c r="BS52" i="1" s="1"/>
  <c r="AD63" i="1"/>
  <c r="AK63" i="1" s="1"/>
  <c r="AL63" i="1" s="1"/>
  <c r="BI63" i="1" s="1"/>
  <c r="BT63" i="1" s="1"/>
  <c r="AD60" i="1"/>
  <c r="AK60" i="1" s="1"/>
  <c r="BH60" i="1" s="1"/>
  <c r="BS60" i="1" s="1"/>
  <c r="AD58" i="1"/>
  <c r="AK58" i="1" s="1"/>
  <c r="BH58" i="1" s="1"/>
  <c r="BS58" i="1" s="1"/>
  <c r="AD47" i="1"/>
  <c r="AK47" i="1" s="1"/>
  <c r="BH47" i="1" s="1"/>
  <c r="BS47" i="1" s="1"/>
  <c r="AD46" i="1"/>
  <c r="AK46" i="1" s="1"/>
  <c r="AL27" i="1"/>
  <c r="BK27" i="1" s="1"/>
  <c r="BT27" i="1" s="1"/>
  <c r="BH57" i="1"/>
  <c r="BS57" i="1" s="1"/>
  <c r="BM57" i="1" s="1"/>
  <c r="BU57" i="1" s="1"/>
  <c r="BV57" i="1" s="1"/>
  <c r="AL37" i="1"/>
  <c r="BK37" i="1" s="1"/>
  <c r="BT37" i="1" s="1"/>
  <c r="AL25" i="1"/>
  <c r="BK25" i="1" s="1"/>
  <c r="BS25" i="1" s="1"/>
  <c r="AL30" i="1"/>
  <c r="BK30" i="1" s="1"/>
  <c r="BT30" i="1" s="1"/>
  <c r="AL34" i="1"/>
  <c r="BK34" i="1" s="1"/>
  <c r="BS34" i="1" s="1"/>
  <c r="AL40" i="1"/>
  <c r="BK40" i="1" s="1"/>
  <c r="BT40" i="1" s="1"/>
  <c r="AD49" i="1"/>
  <c r="AK49" i="1" s="1"/>
  <c r="BH49" i="1" s="1"/>
  <c r="BS49" i="1" s="1"/>
  <c r="AD51" i="1"/>
  <c r="AK51" i="1" s="1"/>
  <c r="BH51" i="1" s="1"/>
  <c r="BS51" i="1" s="1"/>
  <c r="AL36" i="1"/>
  <c r="BK36" i="1" s="1"/>
  <c r="AL24" i="1"/>
  <c r="BK24" i="1" s="1"/>
  <c r="BS24" i="1" s="1"/>
  <c r="AD48" i="1"/>
  <c r="AK48" i="1" s="1"/>
  <c r="AL48" i="1" s="1"/>
  <c r="BI48" i="1" s="1"/>
  <c r="BT48" i="1" s="1"/>
  <c r="BT38" i="1"/>
  <c r="BM38" i="1" s="1"/>
  <c r="BU38" i="1" s="1"/>
  <c r="BV38" i="1" s="1"/>
  <c r="AL56" i="1"/>
  <c r="BI56" i="1" s="1"/>
  <c r="BT56" i="1" s="1"/>
  <c r="BM56" i="1" s="1"/>
  <c r="BU56" i="1" s="1"/>
  <c r="BV56" i="1" s="1"/>
  <c r="BT24" i="1"/>
  <c r="BM24" i="1" s="1"/>
  <c r="BU24" i="1" s="1"/>
  <c r="BV24" i="1" s="1"/>
  <c r="BH54" i="1"/>
  <c r="BS54" i="1" s="1"/>
  <c r="AL54" i="1"/>
  <c r="BI54" i="1" s="1"/>
  <c r="BT54" i="1" s="1"/>
  <c r="BH44" i="1"/>
  <c r="BS44" i="1" s="1"/>
  <c r="AL44" i="1"/>
  <c r="BI44" i="1" s="1"/>
  <c r="BT44" i="1" s="1"/>
  <c r="BT32" i="1"/>
  <c r="BS32" i="1"/>
  <c r="BH53" i="1"/>
  <c r="BS53" i="1" s="1"/>
  <c r="AL53" i="1"/>
  <c r="BI53" i="1" s="1"/>
  <c r="BT53" i="1" s="1"/>
  <c r="BM53" i="1" s="1"/>
  <c r="BU53" i="1" s="1"/>
  <c r="BV53" i="1" s="1"/>
  <c r="AL45" i="1"/>
  <c r="BI45" i="1" s="1"/>
  <c r="BT45" i="1" s="1"/>
  <c r="BM45" i="1" s="1"/>
  <c r="BU45" i="1" s="1"/>
  <c r="BV45" i="1" s="1"/>
  <c r="BH55" i="1"/>
  <c r="BS55" i="1" s="1"/>
  <c r="BM55" i="1" s="1"/>
  <c r="BU55" i="1" s="1"/>
  <c r="BV55" i="1" s="1"/>
  <c r="AL39" i="1"/>
  <c r="BK39" i="1" s="1"/>
  <c r="AL33" i="1"/>
  <c r="BK33" i="1" s="1"/>
  <c r="BT33" i="1" s="1"/>
  <c r="AD62" i="1"/>
  <c r="AK62" i="1" s="1"/>
  <c r="BT28" i="1"/>
  <c r="BS28" i="1"/>
  <c r="BT43" i="1"/>
  <c r="BS43" i="1"/>
  <c r="BT26" i="1"/>
  <c r="BS26" i="1"/>
  <c r="BT42" i="1"/>
  <c r="BS42" i="1"/>
  <c r="BM50" i="1"/>
  <c r="BU50" i="1" s="1"/>
  <c r="BV50" i="1" s="1"/>
  <c r="BH59" i="1"/>
  <c r="BS59" i="1" s="1"/>
  <c r="AL59" i="1"/>
  <c r="BI59" i="1" s="1"/>
  <c r="BT59" i="1" s="1"/>
  <c r="BT35" i="1"/>
  <c r="BS35" i="1"/>
  <c r="BT36" i="1"/>
  <c r="BS36" i="1"/>
  <c r="BT41" i="1"/>
  <c r="BS41" i="1"/>
  <c r="BS31" i="1"/>
  <c r="BT31" i="1"/>
  <c r="BH46" i="1"/>
  <c r="BS46" i="1" s="1"/>
  <c r="AL46" i="1"/>
  <c r="BI46" i="1" s="1"/>
  <c r="BT46" i="1" s="1"/>
  <c r="AL61" i="1"/>
  <c r="BI61" i="1" s="1"/>
  <c r="BT61" i="1" s="1"/>
  <c r="BU9" i="1"/>
  <c r="BV9" i="1" s="1"/>
  <c r="BU11" i="1"/>
  <c r="BV11" i="1" s="1"/>
  <c r="BU14" i="1"/>
  <c r="BV14" i="1" s="1"/>
  <c r="BU18" i="1"/>
  <c r="BV18" i="1" s="1"/>
  <c r="BU4" i="1"/>
  <c r="BV4" i="1" s="1"/>
  <c r="BU12" i="1"/>
  <c r="BV12" i="1" s="1"/>
  <c r="BU15" i="1"/>
  <c r="BV15" i="1" s="1"/>
  <c r="BU6" i="1"/>
  <c r="BV6" i="1" s="1"/>
  <c r="BU17" i="1"/>
  <c r="BV17" i="1" s="1"/>
  <c r="BU13" i="1"/>
  <c r="BV13" i="1" s="1"/>
  <c r="BU10" i="1"/>
  <c r="BV10" i="1" s="1"/>
  <c r="BS39" i="3" l="1"/>
  <c r="BM61" i="3"/>
  <c r="BU61" i="3" s="1"/>
  <c r="BM35" i="3"/>
  <c r="BU35" i="3" s="1"/>
  <c r="BT27" i="3"/>
  <c r="BM27" i="3" s="1"/>
  <c r="BU27" i="3" s="1"/>
  <c r="BS30" i="3"/>
  <c r="BM30" i="3" s="1"/>
  <c r="BU30" i="3" s="1"/>
  <c r="BM41" i="3"/>
  <c r="BU41" i="3" s="1"/>
  <c r="BH45" i="3"/>
  <c r="BS45" i="3" s="1"/>
  <c r="AL45" i="3"/>
  <c r="BI45" i="3" s="1"/>
  <c r="BT45" i="3" s="1"/>
  <c r="BM37" i="3"/>
  <c r="BU37" i="3" s="1"/>
  <c r="BM62" i="3"/>
  <c r="BU62" i="3" s="1"/>
  <c r="BM42" i="3"/>
  <c r="BU42" i="3" s="1"/>
  <c r="BM26" i="3"/>
  <c r="BU26" i="3" s="1"/>
  <c r="BM63" i="3"/>
  <c r="BU63" i="3" s="1"/>
  <c r="BH58" i="3"/>
  <c r="BS58" i="3" s="1"/>
  <c r="AL58" i="3"/>
  <c r="BI58" i="3" s="1"/>
  <c r="BT58" i="3" s="1"/>
  <c r="BM32" i="3"/>
  <c r="BU32" i="3" s="1"/>
  <c r="BM46" i="3"/>
  <c r="BU46" i="3" s="1"/>
  <c r="BM55" i="3"/>
  <c r="BU55" i="3" s="1"/>
  <c r="BM43" i="3"/>
  <c r="BU43" i="3" s="1"/>
  <c r="BM39" i="3"/>
  <c r="BU39" i="3" s="1"/>
  <c r="BM28" i="3"/>
  <c r="BU28" i="3" s="1"/>
  <c r="BM51" i="3"/>
  <c r="BU51" i="3" s="1"/>
  <c r="BM54" i="3"/>
  <c r="BU54" i="3" s="1"/>
  <c r="BM34" i="3"/>
  <c r="BU34" i="3" s="1"/>
  <c r="BM48" i="3"/>
  <c r="BU48" i="3" s="1"/>
  <c r="BM57" i="3"/>
  <c r="BU57" i="3" s="1"/>
  <c r="BM59" i="3"/>
  <c r="BU59" i="3" s="1"/>
  <c r="BM47" i="3"/>
  <c r="BU47" i="3" s="1"/>
  <c r="BM29" i="3"/>
  <c r="BU29" i="3" s="1"/>
  <c r="BM56" i="3"/>
  <c r="BU56" i="3" s="1"/>
  <c r="BM40" i="3"/>
  <c r="BU40" i="3" s="1"/>
  <c r="BH63" i="1"/>
  <c r="BS63" i="1" s="1"/>
  <c r="BT29" i="1"/>
  <c r="AL60" i="1"/>
  <c r="BI60" i="1" s="1"/>
  <c r="BT60" i="1" s="1"/>
  <c r="AL47" i="1"/>
  <c r="BI47" i="1" s="1"/>
  <c r="BT47" i="1" s="1"/>
  <c r="AL51" i="1"/>
  <c r="BI51" i="1" s="1"/>
  <c r="BT51" i="1" s="1"/>
  <c r="AL52" i="1"/>
  <c r="BI52" i="1" s="1"/>
  <c r="BT52" i="1" s="1"/>
  <c r="BH48" i="1"/>
  <c r="BS48" i="1" s="1"/>
  <c r="AL58" i="1"/>
  <c r="BI58" i="1" s="1"/>
  <c r="BT58" i="1" s="1"/>
  <c r="BM58" i="1" s="1"/>
  <c r="BU58" i="1" s="1"/>
  <c r="BV58" i="1" s="1"/>
  <c r="BM32" i="1"/>
  <c r="BU32" i="1" s="1"/>
  <c r="BV32" i="1" s="1"/>
  <c r="BS27" i="1"/>
  <c r="BM27" i="1" s="1"/>
  <c r="BU27" i="1" s="1"/>
  <c r="BV27" i="1" s="1"/>
  <c r="BS37" i="1"/>
  <c r="BM37" i="1" s="1"/>
  <c r="BU37" i="1" s="1"/>
  <c r="BV37" i="1" s="1"/>
  <c r="BT25" i="1"/>
  <c r="BT34" i="1"/>
  <c r="BM34" i="1" s="1"/>
  <c r="BU34" i="1" s="1"/>
  <c r="BV34" i="1" s="1"/>
  <c r="BS40" i="1"/>
  <c r="BM40" i="1" s="1"/>
  <c r="BU40" i="1" s="1"/>
  <c r="BV40" i="1" s="1"/>
  <c r="AL49" i="1"/>
  <c r="BI49" i="1" s="1"/>
  <c r="BT49" i="1" s="1"/>
  <c r="BM49" i="1" s="1"/>
  <c r="BU49" i="1" s="1"/>
  <c r="BV49" i="1" s="1"/>
  <c r="BS30" i="1"/>
  <c r="BM30" i="1" s="1"/>
  <c r="BU30" i="1" s="1"/>
  <c r="BV30" i="1" s="1"/>
  <c r="BM54" i="1"/>
  <c r="BU54" i="1" s="1"/>
  <c r="BV54" i="1" s="1"/>
  <c r="BM44" i="1"/>
  <c r="BU44" i="1" s="1"/>
  <c r="BV44" i="1" s="1"/>
  <c r="BM47" i="1"/>
  <c r="BU47" i="1" s="1"/>
  <c r="BV47" i="1" s="1"/>
  <c r="BM35" i="1"/>
  <c r="BU35" i="1" s="1"/>
  <c r="BV35" i="1" s="1"/>
  <c r="BM26" i="1"/>
  <c r="BU26" i="1" s="1"/>
  <c r="BV26" i="1" s="1"/>
  <c r="BM43" i="1"/>
  <c r="BU43" i="1" s="1"/>
  <c r="BV43" i="1" s="1"/>
  <c r="BM63" i="1"/>
  <c r="BU63" i="1" s="1"/>
  <c r="BV63" i="1" s="1"/>
  <c r="BM41" i="1"/>
  <c r="BU41" i="1" s="1"/>
  <c r="BV41" i="1" s="1"/>
  <c r="BM36" i="1"/>
  <c r="BU36" i="1" s="1"/>
  <c r="BV36" i="1" s="1"/>
  <c r="BS39" i="1"/>
  <c r="BT39" i="1"/>
  <c r="BS33" i="1"/>
  <c r="BM33" i="1" s="1"/>
  <c r="BU33" i="1" s="1"/>
  <c r="BV33" i="1" s="1"/>
  <c r="BM51" i="1"/>
  <c r="BU51" i="1" s="1"/>
  <c r="BV51" i="1" s="1"/>
  <c r="BH62" i="1"/>
  <c r="BS62" i="1" s="1"/>
  <c r="AL62" i="1"/>
  <c r="BI62" i="1" s="1"/>
  <c r="BT62" i="1" s="1"/>
  <c r="BM25" i="1"/>
  <c r="BU25" i="1" s="1"/>
  <c r="BV25" i="1" s="1"/>
  <c r="BM28" i="1"/>
  <c r="BU28" i="1" s="1"/>
  <c r="BV28" i="1" s="1"/>
  <c r="BM46" i="1"/>
  <c r="BU46" i="1" s="1"/>
  <c r="BV46" i="1" s="1"/>
  <c r="BM31" i="1"/>
  <c r="BU31" i="1" s="1"/>
  <c r="BV31" i="1" s="1"/>
  <c r="BM59" i="1"/>
  <c r="BU59" i="1" s="1"/>
  <c r="BV59" i="1" s="1"/>
  <c r="BM29" i="1"/>
  <c r="BU29" i="1" s="1"/>
  <c r="BV29" i="1" s="1"/>
  <c r="BM61" i="1"/>
  <c r="BU61" i="1" s="1"/>
  <c r="BV61" i="1" s="1"/>
  <c r="BM52" i="1"/>
  <c r="BU52" i="1" s="1"/>
  <c r="BV52" i="1" s="1"/>
  <c r="BM42" i="1"/>
  <c r="BU42" i="1" s="1"/>
  <c r="BV42" i="1" s="1"/>
  <c r="BM60" i="1"/>
  <c r="BU60" i="1" s="1"/>
  <c r="BV60" i="1" s="1"/>
  <c r="BM48" i="1"/>
  <c r="BU48" i="1" s="1"/>
  <c r="BV48" i="1" s="1"/>
  <c r="BM45" i="3" l="1"/>
  <c r="BU45" i="3" s="1"/>
  <c r="BM58" i="3"/>
  <c r="BU58" i="3" s="1"/>
  <c r="BM62" i="1"/>
  <c r="BU62" i="1" s="1"/>
  <c r="BV62" i="1" s="1"/>
  <c r="BM39" i="1"/>
  <c r="BU39" i="1" s="1"/>
  <c r="BV39" i="1" s="1"/>
</calcChain>
</file>

<file path=xl/sharedStrings.xml><?xml version="1.0" encoding="utf-8"?>
<sst xmlns="http://schemas.openxmlformats.org/spreadsheetml/2006/main" count="1443" uniqueCount="100">
  <si>
    <t>case</t>
  </si>
  <si>
    <t>d_pipe_m</t>
  </si>
  <si>
    <t>d_pipe</t>
  </si>
  <si>
    <t>t_pipe_m</t>
  </si>
  <si>
    <t>t_pipe</t>
  </si>
  <si>
    <t>d_t_ratio</t>
  </si>
  <si>
    <t>l_anchor</t>
  </si>
  <si>
    <t>steel_grade</t>
  </si>
  <si>
    <t>n_param</t>
  </si>
  <si>
    <t>r_param</t>
  </si>
  <si>
    <t>sigma_y</t>
  </si>
  <si>
    <t>sigma_ult</t>
  </si>
  <si>
    <t>eps_ult</t>
  </si>
  <si>
    <t>soil_type</t>
  </si>
  <si>
    <t>soil_density</t>
  </si>
  <si>
    <t>gamma_backfill</t>
  </si>
  <si>
    <t>phi_backfill</t>
  </si>
  <si>
    <t>s_u_backfill</t>
  </si>
  <si>
    <t>alpha_backfill</t>
  </si>
  <si>
    <t>delta_backfill</t>
  </si>
  <si>
    <t>h_pipe</t>
  </si>
  <si>
    <t>t_u</t>
  </si>
  <si>
    <t>a1</t>
  </si>
  <si>
    <t>ln_delta_u</t>
  </si>
  <si>
    <t>b0</t>
  </si>
  <si>
    <t>b2</t>
  </si>
  <si>
    <t>b3</t>
  </si>
  <si>
    <t>f_soil_type</t>
  </si>
  <si>
    <t>b1</t>
  </si>
  <si>
    <t>pgdef</t>
  </si>
  <si>
    <t>ln_eps_pipe</t>
  </si>
  <si>
    <t>eps_pipe</t>
  </si>
  <si>
    <t>sigma_eps_pipe</t>
  </si>
  <si>
    <t>sigma_mu_eps_pipe</t>
  </si>
  <si>
    <t>X-52</t>
  </si>
  <si>
    <t>clay</t>
  </si>
  <si>
    <t>soft</t>
  </si>
  <si>
    <t>X-60</t>
  </si>
  <si>
    <t>medium stiff</t>
  </si>
  <si>
    <t>X-70</t>
  </si>
  <si>
    <t>stiff</t>
  </si>
  <si>
    <t>X-80</t>
  </si>
  <si>
    <t>sand</t>
  </si>
  <si>
    <t>medium dense</t>
  </si>
  <si>
    <t>dense</t>
  </si>
  <si>
    <t>very dense</t>
  </si>
  <si>
    <t>beta_crossing</t>
  </si>
  <si>
    <t>case_to_run</t>
  </si>
  <si>
    <t>f_beta_crossing</t>
  </si>
  <si>
    <t>val_inside_atanh</t>
  </si>
  <si>
    <t>atanh_metric</t>
  </si>
  <si>
    <t>ln_delta_o</t>
  </si>
  <si>
    <t>f_delta_o</t>
  </si>
  <si>
    <t>f_delta_u</t>
  </si>
  <si>
    <t>e1</t>
  </si>
  <si>
    <t>e2</t>
  </si>
  <si>
    <t>e3</t>
  </si>
  <si>
    <t>e4</t>
  </si>
  <si>
    <t>e5</t>
  </si>
  <si>
    <t>e6</t>
  </si>
  <si>
    <t>e7</t>
  </si>
  <si>
    <t>e8</t>
  </si>
  <si>
    <t>term1</t>
  </si>
  <si>
    <t>term2</t>
  </si>
  <si>
    <t>X-42</t>
  </si>
  <si>
    <t>Grade-B</t>
  </si>
  <si>
    <t>eps_pipe_comp</t>
  </si>
  <si>
    <t>eps_pipe_tens</t>
  </si>
  <si>
    <t>sigma_eps_pipe_comp</t>
  </si>
  <si>
    <t>sigma_eps_pipe_tens</t>
  </si>
  <si>
    <t>sigma_mu_eps_pipe_comp</t>
  </si>
  <si>
    <t>sigma_mu_eps_pipe_tens</t>
  </si>
  <si>
    <t>def_length</t>
  </si>
  <si>
    <t>beta_p</t>
  </si>
  <si>
    <t>l_e</t>
  </si>
  <si>
    <t>l_to_use</t>
  </si>
  <si>
    <t>f_t_u</t>
  </si>
  <si>
    <t>f_d_t_ratio</t>
  </si>
  <si>
    <t>a0</t>
  </si>
  <si>
    <t>a2</t>
  </si>
  <si>
    <t>c3</t>
  </si>
  <si>
    <t>c41</t>
  </si>
  <si>
    <t>c42</t>
  </si>
  <si>
    <t>c51</t>
  </si>
  <si>
    <t>c52</t>
  </si>
  <si>
    <t>d2</t>
  </si>
  <si>
    <t>d3</t>
  </si>
  <si>
    <t>d41</t>
  </si>
  <si>
    <t>d42</t>
  </si>
  <si>
    <t>d5</t>
  </si>
  <si>
    <t>d6</t>
  </si>
  <si>
    <t>d71</t>
  </si>
  <si>
    <t>d72</t>
  </si>
  <si>
    <t>d8</t>
  </si>
  <si>
    <t>f_delta_f</t>
  </si>
  <si>
    <t>f_l_anchor</t>
  </si>
  <si>
    <t>SSComp</t>
  </si>
  <si>
    <t>SSTens</t>
  </si>
  <si>
    <t>BainEtal_Reverse</t>
  </si>
  <si>
    <t>BainEtal_Normal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</si>
</sst>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55"/>
  <sheetViews>
    <sheetView zoomScale="70" zoomScaleNormal="70" workbookViewId="0">
      <selection activeCell="Y38" sqref="A1:XFD1048576"/>
    </sheetView>
  </sheetViews>
  <sheetFormatPr defaultRowHeight="15" x14ac:dyDescent="0.25"/>
  <cols>
    <col min="3" max="3" width="17.5703125" customWidth="1"/>
  </cols>
  <sheetData>
    <row r="1" spans="1:76" x14ac:dyDescent="0.25">
      <c r="A1" t="s">
        <v>0</v>
      </c>
      <c r="B1" t="s">
        <v>46</v>
      </c>
      <c r="C1" t="s">
        <v>47</v>
      </c>
      <c r="D1" t="s">
        <v>1</v>
      </c>
      <c r="E1" t="s">
        <v>2</v>
      </c>
      <c r="I1" t="s">
        <v>6</v>
      </c>
      <c r="Z1" t="s">
        <v>29</v>
      </c>
      <c r="AM1" t="s">
        <v>24</v>
      </c>
      <c r="AN1" t="s">
        <v>25</v>
      </c>
      <c r="BG1" t="s">
        <v>48</v>
      </c>
      <c r="BM1" t="s">
        <v>28</v>
      </c>
      <c r="BN1" t="s">
        <v>49</v>
      </c>
      <c r="BO1" t="s">
        <v>50</v>
      </c>
      <c r="BU1" t="s">
        <v>30</v>
      </c>
      <c r="BV1" t="s">
        <v>31</v>
      </c>
      <c r="BW1" t="s">
        <v>32</v>
      </c>
      <c r="BX1" t="s">
        <v>33</v>
      </c>
    </row>
    <row r="2" spans="1:76" x14ac:dyDescent="0.25">
      <c r="A2">
        <v>1</v>
      </c>
      <c r="B2">
        <v>105</v>
      </c>
      <c r="C2" t="str">
        <f>IF(AND(B2&gt;=0,B2&lt;=5),"BainEtal_Normal",IF(AND(B2&gt;5,B2&lt;90),"SSTens",IF(AND(B2&gt;=90,B2&lt;175),"SSComp",IF(AND(B2&gt;=175,B2&lt;=180),"BainEtal_Reverse"))))</f>
        <v>SSComp</v>
      </c>
      <c r="D2">
        <v>0.20319999999999999</v>
      </c>
      <c r="E2">
        <f>D2*1000</f>
        <v>203.2</v>
      </c>
      <c r="I2">
        <v>15</v>
      </c>
      <c r="Z2">
        <v>0.2</v>
      </c>
      <c r="AM2">
        <f t="shared" ref="AM2:AM21" si="0">-6.50785 + 0.98692*D2 + 0.01601*I2 + (-0.04575 * BG2)</f>
        <v>-5.3809078560000003</v>
      </c>
      <c r="AN2">
        <f t="shared" ref="AN2:AN21" si="1">0.34262 + (-0.10918 * D2) + 0.00197 * I2+ 0.0027*BG2</f>
        <v>0.30948462400000004</v>
      </c>
      <c r="BG2">
        <f t="shared" ref="BG2:BG21" si="2">IF(AND(B2&gt;95,B2&lt;=120),B2-120,0)</f>
        <v>-15</v>
      </c>
      <c r="BM2">
        <f t="shared" ref="BM2:BM21" si="3" xml:space="preserve"> 4.54097 - 0.01093*I2</f>
        <v>4.3770199999999999</v>
      </c>
      <c r="BN2">
        <f t="shared" ref="BN2:BN21" si="4">(LN(Z2) - AM2) / BM2</f>
        <v>0.86165243557623683</v>
      </c>
      <c r="BO2">
        <f t="shared" ref="BO2:BO21" si="5">IF(BN2&gt;=1,5,ATANH(BN2))</f>
        <v>1.2997253384540037</v>
      </c>
      <c r="BU2">
        <f t="shared" ref="BU2:BU21" si="6">(BO2 / AN2) - 4</f>
        <v>0.19964430431284885</v>
      </c>
      <c r="BV2">
        <f>MIN(EXP(BU2),100)</f>
        <v>1.2209683877232429</v>
      </c>
      <c r="BW2">
        <v>0.57099999999999995</v>
      </c>
      <c r="BX2">
        <v>0.3</v>
      </c>
    </row>
    <row r="3" spans="1:76" x14ac:dyDescent="0.25">
      <c r="A3">
        <v>2</v>
      </c>
      <c r="B3">
        <v>145</v>
      </c>
      <c r="C3" t="str">
        <f t="shared" ref="C3:C21" si="7">IF(AND(B3&gt;=0,B3&lt;=5),"BainEtal_Normal",IF(AND(B3&gt;5,B3&lt;90),"SSTens",IF(AND(B3&gt;=90,B3&lt;175),"SSComp",IF(AND(B3&gt;=175,B3&lt;=180),"BainEtal_Reverse"))))</f>
        <v>SSComp</v>
      </c>
      <c r="D3">
        <v>0.30480000000000002</v>
      </c>
      <c r="E3">
        <f t="shared" ref="E3:E21" si="8">D3*1000</f>
        <v>304.8</v>
      </c>
      <c r="I3">
        <v>30</v>
      </c>
      <c r="Z3">
        <v>0.1</v>
      </c>
      <c r="AM3">
        <f t="shared" si="0"/>
        <v>-5.7267367840000007</v>
      </c>
      <c r="AN3">
        <f t="shared" si="1"/>
        <v>0.36844193599999997</v>
      </c>
      <c r="BG3">
        <f t="shared" si="2"/>
        <v>0</v>
      </c>
      <c r="BM3">
        <f t="shared" si="3"/>
        <v>4.2130700000000001</v>
      </c>
      <c r="BN3">
        <f t="shared" si="4"/>
        <v>0.81274502702446316</v>
      </c>
      <c r="BO3">
        <f t="shared" si="5"/>
        <v>1.135063192462112</v>
      </c>
      <c r="BU3">
        <f t="shared" si="6"/>
        <v>-0.91928881716083488</v>
      </c>
      <c r="BV3">
        <f t="shared" ref="BV3:BV21" si="9">MIN(EXP(BU3),100)</f>
        <v>0.39880256179319534</v>
      </c>
      <c r="BW3">
        <v>0.57099999999999995</v>
      </c>
      <c r="BX3">
        <v>0.3</v>
      </c>
    </row>
    <row r="4" spans="1:76" x14ac:dyDescent="0.25">
      <c r="A4">
        <v>3</v>
      </c>
      <c r="B4">
        <v>165</v>
      </c>
      <c r="C4" t="str">
        <f t="shared" si="7"/>
        <v>SSComp</v>
      </c>
      <c r="D4">
        <v>0.40639999999999998</v>
      </c>
      <c r="E4">
        <f t="shared" si="8"/>
        <v>406.4</v>
      </c>
      <c r="I4">
        <v>50</v>
      </c>
      <c r="Z4">
        <v>0.2</v>
      </c>
      <c r="AM4">
        <f t="shared" si="0"/>
        <v>-5.3062657120000001</v>
      </c>
      <c r="AN4">
        <f t="shared" si="1"/>
        <v>0.396749248</v>
      </c>
      <c r="BG4">
        <f t="shared" si="2"/>
        <v>0</v>
      </c>
      <c r="BM4">
        <f t="shared" si="3"/>
        <v>3.9944699999999997</v>
      </c>
      <c r="BN4">
        <f t="shared" si="4"/>
        <v>0.92548643488770721</v>
      </c>
      <c r="BO4">
        <f t="shared" si="5"/>
        <v>1.6259763586968217</v>
      </c>
      <c r="BU4">
        <f t="shared" si="6"/>
        <v>9.8246857160575018E-2</v>
      </c>
      <c r="BV4">
        <f t="shared" si="9"/>
        <v>1.1032350929790506</v>
      </c>
      <c r="BW4">
        <v>0.57099999999999995</v>
      </c>
      <c r="BX4">
        <v>0.3</v>
      </c>
    </row>
    <row r="5" spans="1:76" x14ac:dyDescent="0.25">
      <c r="A5">
        <v>4</v>
      </c>
      <c r="B5">
        <v>105</v>
      </c>
      <c r="C5" t="str">
        <f t="shared" si="7"/>
        <v>SSComp</v>
      </c>
      <c r="D5">
        <v>0.50800000000000001</v>
      </c>
      <c r="E5">
        <f t="shared" si="8"/>
        <v>508</v>
      </c>
      <c r="I5">
        <v>100</v>
      </c>
      <c r="Z5">
        <v>0.7</v>
      </c>
      <c r="AM5">
        <f t="shared" si="0"/>
        <v>-3.7192446400000003</v>
      </c>
      <c r="AN5">
        <f t="shared" si="1"/>
        <v>0.44365656000000003</v>
      </c>
      <c r="BG5">
        <f t="shared" si="2"/>
        <v>-15</v>
      </c>
      <c r="BM5">
        <f t="shared" si="3"/>
        <v>3.4479699999999998</v>
      </c>
      <c r="BN5">
        <f t="shared" si="4"/>
        <v>0.97523171491088034</v>
      </c>
      <c r="BO5">
        <f t="shared" si="5"/>
        <v>2.1894384933683062</v>
      </c>
      <c r="BU5">
        <f t="shared" si="6"/>
        <v>0.93498505548595112</v>
      </c>
      <c r="BV5">
        <f t="shared" si="9"/>
        <v>2.5471753911561468</v>
      </c>
      <c r="BW5">
        <v>0.57099999999999995</v>
      </c>
      <c r="BX5">
        <v>0.3</v>
      </c>
    </row>
    <row r="6" spans="1:76" x14ac:dyDescent="0.25">
      <c r="A6">
        <v>5</v>
      </c>
      <c r="B6">
        <v>145</v>
      </c>
      <c r="C6" t="str">
        <f t="shared" si="7"/>
        <v>SSComp</v>
      </c>
      <c r="D6">
        <v>0.60960000000000003</v>
      </c>
      <c r="E6">
        <f t="shared" si="8"/>
        <v>609.6</v>
      </c>
      <c r="I6">
        <v>15</v>
      </c>
      <c r="Z6">
        <v>0.2</v>
      </c>
      <c r="AM6">
        <f t="shared" si="0"/>
        <v>-5.6660735680000007</v>
      </c>
      <c r="AN6">
        <f t="shared" si="1"/>
        <v>0.30561387200000001</v>
      </c>
      <c r="BG6">
        <f t="shared" si="2"/>
        <v>0</v>
      </c>
      <c r="BM6">
        <f t="shared" si="3"/>
        <v>4.3770199999999999</v>
      </c>
      <c r="BN6">
        <f t="shared" si="4"/>
        <v>0.92680308876036677</v>
      </c>
      <c r="BO6">
        <f t="shared" si="5"/>
        <v>1.6352321269547774</v>
      </c>
      <c r="BU6">
        <f t="shared" si="6"/>
        <v>1.3506475876028867</v>
      </c>
      <c r="BV6">
        <f t="shared" si="9"/>
        <v>3.8599243606680402</v>
      </c>
      <c r="BW6">
        <v>0.57099999999999995</v>
      </c>
      <c r="BX6">
        <v>0.3</v>
      </c>
    </row>
    <row r="7" spans="1:76" x14ac:dyDescent="0.25">
      <c r="A7">
        <v>6</v>
      </c>
      <c r="B7">
        <v>165</v>
      </c>
      <c r="C7" t="str">
        <f t="shared" si="7"/>
        <v>SSComp</v>
      </c>
      <c r="D7">
        <v>0.76200000000000001</v>
      </c>
      <c r="E7">
        <f t="shared" si="8"/>
        <v>762</v>
      </c>
      <c r="I7">
        <v>30</v>
      </c>
      <c r="Z7">
        <v>0.3</v>
      </c>
      <c r="AM7">
        <f t="shared" si="0"/>
        <v>-5.2755169600000009</v>
      </c>
      <c r="AN7">
        <f t="shared" si="1"/>
        <v>0.31852483999999998</v>
      </c>
      <c r="BG7">
        <f t="shared" si="2"/>
        <v>0</v>
      </c>
      <c r="BM7">
        <f t="shared" si="3"/>
        <v>4.2130700000000001</v>
      </c>
      <c r="BN7">
        <f t="shared" si="4"/>
        <v>0.96640790579650115</v>
      </c>
      <c r="BO7">
        <f t="shared" si="5"/>
        <v>2.0348365057620685</v>
      </c>
      <c r="BU7">
        <f t="shared" si="6"/>
        <v>2.38831340677251</v>
      </c>
      <c r="BV7">
        <f t="shared" si="9"/>
        <v>10.895102831591004</v>
      </c>
      <c r="BW7">
        <v>0.57099999999999995</v>
      </c>
      <c r="BX7">
        <v>0.3</v>
      </c>
    </row>
    <row r="8" spans="1:76" x14ac:dyDescent="0.25">
      <c r="A8">
        <v>7</v>
      </c>
      <c r="B8">
        <v>105</v>
      </c>
      <c r="C8" t="str">
        <f t="shared" si="7"/>
        <v>SSComp</v>
      </c>
      <c r="D8">
        <v>0.86360000000000003</v>
      </c>
      <c r="E8">
        <f t="shared" si="8"/>
        <v>863.6</v>
      </c>
      <c r="I8">
        <v>50</v>
      </c>
      <c r="Z8">
        <v>0.5</v>
      </c>
      <c r="AM8">
        <f t="shared" si="0"/>
        <v>-4.1687958880000009</v>
      </c>
      <c r="AN8">
        <f t="shared" si="1"/>
        <v>0.30633215199999997</v>
      </c>
      <c r="BG8">
        <f t="shared" si="2"/>
        <v>-15</v>
      </c>
      <c r="BM8">
        <f t="shared" si="3"/>
        <v>3.9944699999999997</v>
      </c>
      <c r="BN8">
        <f t="shared" si="4"/>
        <v>0.87011511100097283</v>
      </c>
      <c r="BO8">
        <f t="shared" si="5"/>
        <v>1.3335533378406192</v>
      </c>
      <c r="BU8">
        <f t="shared" si="6"/>
        <v>0.35329210183794046</v>
      </c>
      <c r="BV8">
        <f t="shared" si="9"/>
        <v>1.4237469618042953</v>
      </c>
      <c r="BW8">
        <v>0.57099999999999995</v>
      </c>
      <c r="BX8">
        <v>0.3</v>
      </c>
    </row>
    <row r="9" spans="1:76" x14ac:dyDescent="0.25">
      <c r="A9">
        <v>8</v>
      </c>
      <c r="B9">
        <v>145</v>
      </c>
      <c r="C9" t="str">
        <f t="shared" si="7"/>
        <v>SSComp</v>
      </c>
      <c r="D9">
        <v>1.0668</v>
      </c>
      <c r="E9">
        <f t="shared" si="8"/>
        <v>1066.8</v>
      </c>
      <c r="I9">
        <v>100</v>
      </c>
      <c r="Z9">
        <v>0.65</v>
      </c>
      <c r="AM9">
        <f t="shared" si="0"/>
        <v>-3.8540037440000008</v>
      </c>
      <c r="AN9">
        <f t="shared" si="1"/>
        <v>0.423146776</v>
      </c>
      <c r="BG9">
        <f t="shared" si="2"/>
        <v>0</v>
      </c>
      <c r="BM9">
        <f t="shared" si="3"/>
        <v>3.4479699999999998</v>
      </c>
      <c r="BN9">
        <f t="shared" si="4"/>
        <v>0.99282210341376143</v>
      </c>
      <c r="BO9">
        <f t="shared" si="5"/>
        <v>2.8131503349727711</v>
      </c>
      <c r="BU9">
        <f t="shared" si="6"/>
        <v>2.6481667698509677</v>
      </c>
      <c r="BV9">
        <f t="shared" si="9"/>
        <v>14.128114804444175</v>
      </c>
      <c r="BW9">
        <v>0.57099999999999995</v>
      </c>
      <c r="BX9">
        <v>0.3</v>
      </c>
    </row>
    <row r="10" spans="1:76" x14ac:dyDescent="0.25">
      <c r="A10">
        <v>9</v>
      </c>
      <c r="B10">
        <v>165</v>
      </c>
      <c r="C10" t="str">
        <f t="shared" si="7"/>
        <v>SSComp</v>
      </c>
      <c r="D10">
        <v>0.60960000000000003</v>
      </c>
      <c r="E10">
        <f t="shared" si="8"/>
        <v>609.6</v>
      </c>
      <c r="I10">
        <v>150</v>
      </c>
      <c r="Z10">
        <v>0.54</v>
      </c>
      <c r="AM10">
        <f t="shared" si="0"/>
        <v>-3.5047235680000006</v>
      </c>
      <c r="AN10">
        <f t="shared" si="1"/>
        <v>0.57156387200000003</v>
      </c>
      <c r="BG10">
        <f t="shared" si="2"/>
        <v>0</v>
      </c>
      <c r="BM10">
        <f t="shared" si="3"/>
        <v>2.9014699999999998</v>
      </c>
      <c r="BN10">
        <f t="shared" si="4"/>
        <v>0.99554275197613074</v>
      </c>
      <c r="BO10">
        <f t="shared" si="5"/>
        <v>3.0520699039355779</v>
      </c>
      <c r="BU10">
        <f t="shared" si="6"/>
        <v>1.3398579816737923</v>
      </c>
      <c r="BV10">
        <f t="shared" si="9"/>
        <v>3.8185011697117019</v>
      </c>
      <c r="BW10">
        <v>0.57099999999999995</v>
      </c>
      <c r="BX10">
        <v>0.3</v>
      </c>
    </row>
    <row r="11" spans="1:76" x14ac:dyDescent="0.25">
      <c r="A11">
        <v>10</v>
      </c>
      <c r="B11">
        <v>105</v>
      </c>
      <c r="C11" t="str">
        <f t="shared" si="7"/>
        <v>SSComp</v>
      </c>
      <c r="D11">
        <v>0.60960000000000003</v>
      </c>
      <c r="E11">
        <f t="shared" si="8"/>
        <v>609.6</v>
      </c>
      <c r="I11">
        <v>200</v>
      </c>
      <c r="Z11">
        <v>0.5</v>
      </c>
      <c r="AM11">
        <f t="shared" si="0"/>
        <v>-2.0179735680000004</v>
      </c>
      <c r="AN11">
        <f t="shared" si="1"/>
        <v>0.62956387200000008</v>
      </c>
      <c r="BG11">
        <f t="shared" si="2"/>
        <v>-15</v>
      </c>
      <c r="BM11">
        <f t="shared" si="3"/>
        <v>2.3549699999999998</v>
      </c>
      <c r="BN11">
        <f t="shared" si="4"/>
        <v>0.56256614200607868</v>
      </c>
      <c r="BO11">
        <f t="shared" si="5"/>
        <v>0.63657959947907028</v>
      </c>
      <c r="BU11">
        <f t="shared" si="6"/>
        <v>-2.9888562101621514</v>
      </c>
      <c r="BV11">
        <f t="shared" si="9"/>
        <v>5.034498788963291E-2</v>
      </c>
      <c r="BW11">
        <v>0.57099999999999995</v>
      </c>
      <c r="BX11">
        <v>0.3</v>
      </c>
    </row>
    <row r="12" spans="1:76" x14ac:dyDescent="0.25">
      <c r="A12">
        <v>11</v>
      </c>
      <c r="B12">
        <v>145</v>
      </c>
      <c r="C12" t="str">
        <f t="shared" si="7"/>
        <v>SSComp</v>
      </c>
      <c r="D12">
        <v>0.20319999999999999</v>
      </c>
      <c r="E12">
        <f t="shared" si="8"/>
        <v>203.2</v>
      </c>
      <c r="I12">
        <v>15</v>
      </c>
      <c r="Z12">
        <v>0.7</v>
      </c>
      <c r="AM12">
        <f t="shared" si="0"/>
        <v>-6.0671578560000006</v>
      </c>
      <c r="AN12">
        <f t="shared" si="1"/>
        <v>0.34998462400000002</v>
      </c>
      <c r="BG12">
        <f t="shared" si="2"/>
        <v>0</v>
      </c>
      <c r="BM12">
        <f t="shared" si="3"/>
        <v>4.3770199999999999</v>
      </c>
      <c r="BN12">
        <f t="shared" si="4"/>
        <v>1.3046508611021352</v>
      </c>
      <c r="BO12">
        <f t="shared" si="5"/>
        <v>5</v>
      </c>
      <c r="BU12">
        <f t="shared" si="6"/>
        <v>10.286341905123237</v>
      </c>
      <c r="BV12">
        <f t="shared" si="9"/>
        <v>100</v>
      </c>
      <c r="BW12">
        <v>0.57099999999999995</v>
      </c>
      <c r="BX12">
        <v>0.3</v>
      </c>
    </row>
    <row r="13" spans="1:76" x14ac:dyDescent="0.25">
      <c r="A13">
        <v>12</v>
      </c>
      <c r="B13">
        <v>165</v>
      </c>
      <c r="C13" t="str">
        <f t="shared" si="7"/>
        <v>SSComp</v>
      </c>
      <c r="D13">
        <v>0.30480000000000002</v>
      </c>
      <c r="E13">
        <f t="shared" si="8"/>
        <v>304.8</v>
      </c>
      <c r="I13">
        <v>30</v>
      </c>
      <c r="Z13">
        <v>0.6</v>
      </c>
      <c r="AM13">
        <f t="shared" si="0"/>
        <v>-5.7267367840000007</v>
      </c>
      <c r="AN13">
        <f t="shared" si="1"/>
        <v>0.36844193599999997</v>
      </c>
      <c r="BG13">
        <f t="shared" si="2"/>
        <v>0</v>
      </c>
      <c r="BM13">
        <f t="shared" si="3"/>
        <v>4.2130700000000001</v>
      </c>
      <c r="BN13">
        <f t="shared" si="4"/>
        <v>1.2380309750927494</v>
      </c>
      <c r="BO13">
        <f t="shared" si="5"/>
        <v>5</v>
      </c>
      <c r="BU13">
        <f t="shared" si="6"/>
        <v>9.570659339929211</v>
      </c>
      <c r="BV13">
        <f t="shared" si="9"/>
        <v>100</v>
      </c>
      <c r="BW13">
        <v>0.57099999999999995</v>
      </c>
      <c r="BX13">
        <v>0.3</v>
      </c>
    </row>
    <row r="14" spans="1:76" x14ac:dyDescent="0.25">
      <c r="A14">
        <v>13</v>
      </c>
      <c r="B14">
        <v>105</v>
      </c>
      <c r="C14" t="str">
        <f t="shared" si="7"/>
        <v>SSComp</v>
      </c>
      <c r="D14">
        <v>0.40639999999999998</v>
      </c>
      <c r="E14">
        <f t="shared" si="8"/>
        <v>406.4</v>
      </c>
      <c r="I14">
        <v>50</v>
      </c>
      <c r="Z14">
        <v>0.5</v>
      </c>
      <c r="AM14">
        <f t="shared" si="0"/>
        <v>-4.6200157119999998</v>
      </c>
      <c r="AN14">
        <f t="shared" si="1"/>
        <v>0.35624924800000002</v>
      </c>
      <c r="BG14">
        <f t="shared" si="2"/>
        <v>-15</v>
      </c>
      <c r="BM14">
        <f t="shared" si="3"/>
        <v>3.9944699999999997</v>
      </c>
      <c r="BN14">
        <f t="shared" si="4"/>
        <v>0.98307623575594627</v>
      </c>
      <c r="BO14">
        <f t="shared" si="5"/>
        <v>2.3818428849754718</v>
      </c>
      <c r="BU14">
        <f t="shared" si="6"/>
        <v>2.6858888779337766</v>
      </c>
      <c r="BV14">
        <f t="shared" si="9"/>
        <v>14.671236524486245</v>
      </c>
      <c r="BW14">
        <v>0.57099999999999995</v>
      </c>
      <c r="BX14">
        <v>0.3</v>
      </c>
    </row>
    <row r="15" spans="1:76" x14ac:dyDescent="0.25">
      <c r="A15">
        <v>14</v>
      </c>
      <c r="B15">
        <v>145</v>
      </c>
      <c r="C15" t="str">
        <f t="shared" si="7"/>
        <v>SSComp</v>
      </c>
      <c r="D15">
        <v>0.50800000000000001</v>
      </c>
      <c r="E15">
        <f t="shared" si="8"/>
        <v>508</v>
      </c>
      <c r="I15">
        <v>100</v>
      </c>
      <c r="Z15">
        <v>0.2</v>
      </c>
      <c r="AM15">
        <f t="shared" si="0"/>
        <v>-4.4054946400000006</v>
      </c>
      <c r="AN15">
        <f t="shared" si="1"/>
        <v>0.48415656000000001</v>
      </c>
      <c r="BG15">
        <f t="shared" si="2"/>
        <v>0</v>
      </c>
      <c r="BM15">
        <f t="shared" si="3"/>
        <v>3.4479699999999998</v>
      </c>
      <c r="BN15">
        <f t="shared" si="4"/>
        <v>0.81092838034144732</v>
      </c>
      <c r="BO15">
        <f t="shared" si="5"/>
        <v>1.129734513403053</v>
      </c>
      <c r="BU15">
        <f t="shared" si="6"/>
        <v>-1.6665925720327883</v>
      </c>
      <c r="BV15">
        <f t="shared" si="9"/>
        <v>0.18888959802468036</v>
      </c>
      <c r="BW15">
        <v>0.57099999999999995</v>
      </c>
      <c r="BX15">
        <v>0.3</v>
      </c>
    </row>
    <row r="16" spans="1:76" x14ac:dyDescent="0.25">
      <c r="A16">
        <v>15</v>
      </c>
      <c r="B16">
        <v>165</v>
      </c>
      <c r="C16" t="str">
        <f t="shared" si="7"/>
        <v>SSComp</v>
      </c>
      <c r="D16">
        <v>0.60960000000000003</v>
      </c>
      <c r="E16">
        <f t="shared" si="8"/>
        <v>609.6</v>
      </c>
      <c r="I16">
        <v>15</v>
      </c>
      <c r="Z16">
        <v>0.4</v>
      </c>
      <c r="AM16">
        <f t="shared" si="0"/>
        <v>-5.6660735680000007</v>
      </c>
      <c r="AN16">
        <f t="shared" si="1"/>
        <v>0.30561387200000001</v>
      </c>
      <c r="BG16">
        <f t="shared" si="2"/>
        <v>0</v>
      </c>
      <c r="BM16">
        <f t="shared" si="3"/>
        <v>4.3770199999999999</v>
      </c>
      <c r="BN16">
        <f t="shared" si="4"/>
        <v>1.0851636127150084</v>
      </c>
      <c r="BO16">
        <f t="shared" si="5"/>
        <v>5</v>
      </c>
      <c r="BU16">
        <f t="shared" si="6"/>
        <v>12.360513897091685</v>
      </c>
      <c r="BV16">
        <f t="shared" si="9"/>
        <v>100</v>
      </c>
      <c r="BW16">
        <v>0.57099999999999995</v>
      </c>
      <c r="BX16">
        <v>0.3</v>
      </c>
    </row>
    <row r="17" spans="1:76" x14ac:dyDescent="0.25">
      <c r="A17">
        <v>16</v>
      </c>
      <c r="B17">
        <v>105</v>
      </c>
      <c r="C17" t="str">
        <f t="shared" si="7"/>
        <v>SSComp</v>
      </c>
      <c r="D17">
        <v>0.76200000000000001</v>
      </c>
      <c r="E17">
        <f t="shared" si="8"/>
        <v>762</v>
      </c>
      <c r="I17">
        <v>30</v>
      </c>
      <c r="Z17">
        <v>0.3</v>
      </c>
      <c r="AM17">
        <f t="shared" si="0"/>
        <v>-4.5892669600000007</v>
      </c>
      <c r="AN17">
        <f t="shared" si="1"/>
        <v>0.27802484</v>
      </c>
      <c r="BG17">
        <f t="shared" si="2"/>
        <v>-15</v>
      </c>
      <c r="BM17">
        <f t="shared" si="3"/>
        <v>4.2130700000000001</v>
      </c>
      <c r="BN17">
        <f t="shared" si="4"/>
        <v>0.80352193428404106</v>
      </c>
      <c r="BO17">
        <f t="shared" si="5"/>
        <v>1.1084729310554529</v>
      </c>
      <c r="BU17">
        <f t="shared" si="6"/>
        <v>-1.3043542960215593E-2</v>
      </c>
      <c r="BV17">
        <f t="shared" si="9"/>
        <v>0.98704115539080384</v>
      </c>
      <c r="BW17">
        <v>0.57099999999999995</v>
      </c>
      <c r="BX17">
        <v>0.3</v>
      </c>
    </row>
    <row r="18" spans="1:76" x14ac:dyDescent="0.25">
      <c r="A18">
        <v>17</v>
      </c>
      <c r="B18">
        <v>145</v>
      </c>
      <c r="C18" t="str">
        <f t="shared" si="7"/>
        <v>SSComp</v>
      </c>
      <c r="D18">
        <v>0.86360000000000003</v>
      </c>
      <c r="E18">
        <f t="shared" si="8"/>
        <v>863.6</v>
      </c>
      <c r="I18">
        <v>50</v>
      </c>
      <c r="Z18">
        <v>0.5</v>
      </c>
      <c r="AM18">
        <f t="shared" si="0"/>
        <v>-4.8550458880000011</v>
      </c>
      <c r="AN18">
        <f t="shared" si="1"/>
        <v>0.34683215199999995</v>
      </c>
      <c r="BG18">
        <f t="shared" si="2"/>
        <v>0</v>
      </c>
      <c r="BM18">
        <f t="shared" si="3"/>
        <v>3.9944699999999997</v>
      </c>
      <c r="BN18">
        <f t="shared" si="4"/>
        <v>1.0419151245196625</v>
      </c>
      <c r="BO18">
        <f t="shared" si="5"/>
        <v>5</v>
      </c>
      <c r="BU18">
        <f t="shared" si="6"/>
        <v>10.416195185964192</v>
      </c>
      <c r="BV18">
        <f t="shared" si="9"/>
        <v>100</v>
      </c>
      <c r="BW18">
        <v>0.57099999999999995</v>
      </c>
      <c r="BX18">
        <v>0.3</v>
      </c>
    </row>
    <row r="19" spans="1:76" x14ac:dyDescent="0.25">
      <c r="A19">
        <v>18</v>
      </c>
      <c r="B19">
        <v>165</v>
      </c>
      <c r="C19" t="str">
        <f t="shared" si="7"/>
        <v>SSComp</v>
      </c>
      <c r="D19">
        <v>1.0668</v>
      </c>
      <c r="E19">
        <f t="shared" si="8"/>
        <v>1066.8</v>
      </c>
      <c r="I19">
        <v>100</v>
      </c>
      <c r="Z19">
        <v>0.7</v>
      </c>
      <c r="AM19">
        <f t="shared" si="0"/>
        <v>-3.8540037440000008</v>
      </c>
      <c r="AN19">
        <f t="shared" si="1"/>
        <v>0.423146776</v>
      </c>
      <c r="BG19">
        <f t="shared" si="2"/>
        <v>0</v>
      </c>
      <c r="BM19">
        <f t="shared" si="3"/>
        <v>3.4479699999999998</v>
      </c>
      <c r="BN19">
        <f t="shared" si="4"/>
        <v>1.0143153217868104</v>
      </c>
      <c r="BO19">
        <f t="shared" si="5"/>
        <v>5</v>
      </c>
      <c r="BU19">
        <f t="shared" si="6"/>
        <v>7.8162308768246405</v>
      </c>
      <c r="BV19">
        <f t="shared" si="9"/>
        <v>100</v>
      </c>
      <c r="BW19">
        <v>0.57099999999999995</v>
      </c>
      <c r="BX19">
        <v>0.3</v>
      </c>
    </row>
    <row r="20" spans="1:76" x14ac:dyDescent="0.25">
      <c r="A20">
        <v>19</v>
      </c>
      <c r="B20">
        <v>115</v>
      </c>
      <c r="C20" t="str">
        <f t="shared" si="7"/>
        <v>SSComp</v>
      </c>
      <c r="D20">
        <v>0.60960000000000003</v>
      </c>
      <c r="E20">
        <f t="shared" si="8"/>
        <v>609.6</v>
      </c>
      <c r="I20">
        <v>150</v>
      </c>
      <c r="Z20">
        <v>0.6</v>
      </c>
      <c r="AM20">
        <f t="shared" si="0"/>
        <v>-3.2759735680000004</v>
      </c>
      <c r="AN20">
        <f t="shared" si="1"/>
        <v>0.55806387200000007</v>
      </c>
      <c r="BG20">
        <f t="shared" si="2"/>
        <v>-5</v>
      </c>
      <c r="BM20">
        <f t="shared" si="3"/>
        <v>2.9014699999999998</v>
      </c>
      <c r="BN20">
        <f t="shared" si="4"/>
        <v>0.95301621048434415</v>
      </c>
      <c r="BO20">
        <f t="shared" si="5"/>
        <v>1.8636637964233149</v>
      </c>
      <c r="BU20">
        <f t="shared" si="6"/>
        <v>-0.66048298424285967</v>
      </c>
      <c r="BV20">
        <f t="shared" si="9"/>
        <v>0.51660176371546651</v>
      </c>
      <c r="BW20">
        <v>0.57099999999999995</v>
      </c>
      <c r="BX20">
        <v>0.3</v>
      </c>
    </row>
    <row r="21" spans="1:76" x14ac:dyDescent="0.25">
      <c r="A21">
        <v>20</v>
      </c>
      <c r="B21">
        <v>135</v>
      </c>
      <c r="C21" t="str">
        <f t="shared" si="7"/>
        <v>SSComp</v>
      </c>
      <c r="D21">
        <v>0.60960000000000003</v>
      </c>
      <c r="E21">
        <f t="shared" si="8"/>
        <v>609.6</v>
      </c>
      <c r="I21">
        <v>200</v>
      </c>
      <c r="Z21">
        <v>1.5</v>
      </c>
      <c r="AM21">
        <f t="shared" si="0"/>
        <v>-2.7042235680000006</v>
      </c>
      <c r="AN21">
        <f t="shared" si="1"/>
        <v>0.67006387200000006</v>
      </c>
      <c r="BG21">
        <f t="shared" si="2"/>
        <v>0</v>
      </c>
      <c r="BM21">
        <f t="shared" si="3"/>
        <v>2.3549699999999998</v>
      </c>
      <c r="BN21">
        <f t="shared" si="4"/>
        <v>1.3204791042383408</v>
      </c>
      <c r="BO21">
        <f t="shared" si="5"/>
        <v>5</v>
      </c>
      <c r="BU21">
        <f t="shared" si="6"/>
        <v>3.4619752070441425</v>
      </c>
      <c r="BV21">
        <f t="shared" si="9"/>
        <v>31.879883737745445</v>
      </c>
      <c r="BW21">
        <v>0.57099999999999995</v>
      </c>
      <c r="BX21">
        <v>0.3</v>
      </c>
    </row>
    <row r="23" spans="1:76" x14ac:dyDescent="0.25">
      <c r="A23" t="s">
        <v>0</v>
      </c>
      <c r="B23" t="s">
        <v>46</v>
      </c>
      <c r="C23" t="s">
        <v>47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Q23" t="s">
        <v>13</v>
      </c>
      <c r="R23" t="s">
        <v>14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29</v>
      </c>
      <c r="AA23" t="s">
        <v>76</v>
      </c>
      <c r="AB23" t="s">
        <v>77</v>
      </c>
      <c r="AC23" t="s">
        <v>78</v>
      </c>
      <c r="AD23" t="s">
        <v>22</v>
      </c>
      <c r="AE23" t="s">
        <v>79</v>
      </c>
      <c r="AF23" t="s">
        <v>80</v>
      </c>
      <c r="AG23" t="s">
        <v>81</v>
      </c>
      <c r="AH23" t="s">
        <v>82</v>
      </c>
      <c r="AI23" t="s">
        <v>83</v>
      </c>
      <c r="AJ23" t="s">
        <v>84</v>
      </c>
      <c r="AK23" t="s">
        <v>51</v>
      </c>
      <c r="AL23" t="s">
        <v>23</v>
      </c>
      <c r="AM23" t="s">
        <v>24</v>
      </c>
      <c r="AN23" t="s">
        <v>25</v>
      </c>
      <c r="AO23" t="s">
        <v>26</v>
      </c>
      <c r="AP23" t="s">
        <v>85</v>
      </c>
      <c r="AQ23" t="s">
        <v>86</v>
      </c>
      <c r="AR23" t="s">
        <v>87</v>
      </c>
      <c r="AS23" t="s">
        <v>88</v>
      </c>
      <c r="AT23" t="s">
        <v>89</v>
      </c>
      <c r="AU23" t="s">
        <v>90</v>
      </c>
      <c r="AV23" t="s">
        <v>91</v>
      </c>
      <c r="AW23" t="s">
        <v>92</v>
      </c>
      <c r="AX23" t="s">
        <v>93</v>
      </c>
      <c r="AY23" t="s">
        <v>54</v>
      </c>
      <c r="AZ23" t="s">
        <v>55</v>
      </c>
      <c r="BA23" t="s">
        <v>56</v>
      </c>
      <c r="BB23" t="s">
        <v>57</v>
      </c>
      <c r="BC23" t="s">
        <v>58</v>
      </c>
      <c r="BD23" t="s">
        <v>59</v>
      </c>
      <c r="BE23" t="s">
        <v>60</v>
      </c>
      <c r="BF23" t="s">
        <v>61</v>
      </c>
      <c r="BH23" t="s">
        <v>52</v>
      </c>
      <c r="BI23" t="s">
        <v>53</v>
      </c>
      <c r="BJ23" t="s">
        <v>27</v>
      </c>
      <c r="BK23" t="s">
        <v>94</v>
      </c>
      <c r="BL23" t="s">
        <v>95</v>
      </c>
      <c r="BM23" t="s">
        <v>28</v>
      </c>
      <c r="BS23" t="s">
        <v>62</v>
      </c>
      <c r="BT23" t="s">
        <v>63</v>
      </c>
      <c r="BU23" t="s">
        <v>30</v>
      </c>
      <c r="BV23" t="s">
        <v>31</v>
      </c>
      <c r="BW23" t="s">
        <v>32</v>
      </c>
      <c r="BX23" t="s">
        <v>33</v>
      </c>
    </row>
    <row r="24" spans="1:76" x14ac:dyDescent="0.25">
      <c r="A24">
        <v>1</v>
      </c>
      <c r="B24">
        <v>39</v>
      </c>
      <c r="C24" t="str">
        <f>IF(AND(B24&gt;=0,B24&lt;=5),"BainEtal_Normal",IF(AND(B24&gt;5,B24&lt;90),"SSTens",IF(AND(B24&gt;=90,B24&lt;175),"SSComp",IF(AND(B24&gt;=175,B24&lt;=180),"BainEtal_Reverse"))))</f>
        <v>SSTens</v>
      </c>
      <c r="D24">
        <v>0.20319999999999999</v>
      </c>
      <c r="E24">
        <f t="shared" ref="E24:E63" si="10">D24*1000</f>
        <v>203.2</v>
      </c>
      <c r="F24">
        <v>5.5599999999999998E-3</v>
      </c>
      <c r="G24">
        <f t="shared" ref="G24:G63" si="11">F24*1000</f>
        <v>5.56</v>
      </c>
      <c r="H24">
        <f t="shared" ref="H24:H63" si="12">D24/F24</f>
        <v>36.546762589928058</v>
      </c>
      <c r="I24">
        <v>15</v>
      </c>
      <c r="J24" t="s">
        <v>34</v>
      </c>
      <c r="K24">
        <f>IF(J24="Grade-B",3,IF(J24="X-42",3,IF(J24="X-52",8,IF(J24="X-60",8,IF(J24="X-70",14,IF(J24="X-80",15,8))))))</f>
        <v>8</v>
      </c>
      <c r="L24">
        <f>IF(J24="Grade-B",8,IF(J24="X-42",9,IF(J24="X-52",10,IF(J24="X-60",12,IF(J24="X-70",15,IF(J24="X-80",20,10))))))</f>
        <v>10</v>
      </c>
      <c r="M24">
        <f>IF(J24="Grade-B",241,IF(J24="X-42",290,IF(J24="X-52",359,IF(J24="X-60",414,IF(J24="X-70",483,IF(J24="X-80",552,359))))))*1000</f>
        <v>359000</v>
      </c>
      <c r="N24">
        <f>IF(J24="Grade-B",344,IF(J24="X-42",414,IF(J24="X-52",455,IF(J24="X-60",517,IF(J24="X-70",565,IF(J24="X-80",625,M24*1.2/1000))))))*1000</f>
        <v>455000</v>
      </c>
      <c r="O24">
        <f>N24/200000000*(1+K24/(1+L24)*(N24/M24)^L24)*100</f>
        <v>1.9969902892117808</v>
      </c>
      <c r="Q24" t="s">
        <v>42</v>
      </c>
      <c r="R24" t="s">
        <v>43</v>
      </c>
      <c r="S24">
        <f>IF(R24="medium dense",18,IF(R24="dense",18.5,IF(R24="very dense",19,IF(R24="soft",17.5,IF(R24="medium stiff",18,IF(R24="stiff",18.5,0))))))</f>
        <v>18</v>
      </c>
      <c r="T24">
        <f t="shared" ref="T24:T63" si="13">IF(R24="medium dense",37,IF(R24="dense",40,IF(R24="very dense",43,0)))</f>
        <v>37</v>
      </c>
      <c r="U24">
        <f t="shared" ref="U24:U63" si="14">IF(R24="soft",37.5,IF(R24="medium stiff",75,IF(R24="stiff",125,0)))</f>
        <v>0</v>
      </c>
      <c r="V24">
        <f t="shared" ref="V24:V63" si="15">IF(R24="soft",1.1,IF(R24="medium stiff",0.72,IF(R24="stiff",0.4,0)))</f>
        <v>0</v>
      </c>
      <c r="W24">
        <v>0.9</v>
      </c>
      <c r="X24">
        <v>1</v>
      </c>
      <c r="Y24">
        <f t="shared" ref="Y24:Y63" si="16">IF(Q24="clay",V24*U24,IF(Q24="sand",X24*S24*TAN(RADIANS(W24*T24))))*PI()*D24</f>
        <v>7.5479720641402661</v>
      </c>
      <c r="Z24">
        <v>0.75</v>
      </c>
      <c r="AA24">
        <f t="shared" ref="AA24:AA43" si="17">IF(Y24&lt;70,1,0)</f>
        <v>1</v>
      </c>
      <c r="AB24">
        <f t="shared" ref="AB24:AB43" si="18">IF(H24&lt;100,1,0)</f>
        <v>1</v>
      </c>
      <c r="AC24">
        <f t="shared" ref="AC24:AC43" si="19">IF(AND(B24&gt;=5,B24&lt;45),-0.05402*(B24-45)-1.82829,IF(AND(B24&gt;=45,B24&lt;85),0.00735*(B24-75)-1.60779))</f>
        <v>-1.50417</v>
      </c>
      <c r="AD24">
        <f t="shared" ref="AD24:AD43" si="20">AF24*LN(I24)+AG24*AA24+AH24*(1-AA24)+AI24*AB24*(H24-100)+AJ24*(1-AB24)</f>
        <v>0.47067295541438414</v>
      </c>
      <c r="AE24">
        <f t="shared" ref="AE24:AE43" si="21">IF(AND(B24&gt;=5,B24&lt;45),0.01347*(B24-45)+0.37664,IF(AND(B24&gt;=45,B24&lt;85),0.00484*(B24-75)+0.52187))</f>
        <v>0.29581999999999997</v>
      </c>
      <c r="AF24">
        <f t="shared" ref="AF24:AF43" si="22">IF(AND(B24&gt;=5,B24&lt;45),-0.00301*(B24-45)-0.01591,IF(AND(B24&gt;=45,B24&lt;85),-0.02185*(B24-75)-0.67156))</f>
        <v>2.1499999999999991E-3</v>
      </c>
      <c r="AG24">
        <f t="shared" ref="AG24:AG43" si="23">IF(AND(B24&gt;=5,B24&lt;45),0.02182*(B24-45)+0.49488,IF(AND(B24&gt;=45,B24&lt;85),0.05619*(B24-75)+2.18087))</f>
        <v>0.36396000000000001</v>
      </c>
      <c r="AH24">
        <f t="shared" ref="AH24:AH43" si="24">IF(AND(B24&gt;=5,B24&lt;45),0.02436*(B24-45)+0.47831,IF(AND(B24&gt;=45,B24&lt;85),0.0643*(B24-75)+2.40733))</f>
        <v>0.33215</v>
      </c>
      <c r="AI24">
        <f t="shared" ref="AI24:AI43" si="25">IF(AND(B24&gt;=5,B24&lt;45),-0.00001*(B24-45)-0.00165,IF(AND(B24&gt;=45,B24&lt;85),-0.00153))</f>
        <v>-1.5900000000000001E-3</v>
      </c>
      <c r="AJ24">
        <f t="shared" ref="AJ24:AJ43" si="26">IF(AND(B24&gt;=5,B24&lt;45),0.00228*(B24-45)+0.10021,IF(AND(B24&gt;=45,B24&lt;85),0.00144*(B24-75)+0.14358))</f>
        <v>8.6529999999999996E-2</v>
      </c>
      <c r="AL24">
        <f t="shared" ref="AL24:AL43" si="27">AC24+AD24*LN(O24)+AE24*LN(I24)</f>
        <v>-0.37753778571031071</v>
      </c>
      <c r="AM24">
        <f t="shared" ref="AM24:AM43" si="28">IF(AND(B24&gt;=5,B24&lt;45),-0.02174*(B24-45)+0.16235,IF(AND(B24&gt;=45,B24&lt;85),-0.02787*(B24-75)-0.67388))</f>
        <v>0.29278999999999999</v>
      </c>
      <c r="AN24">
        <f t="shared" ref="AN24:AN43" si="29">IF(AND(B24&gt;=5,B24&lt;45),0.00203*(B24-45)+0.24407,IF(AND(B24&gt;=45,B24&lt;85),0.00361*(B24-75)+0.35249))</f>
        <v>0.23189000000000001</v>
      </c>
      <c r="AO24">
        <f t="shared" ref="AO24:AO43" si="30">IF(AND(B24&gt;=5,B24&lt;45),-0.02801*(B24-45)+1.64437,IF(AND(B24&gt;=45,B24&lt;85),0.00794*(B24-75)+1.8827))</f>
        <v>1.81243</v>
      </c>
      <c r="AP24">
        <f t="shared" ref="AP24:AP43" si="31">IF(AND(B24&gt;=5,B24&lt;45),-0.0001*(B24-45)-0.00387,IF(AND(B24&gt;=45,B24&lt;85),-0.00002*(B24-75)-0.00456))</f>
        <v>-3.2700000000000003E-3</v>
      </c>
      <c r="AQ24">
        <f t="shared" ref="AQ24:AQ43" si="32">IF(AND(B24&gt;=5,B24&lt;45),-0.00114*(B24-45)+0.00514,IF(AND(B24&gt;=45,B24&lt;85),0.00057*(B24-75)+0.02215))</f>
        <v>1.1979999999999999E-2</v>
      </c>
      <c r="AR24">
        <f t="shared" ref="AR24:AR43" si="33">IF(AND(B24&gt;=5,B24&lt;45),0.01436*(B24-45)-0.12124,IF(AND(B24&gt;=45,B24&lt;85),-0.00844*(B24-75)-0.37439))</f>
        <v>-0.2074</v>
      </c>
      <c r="AS24">
        <f t="shared" ref="AS24:AS43" si="34">IF(AND(B24&gt;=5,B24&lt;45),0.00002*(B24-45)+0.00092,IF(AND(B24&gt;=45,B24&lt;85),0.00002*(B24-75)+0.00156))</f>
        <v>8.0000000000000004E-4</v>
      </c>
      <c r="AT24">
        <f t="shared" ref="AT24:AT43" si="35">IF(AND(B24&gt;=5,B24&lt;45),0.01326*(B24-45)+0.97745,IF(AND(B24&gt;=45,B24&lt;85),-0.00799*(B24-75)+0.73788))</f>
        <v>0.89789000000000008</v>
      </c>
      <c r="AU24">
        <f t="shared" ref="AU24:AU43" si="36">IF(AND(B24&gt;=5,B24&lt;45),0.00061*(B24-45)+0.00602,IF(AND(B24&gt;=45,B24&lt;85),-0.00081*(B24-75)-0.01826))</f>
        <v>2.3600000000000001E-3</v>
      </c>
      <c r="AV24">
        <f t="shared" ref="AV24:AV43" si="37">IF(AND(B24&gt;=5,B24&lt;45),-0.00728*(B24-45)-0.06927,IF(AND(B24&gt;=45,B24&lt;85),0.00522*(B24-75)+0.08748))</f>
        <v>-2.5590000000000002E-2</v>
      </c>
      <c r="AW24">
        <f t="shared" ref="AW24:AW43" si="38">IF(AND(B24&gt;=5,B24&lt;45),0.0148*(B24-45)+0.46008,IF(AND(B24&gt;=45,B24&lt;85),-0.00924*(B24-75)+0.18293))</f>
        <v>0.37128</v>
      </c>
      <c r="AX24">
        <f t="shared" ref="AX24:AX43" si="39">IF(AND(B24&gt;=5,B24&lt;45),0.00272*(B24-45)+0.11565,IF(AND(B24&gt;=45,B24&lt;85),0.00122*(B24-75)+0.15234))</f>
        <v>9.9330000000000002E-2</v>
      </c>
      <c r="BJ24">
        <f t="shared" ref="BJ24:BJ63" si="40">IF(Q24="sand",1,0)</f>
        <v>1</v>
      </c>
      <c r="BK24">
        <f t="shared" ref="BK24:BK43" si="41">IF(Z24&lt;EXP(AL24),1,0)</f>
        <v>0</v>
      </c>
      <c r="BL24">
        <f t="shared" ref="BL24:BL43" si="42">IF(I24&lt;50,1,0)</f>
        <v>1</v>
      </c>
      <c r="BM24">
        <f t="shared" ref="BM24:BM63" si="43">BS24+BT24</f>
        <v>0.96671071957490984</v>
      </c>
      <c r="BS24">
        <f t="shared" ref="BS24:BS43" si="44">BK24*(AP24+AQ24*Y24+AR24*BL24*(I24-50)+AS24*(1-BL24)+AT24*H24)</f>
        <v>0</v>
      </c>
      <c r="BT24">
        <f t="shared" ref="BT24:BT43" si="45">(1-BK24)*(AU24+AV24*BL24*(I24-50)+AW24*(1-BL24)+AX24*LN(O24))</f>
        <v>0.96671071957490984</v>
      </c>
      <c r="BU24">
        <f t="shared" ref="BU24:BU43" si="46">AM24+BM24*LN(Z24/EXP(AL24))+AN24*LN(H24)+BJ24*AO24*LN(Y24)</f>
        <v>4.877558685546262</v>
      </c>
      <c r="BV24">
        <f>MIN(EXP(BU24),100)</f>
        <v>100</v>
      </c>
      <c r="BW24">
        <f t="shared" ref="BW24:BW43" si="47">IF(AND(B24&gt;=5,B24&lt;45),0.00302*(B24-45)+0.53947,IF(AND(B24&gt;=45,B24&lt;85),0.00428*(B24-75)+0.66796))</f>
        <v>0.52134999999999998</v>
      </c>
      <c r="BX24">
        <v>0.3</v>
      </c>
    </row>
    <row r="25" spans="1:76" x14ac:dyDescent="0.25">
      <c r="A25">
        <v>2</v>
      </c>
      <c r="B25">
        <v>69</v>
      </c>
      <c r="C25" t="str">
        <f t="shared" ref="C25:C63" si="48">IF(AND(B25&gt;=0,B25&lt;=5),"BainEtal_Normal",IF(AND(B25&gt;5,B25&lt;90),"SSTens",IF(AND(B25&gt;=90,B25&lt;175),"SSComp",IF(AND(B25&gt;=175,B25&lt;=180),"BainEtal_Reverse"))))</f>
        <v>SSTens</v>
      </c>
      <c r="D25">
        <v>0.30480000000000002</v>
      </c>
      <c r="E25">
        <f t="shared" si="10"/>
        <v>304.8</v>
      </c>
      <c r="F25">
        <v>7.1399999999999996E-3</v>
      </c>
      <c r="G25">
        <f t="shared" si="11"/>
        <v>7.14</v>
      </c>
      <c r="H25">
        <f t="shared" si="12"/>
        <v>42.689075630252105</v>
      </c>
      <c r="I25">
        <v>30</v>
      </c>
      <c r="J25" t="s">
        <v>37</v>
      </c>
      <c r="K25">
        <f t="shared" ref="K25:K43" si="49">IF(J25="Grade-B",3,IF(J25="X-42",3,IF(J25="X-52",8,IF(J25="X-60",8,IF(J25="X-70",14,IF(J25="X-80",15,8))))))</f>
        <v>8</v>
      </c>
      <c r="L25">
        <f t="shared" ref="L25:L43" si="50">IF(J25="Grade-B",8,IF(J25="X-42",9,IF(J25="X-52",10,IF(J25="X-60",12,IF(J25="X-70",15,IF(J25="X-80",20,10))))))</f>
        <v>12</v>
      </c>
      <c r="M25">
        <f t="shared" ref="M25:M43" si="51">IF(J25="Grade-B",241,IF(J25="X-42",290,IF(J25="X-52",359,IF(J25="X-60",414,IF(J25="X-70",483,IF(J25="X-80",552,359))))))*1000</f>
        <v>414000</v>
      </c>
      <c r="N25">
        <f t="shared" ref="N25:N43" si="52">IF(J25="Grade-B",344,IF(J25="X-42",414,IF(J25="X-52",455,IF(J25="X-60",517,IF(J25="X-70",565,IF(J25="X-80",625,M25*1.2/1000))))))*1000</f>
        <v>517000</v>
      </c>
      <c r="O25">
        <f t="shared" ref="O25:O43" si="53">N25/200000000*(1+K25/(1+L25)*(N25/M25)^L25)*100</f>
        <v>2.5466769467238102</v>
      </c>
      <c r="Q25" t="s">
        <v>42</v>
      </c>
      <c r="R25" t="s">
        <v>43</v>
      </c>
      <c r="S25">
        <f t="shared" ref="S25:S43" si="54">IF(R25="medium dense",18,IF(R25="dense",18.5,IF(R25="very dense",19,IF(R25="soft",17.5,IF(R25="medium stiff",18,IF(R25="stiff",18.5,0))))))</f>
        <v>18</v>
      </c>
      <c r="T25">
        <f t="shared" si="13"/>
        <v>37</v>
      </c>
      <c r="U25">
        <f t="shared" si="14"/>
        <v>0</v>
      </c>
      <c r="V25">
        <f t="shared" si="15"/>
        <v>0</v>
      </c>
      <c r="W25">
        <v>0.9</v>
      </c>
      <c r="X25">
        <v>2</v>
      </c>
      <c r="Y25">
        <f t="shared" si="16"/>
        <v>22.6439161924208</v>
      </c>
      <c r="Z25">
        <v>0.75</v>
      </c>
      <c r="AA25">
        <f t="shared" si="17"/>
        <v>1</v>
      </c>
      <c r="AB25">
        <f t="shared" si="18"/>
        <v>1</v>
      </c>
      <c r="AC25">
        <f t="shared" si="19"/>
        <v>-1.6518900000000001</v>
      </c>
      <c r="AD25">
        <f t="shared" si="20"/>
        <v>9.3204577392585711E-2</v>
      </c>
      <c r="AE25">
        <f t="shared" si="21"/>
        <v>0.49282999999999993</v>
      </c>
      <c r="AF25">
        <f t="shared" si="22"/>
        <v>-0.54046000000000005</v>
      </c>
      <c r="AG25">
        <f t="shared" si="23"/>
        <v>1.8437300000000001</v>
      </c>
      <c r="AH25">
        <f t="shared" si="24"/>
        <v>2.0215299999999998</v>
      </c>
      <c r="AI25">
        <f t="shared" si="25"/>
        <v>-1.5299999999999999E-3</v>
      </c>
      <c r="AJ25">
        <f t="shared" si="26"/>
        <v>0.13494</v>
      </c>
      <c r="AL25">
        <f t="shared" si="27"/>
        <v>0.11144875203180549</v>
      </c>
      <c r="AM25">
        <f t="shared" si="28"/>
        <v>-0.50666000000000011</v>
      </c>
      <c r="AN25">
        <f t="shared" si="29"/>
        <v>0.33083000000000001</v>
      </c>
      <c r="AO25">
        <f t="shared" si="30"/>
        <v>1.8350600000000001</v>
      </c>
      <c r="AP25">
        <f t="shared" si="31"/>
        <v>-4.4399999999999995E-3</v>
      </c>
      <c r="AQ25">
        <f t="shared" si="32"/>
        <v>1.873E-2</v>
      </c>
      <c r="AR25">
        <f t="shared" si="33"/>
        <v>-0.32374999999999998</v>
      </c>
      <c r="AS25">
        <f t="shared" si="34"/>
        <v>1.4399999999999999E-3</v>
      </c>
      <c r="AT25">
        <f t="shared" si="35"/>
        <v>0.78581999999999996</v>
      </c>
      <c r="AU25">
        <f t="shared" si="36"/>
        <v>-1.3399999999999999E-2</v>
      </c>
      <c r="AV25">
        <f t="shared" si="37"/>
        <v>5.6160000000000002E-2</v>
      </c>
      <c r="AW25">
        <f t="shared" si="38"/>
        <v>0.23837000000000003</v>
      </c>
      <c r="AX25">
        <f t="shared" si="39"/>
        <v>0.14502000000000001</v>
      </c>
      <c r="BJ25">
        <f t="shared" si="40"/>
        <v>1</v>
      </c>
      <c r="BK25">
        <f t="shared" si="41"/>
        <v>1</v>
      </c>
      <c r="BL25">
        <f t="shared" si="42"/>
        <v>1</v>
      </c>
      <c r="BM25">
        <f t="shared" si="43"/>
        <v>40.440609962048754</v>
      </c>
      <c r="BS25">
        <f t="shared" si="44"/>
        <v>40.440609962048754</v>
      </c>
      <c r="BT25">
        <f t="shared" si="45"/>
        <v>0</v>
      </c>
      <c r="BU25">
        <f t="shared" si="46"/>
        <v>-9.6806494452477772</v>
      </c>
      <c r="BV25">
        <f t="shared" ref="BV25:BV43" si="55">MIN(EXP(BU25),100)</f>
        <v>6.2480912663588663E-5</v>
      </c>
      <c r="BW25">
        <f t="shared" si="47"/>
        <v>0.64227999999999996</v>
      </c>
      <c r="BX25">
        <v>0.3</v>
      </c>
    </row>
    <row r="26" spans="1:76" x14ac:dyDescent="0.25">
      <c r="A26">
        <v>3</v>
      </c>
      <c r="B26">
        <v>28</v>
      </c>
      <c r="C26" t="str">
        <f t="shared" si="48"/>
        <v>SSTens</v>
      </c>
      <c r="D26">
        <v>0.40639999999999998</v>
      </c>
      <c r="E26">
        <f t="shared" si="10"/>
        <v>406.4</v>
      </c>
      <c r="F26">
        <v>9.5299999999999985E-3</v>
      </c>
      <c r="G26">
        <f t="shared" si="11"/>
        <v>9.5299999999999994</v>
      </c>
      <c r="H26">
        <f t="shared" si="12"/>
        <v>42.644281217208821</v>
      </c>
      <c r="I26">
        <v>50</v>
      </c>
      <c r="J26" t="s">
        <v>39</v>
      </c>
      <c r="K26">
        <f t="shared" si="49"/>
        <v>14</v>
      </c>
      <c r="L26">
        <f t="shared" si="50"/>
        <v>15</v>
      </c>
      <c r="M26">
        <f t="shared" si="51"/>
        <v>483000</v>
      </c>
      <c r="N26">
        <f t="shared" si="52"/>
        <v>565000</v>
      </c>
      <c r="O26">
        <f t="shared" si="53"/>
        <v>2.8799444073326219</v>
      </c>
      <c r="Q26" t="s">
        <v>42</v>
      </c>
      <c r="R26" t="s">
        <v>43</v>
      </c>
      <c r="S26">
        <f t="shared" si="54"/>
        <v>18</v>
      </c>
      <c r="T26">
        <f t="shared" si="13"/>
        <v>37</v>
      </c>
      <c r="U26">
        <f t="shared" si="14"/>
        <v>0</v>
      </c>
      <c r="V26">
        <f t="shared" si="15"/>
        <v>0</v>
      </c>
      <c r="W26">
        <v>0.9</v>
      </c>
      <c r="X26">
        <v>1</v>
      </c>
      <c r="Y26">
        <f t="shared" si="16"/>
        <v>15.095944128280532</v>
      </c>
      <c r="Z26">
        <v>0.75</v>
      </c>
      <c r="AA26">
        <f t="shared" si="17"/>
        <v>1</v>
      </c>
      <c r="AB26">
        <f t="shared" si="18"/>
        <v>1</v>
      </c>
      <c r="AC26">
        <f t="shared" si="19"/>
        <v>-0.90995000000000004</v>
      </c>
      <c r="AD26">
        <f t="shared" si="20"/>
        <v>0.34676439496992739</v>
      </c>
      <c r="AE26">
        <f t="shared" si="21"/>
        <v>0.14764999999999998</v>
      </c>
      <c r="AF26">
        <f t="shared" si="22"/>
        <v>3.526E-2</v>
      </c>
      <c r="AG26">
        <f t="shared" si="23"/>
        <v>0.12393999999999999</v>
      </c>
      <c r="AH26">
        <f t="shared" si="24"/>
        <v>6.4190000000000025E-2</v>
      </c>
      <c r="AI26">
        <f t="shared" si="25"/>
        <v>-1.48E-3</v>
      </c>
      <c r="AJ26">
        <f t="shared" si="26"/>
        <v>6.1449999999999998E-2</v>
      </c>
      <c r="AL26">
        <f t="shared" si="27"/>
        <v>3.4457514445691229E-2</v>
      </c>
      <c r="AM26">
        <f t="shared" si="28"/>
        <v>0.53193000000000001</v>
      </c>
      <c r="AN26">
        <f t="shared" si="29"/>
        <v>0.20956000000000002</v>
      </c>
      <c r="AO26">
        <f t="shared" si="30"/>
        <v>2.1205400000000001</v>
      </c>
      <c r="AP26">
        <f t="shared" si="31"/>
        <v>-2.1700000000000001E-3</v>
      </c>
      <c r="AQ26">
        <f t="shared" si="32"/>
        <v>2.4519999999999997E-2</v>
      </c>
      <c r="AR26">
        <f t="shared" si="33"/>
        <v>-0.36536000000000002</v>
      </c>
      <c r="AS26">
        <f t="shared" si="34"/>
        <v>5.8E-4</v>
      </c>
      <c r="AT26">
        <f t="shared" si="35"/>
        <v>0.75203000000000009</v>
      </c>
      <c r="AU26">
        <f t="shared" si="36"/>
        <v>-4.3499999999999988E-3</v>
      </c>
      <c r="AV26">
        <f t="shared" si="37"/>
        <v>5.4489999999999997E-2</v>
      </c>
      <c r="AW26">
        <f t="shared" si="38"/>
        <v>0.20848</v>
      </c>
      <c r="AX26">
        <f t="shared" si="39"/>
        <v>6.9409999999999999E-2</v>
      </c>
      <c r="BJ26">
        <f t="shared" si="40"/>
        <v>1</v>
      </c>
      <c r="BK26">
        <f t="shared" si="41"/>
        <v>1</v>
      </c>
      <c r="BL26">
        <f t="shared" si="42"/>
        <v>0</v>
      </c>
      <c r="BM26">
        <f t="shared" si="43"/>
        <v>32.43834135380299</v>
      </c>
      <c r="BS26">
        <f t="shared" si="44"/>
        <v>32.43834135380299</v>
      </c>
      <c r="BT26">
        <f t="shared" si="45"/>
        <v>0</v>
      </c>
      <c r="BU26">
        <f t="shared" si="46"/>
        <v>-3.3752384519824616</v>
      </c>
      <c r="BV26">
        <f t="shared" si="55"/>
        <v>3.4209959906251142E-2</v>
      </c>
      <c r="BW26">
        <f t="shared" si="47"/>
        <v>0.48813000000000001</v>
      </c>
      <c r="BX26">
        <v>0.3</v>
      </c>
    </row>
    <row r="27" spans="1:76" x14ac:dyDescent="0.25">
      <c r="A27">
        <v>4</v>
      </c>
      <c r="B27">
        <v>10</v>
      </c>
      <c r="C27" t="str">
        <f t="shared" si="48"/>
        <v>SSTens</v>
      </c>
      <c r="D27">
        <v>0.50800000000000001</v>
      </c>
      <c r="E27">
        <f t="shared" si="10"/>
        <v>508</v>
      </c>
      <c r="F27">
        <v>1.1130000000000001E-2</v>
      </c>
      <c r="G27">
        <f t="shared" si="11"/>
        <v>11.13</v>
      </c>
      <c r="H27">
        <f t="shared" si="12"/>
        <v>45.642407906558844</v>
      </c>
      <c r="I27">
        <v>100</v>
      </c>
      <c r="J27" t="s">
        <v>41</v>
      </c>
      <c r="K27">
        <f t="shared" si="49"/>
        <v>15</v>
      </c>
      <c r="L27">
        <f t="shared" si="50"/>
        <v>20</v>
      </c>
      <c r="M27">
        <f t="shared" si="51"/>
        <v>552000</v>
      </c>
      <c r="N27">
        <f t="shared" si="52"/>
        <v>625000</v>
      </c>
      <c r="O27">
        <f t="shared" si="53"/>
        <v>2.9888368774026359</v>
      </c>
      <c r="Q27" t="s">
        <v>42</v>
      </c>
      <c r="R27" t="s">
        <v>43</v>
      </c>
      <c r="S27">
        <f t="shared" si="54"/>
        <v>18</v>
      </c>
      <c r="T27">
        <f t="shared" si="13"/>
        <v>37</v>
      </c>
      <c r="U27">
        <f t="shared" si="14"/>
        <v>0</v>
      </c>
      <c r="V27">
        <f t="shared" si="15"/>
        <v>0</v>
      </c>
      <c r="W27">
        <v>0.9</v>
      </c>
      <c r="X27">
        <v>2</v>
      </c>
      <c r="Y27">
        <f t="shared" si="16"/>
        <v>37.739860320701332</v>
      </c>
      <c r="Z27">
        <v>0.75</v>
      </c>
      <c r="AA27">
        <f t="shared" si="17"/>
        <v>1</v>
      </c>
      <c r="AB27">
        <f t="shared" si="18"/>
        <v>1</v>
      </c>
      <c r="AC27">
        <f t="shared" si="19"/>
        <v>6.2410000000000077E-2</v>
      </c>
      <c r="AD27">
        <f t="shared" si="20"/>
        <v>0.21373129115624845</v>
      </c>
      <c r="AE27">
        <f t="shared" si="21"/>
        <v>-9.4810000000000005E-2</v>
      </c>
      <c r="AF27">
        <f t="shared" si="22"/>
        <v>8.9439999999999992E-2</v>
      </c>
      <c r="AG27">
        <f t="shared" si="23"/>
        <v>-0.26881999999999995</v>
      </c>
      <c r="AH27">
        <f t="shared" si="24"/>
        <v>-0.37429000000000001</v>
      </c>
      <c r="AI27">
        <f t="shared" si="25"/>
        <v>-1.2999999999999999E-3</v>
      </c>
      <c r="AJ27">
        <f t="shared" si="26"/>
        <v>2.0409999999999998E-2</v>
      </c>
      <c r="AL27">
        <f t="shared" si="27"/>
        <v>-0.14019514862320309</v>
      </c>
      <c r="AM27">
        <f t="shared" si="28"/>
        <v>0.9232499999999999</v>
      </c>
      <c r="AN27">
        <f t="shared" si="29"/>
        <v>0.17302000000000001</v>
      </c>
      <c r="AO27">
        <f t="shared" si="30"/>
        <v>2.6247199999999999</v>
      </c>
      <c r="AP27">
        <f t="shared" si="31"/>
        <v>-3.700000000000001E-4</v>
      </c>
      <c r="AQ27">
        <f t="shared" si="32"/>
        <v>4.5039999999999997E-2</v>
      </c>
      <c r="AR27">
        <f t="shared" si="33"/>
        <v>-0.62383999999999995</v>
      </c>
      <c r="AS27">
        <f t="shared" si="34"/>
        <v>2.1999999999999993E-4</v>
      </c>
      <c r="AT27">
        <f t="shared" si="35"/>
        <v>0.51335000000000008</v>
      </c>
      <c r="AU27">
        <f t="shared" si="36"/>
        <v>-1.5329999999999996E-2</v>
      </c>
      <c r="AV27">
        <f t="shared" si="37"/>
        <v>0.18553000000000003</v>
      </c>
      <c r="AW27">
        <f t="shared" si="38"/>
        <v>-5.7920000000000027E-2</v>
      </c>
      <c r="AX27">
        <f t="shared" si="39"/>
        <v>2.0449999999999996E-2</v>
      </c>
      <c r="BJ27">
        <f t="shared" si="40"/>
        <v>1</v>
      </c>
      <c r="BK27">
        <f t="shared" si="41"/>
        <v>1</v>
      </c>
      <c r="BL27">
        <f t="shared" si="42"/>
        <v>0</v>
      </c>
      <c r="BM27">
        <f t="shared" si="43"/>
        <v>25.130183407676377</v>
      </c>
      <c r="BS27">
        <f t="shared" si="44"/>
        <v>25.130183407676377</v>
      </c>
      <c r="BT27">
        <f t="shared" si="45"/>
        <v>0</v>
      </c>
      <c r="BU27">
        <f t="shared" si="46"/>
        <v>7.407572921774018</v>
      </c>
      <c r="BV27">
        <f t="shared" si="55"/>
        <v>100</v>
      </c>
      <c r="BW27">
        <f t="shared" si="47"/>
        <v>0.43376999999999999</v>
      </c>
      <c r="BX27">
        <v>0.3</v>
      </c>
    </row>
    <row r="28" spans="1:76" x14ac:dyDescent="0.25">
      <c r="A28">
        <v>5</v>
      </c>
      <c r="B28">
        <v>59</v>
      </c>
      <c r="C28" t="str">
        <f t="shared" si="48"/>
        <v>SSTens</v>
      </c>
      <c r="D28">
        <v>0.60960000000000003</v>
      </c>
      <c r="E28">
        <f t="shared" si="10"/>
        <v>609.6</v>
      </c>
      <c r="F28">
        <v>9.5299999999999985E-3</v>
      </c>
      <c r="G28">
        <f t="shared" si="11"/>
        <v>9.5299999999999994</v>
      </c>
      <c r="H28">
        <f t="shared" si="12"/>
        <v>63.966421825813235</v>
      </c>
      <c r="I28">
        <v>15</v>
      </c>
      <c r="J28" t="s">
        <v>34</v>
      </c>
      <c r="K28">
        <f t="shared" si="49"/>
        <v>8</v>
      </c>
      <c r="L28">
        <f t="shared" si="50"/>
        <v>10</v>
      </c>
      <c r="M28">
        <f t="shared" si="51"/>
        <v>359000</v>
      </c>
      <c r="N28">
        <f t="shared" si="52"/>
        <v>455000</v>
      </c>
      <c r="O28">
        <f t="shared" si="53"/>
        <v>1.9969902892117808</v>
      </c>
      <c r="Q28" t="s">
        <v>42</v>
      </c>
      <c r="R28" t="s">
        <v>44</v>
      </c>
      <c r="S28">
        <f t="shared" si="54"/>
        <v>18.5</v>
      </c>
      <c r="T28">
        <f t="shared" si="13"/>
        <v>40</v>
      </c>
      <c r="U28">
        <f t="shared" si="14"/>
        <v>0</v>
      </c>
      <c r="V28">
        <f t="shared" si="15"/>
        <v>0</v>
      </c>
      <c r="W28">
        <v>0.9</v>
      </c>
      <c r="X28">
        <v>1</v>
      </c>
      <c r="Y28">
        <f t="shared" si="16"/>
        <v>25.741129539100392</v>
      </c>
      <c r="Z28">
        <v>2.75</v>
      </c>
      <c r="AA28">
        <f t="shared" si="17"/>
        <v>1</v>
      </c>
      <c r="AB28">
        <f t="shared" si="18"/>
        <v>1</v>
      </c>
      <c r="AC28">
        <f t="shared" si="19"/>
        <v>-1.72539</v>
      </c>
      <c r="AD28">
        <f t="shared" si="20"/>
        <v>0.4650775318596384</v>
      </c>
      <c r="AE28">
        <f t="shared" si="21"/>
        <v>0.44442999999999994</v>
      </c>
      <c r="AF28">
        <f t="shared" si="22"/>
        <v>-0.32196000000000002</v>
      </c>
      <c r="AG28">
        <f t="shared" si="23"/>
        <v>1.2818300000000002</v>
      </c>
      <c r="AH28">
        <f t="shared" si="24"/>
        <v>1.37853</v>
      </c>
      <c r="AI28">
        <f t="shared" si="25"/>
        <v>-1.5299999999999999E-3</v>
      </c>
      <c r="AJ28">
        <f t="shared" si="26"/>
        <v>0.12054000000000001</v>
      </c>
      <c r="AL28">
        <f t="shared" si="27"/>
        <v>-0.20018447074017054</v>
      </c>
      <c r="AM28">
        <f t="shared" si="28"/>
        <v>-0.22796000000000005</v>
      </c>
      <c r="AN28">
        <f t="shared" si="29"/>
        <v>0.29473000000000005</v>
      </c>
      <c r="AO28">
        <f t="shared" si="30"/>
        <v>1.75566</v>
      </c>
      <c r="AP28">
        <f t="shared" si="31"/>
        <v>-4.2399999999999998E-3</v>
      </c>
      <c r="AQ28">
        <f t="shared" si="32"/>
        <v>1.303E-2</v>
      </c>
      <c r="AR28">
        <f t="shared" si="33"/>
        <v>-0.23935000000000001</v>
      </c>
      <c r="AS28">
        <f t="shared" si="34"/>
        <v>1.24E-3</v>
      </c>
      <c r="AT28">
        <f t="shared" si="35"/>
        <v>0.86572000000000005</v>
      </c>
      <c r="AU28">
        <f t="shared" si="36"/>
        <v>-5.2999999999999992E-3</v>
      </c>
      <c r="AV28">
        <f t="shared" si="37"/>
        <v>3.9600000000000052E-3</v>
      </c>
      <c r="AW28">
        <f t="shared" si="38"/>
        <v>0.33077000000000001</v>
      </c>
      <c r="AX28">
        <f t="shared" si="39"/>
        <v>0.13281999999999999</v>
      </c>
      <c r="BJ28">
        <f t="shared" si="40"/>
        <v>1</v>
      </c>
      <c r="BK28">
        <f t="shared" si="41"/>
        <v>0</v>
      </c>
      <c r="BL28">
        <f t="shared" si="42"/>
        <v>1</v>
      </c>
      <c r="BM28">
        <f t="shared" si="43"/>
        <v>-5.203621691392836E-2</v>
      </c>
      <c r="BS28">
        <f t="shared" si="44"/>
        <v>0</v>
      </c>
      <c r="BT28">
        <f t="shared" si="45"/>
        <v>-5.203621691392836E-2</v>
      </c>
      <c r="BU28">
        <f t="shared" si="46"/>
        <v>6.6371180474282649</v>
      </c>
      <c r="BV28">
        <f t="shared" si="55"/>
        <v>100</v>
      </c>
      <c r="BW28">
        <f t="shared" si="47"/>
        <v>0.59948000000000001</v>
      </c>
      <c r="BX28">
        <v>0.3</v>
      </c>
    </row>
    <row r="29" spans="1:76" x14ac:dyDescent="0.25">
      <c r="A29">
        <v>6</v>
      </c>
      <c r="B29">
        <v>17</v>
      </c>
      <c r="C29" t="str">
        <f t="shared" si="48"/>
        <v>SSTens</v>
      </c>
      <c r="D29">
        <v>0.76200000000000001</v>
      </c>
      <c r="E29">
        <f t="shared" si="10"/>
        <v>762</v>
      </c>
      <c r="F29">
        <v>1.2699999999999999E-2</v>
      </c>
      <c r="G29">
        <f t="shared" si="11"/>
        <v>12.7</v>
      </c>
      <c r="H29">
        <f t="shared" si="12"/>
        <v>60</v>
      </c>
      <c r="I29">
        <v>30</v>
      </c>
      <c r="J29" t="s">
        <v>37</v>
      </c>
      <c r="K29">
        <f t="shared" si="49"/>
        <v>8</v>
      </c>
      <c r="L29">
        <f t="shared" si="50"/>
        <v>12</v>
      </c>
      <c r="M29">
        <f t="shared" si="51"/>
        <v>414000</v>
      </c>
      <c r="N29">
        <f t="shared" si="52"/>
        <v>517000</v>
      </c>
      <c r="O29">
        <f t="shared" si="53"/>
        <v>2.5466769467238102</v>
      </c>
      <c r="Q29" t="s">
        <v>42</v>
      </c>
      <c r="R29" t="s">
        <v>44</v>
      </c>
      <c r="S29">
        <f t="shared" si="54"/>
        <v>18.5</v>
      </c>
      <c r="T29">
        <f t="shared" si="13"/>
        <v>40</v>
      </c>
      <c r="U29">
        <f t="shared" si="14"/>
        <v>0</v>
      </c>
      <c r="V29">
        <f t="shared" si="15"/>
        <v>0</v>
      </c>
      <c r="W29">
        <v>0.9</v>
      </c>
      <c r="X29">
        <v>2</v>
      </c>
      <c r="Y29">
        <f t="shared" si="16"/>
        <v>64.352823847750969</v>
      </c>
      <c r="Z29">
        <v>3.5</v>
      </c>
      <c r="AA29">
        <f t="shared" si="17"/>
        <v>1</v>
      </c>
      <c r="AB29">
        <f t="shared" si="18"/>
        <v>1</v>
      </c>
      <c r="AC29">
        <f t="shared" si="19"/>
        <v>-0.31573000000000007</v>
      </c>
      <c r="AD29">
        <f t="shared" si="20"/>
        <v>0.17125986498424164</v>
      </c>
      <c r="AE29">
        <f t="shared" si="21"/>
        <v>-5.2000000000002045E-4</v>
      </c>
      <c r="AF29">
        <f t="shared" si="22"/>
        <v>6.8370000000000014E-2</v>
      </c>
      <c r="AG29">
        <f t="shared" si="23"/>
        <v>-0.11607999999999996</v>
      </c>
      <c r="AH29">
        <f t="shared" si="24"/>
        <v>-0.20377000000000001</v>
      </c>
      <c r="AI29">
        <f t="shared" si="25"/>
        <v>-1.3699999999999999E-3</v>
      </c>
      <c r="AJ29">
        <f t="shared" si="26"/>
        <v>3.637E-2</v>
      </c>
      <c r="AL29">
        <f t="shared" si="27"/>
        <v>-0.15740672456772828</v>
      </c>
      <c r="AM29">
        <f t="shared" si="28"/>
        <v>0.77106999999999992</v>
      </c>
      <c r="AN29">
        <f t="shared" si="29"/>
        <v>0.18723000000000001</v>
      </c>
      <c r="AO29">
        <f t="shared" si="30"/>
        <v>2.4286500000000002</v>
      </c>
      <c r="AP29">
        <f t="shared" si="31"/>
        <v>-1.0700000000000002E-3</v>
      </c>
      <c r="AQ29">
        <f t="shared" si="32"/>
        <v>3.7059999999999996E-2</v>
      </c>
      <c r="AR29">
        <f t="shared" si="33"/>
        <v>-0.52332000000000001</v>
      </c>
      <c r="AS29">
        <f t="shared" si="34"/>
        <v>3.5999999999999997E-4</v>
      </c>
      <c r="AT29">
        <f t="shared" si="35"/>
        <v>0.6061700000000001</v>
      </c>
      <c r="AU29">
        <f t="shared" si="36"/>
        <v>-1.1059999999999997E-2</v>
      </c>
      <c r="AV29">
        <f t="shared" si="37"/>
        <v>0.13457</v>
      </c>
      <c r="AW29">
        <f t="shared" si="38"/>
        <v>4.5679999999999998E-2</v>
      </c>
      <c r="AX29">
        <f t="shared" si="39"/>
        <v>3.9489999999999997E-2</v>
      </c>
      <c r="BJ29">
        <f t="shared" si="40"/>
        <v>1</v>
      </c>
      <c r="BK29">
        <f t="shared" si="41"/>
        <v>0</v>
      </c>
      <c r="BL29">
        <f t="shared" si="42"/>
        <v>1</v>
      </c>
      <c r="BM29">
        <f t="shared" si="43"/>
        <v>-2.6655451685221454</v>
      </c>
      <c r="BS29">
        <f t="shared" si="44"/>
        <v>0</v>
      </c>
      <c r="BT29">
        <f t="shared" si="45"/>
        <v>-2.6655451685221454</v>
      </c>
      <c r="BU29">
        <f t="shared" si="46"/>
        <v>7.892606588335858</v>
      </c>
      <c r="BV29">
        <f t="shared" si="55"/>
        <v>100</v>
      </c>
      <c r="BW29">
        <f t="shared" si="47"/>
        <v>0.45491000000000004</v>
      </c>
      <c r="BX29">
        <v>0.3</v>
      </c>
    </row>
    <row r="30" spans="1:76" x14ac:dyDescent="0.25">
      <c r="A30">
        <v>7</v>
      </c>
      <c r="B30">
        <v>11</v>
      </c>
      <c r="C30" t="str">
        <f t="shared" si="48"/>
        <v>SSTens</v>
      </c>
      <c r="D30">
        <v>0.86360000000000003</v>
      </c>
      <c r="E30">
        <f t="shared" si="10"/>
        <v>863.6</v>
      </c>
      <c r="F30">
        <v>1.1130000000000001E-2</v>
      </c>
      <c r="G30">
        <f t="shared" si="11"/>
        <v>11.13</v>
      </c>
      <c r="H30">
        <f t="shared" si="12"/>
        <v>77.592093441150041</v>
      </c>
      <c r="I30">
        <v>50</v>
      </c>
      <c r="J30" t="s">
        <v>39</v>
      </c>
      <c r="K30">
        <f t="shared" si="49"/>
        <v>14</v>
      </c>
      <c r="L30">
        <f t="shared" si="50"/>
        <v>15</v>
      </c>
      <c r="M30">
        <f t="shared" si="51"/>
        <v>483000</v>
      </c>
      <c r="N30">
        <f t="shared" si="52"/>
        <v>565000</v>
      </c>
      <c r="O30">
        <f t="shared" si="53"/>
        <v>2.8799444073326219</v>
      </c>
      <c r="Q30" t="s">
        <v>42</v>
      </c>
      <c r="R30" t="s">
        <v>44</v>
      </c>
      <c r="S30">
        <f t="shared" si="54"/>
        <v>18.5</v>
      </c>
      <c r="T30">
        <f t="shared" si="13"/>
        <v>40</v>
      </c>
      <c r="U30">
        <f t="shared" si="14"/>
        <v>0</v>
      </c>
      <c r="V30">
        <f t="shared" si="15"/>
        <v>0</v>
      </c>
      <c r="W30">
        <v>0.9</v>
      </c>
      <c r="X30">
        <v>1</v>
      </c>
      <c r="Y30">
        <f t="shared" si="16"/>
        <v>36.46660018039222</v>
      </c>
      <c r="Z30">
        <v>1.5</v>
      </c>
      <c r="AA30">
        <f t="shared" si="17"/>
        <v>1</v>
      </c>
      <c r="AB30">
        <f t="shared" si="18"/>
        <v>1</v>
      </c>
      <c r="AC30">
        <f t="shared" si="19"/>
        <v>8.3899999999998975E-3</v>
      </c>
      <c r="AD30">
        <f t="shared" si="20"/>
        <v>0.1204705059512481</v>
      </c>
      <c r="AE30">
        <f t="shared" si="21"/>
        <v>-8.1340000000000023E-2</v>
      </c>
      <c r="AF30">
        <f t="shared" si="22"/>
        <v>8.6430000000000007E-2</v>
      </c>
      <c r="AG30">
        <f t="shared" si="23"/>
        <v>-0.247</v>
      </c>
      <c r="AH30">
        <f t="shared" si="24"/>
        <v>-0.34992999999999996</v>
      </c>
      <c r="AI30">
        <f t="shared" si="25"/>
        <v>-1.31E-3</v>
      </c>
      <c r="AJ30">
        <f t="shared" si="26"/>
        <v>2.2690000000000002E-2</v>
      </c>
      <c r="AL30">
        <f t="shared" si="27"/>
        <v>-0.18238374480097994</v>
      </c>
      <c r="AM30">
        <f t="shared" si="28"/>
        <v>0.90150999999999992</v>
      </c>
      <c r="AN30">
        <f t="shared" si="29"/>
        <v>0.17505000000000001</v>
      </c>
      <c r="AO30">
        <f t="shared" si="30"/>
        <v>2.5967099999999999</v>
      </c>
      <c r="AP30">
        <f t="shared" si="31"/>
        <v>-4.6999999999999993E-4</v>
      </c>
      <c r="AQ30">
        <f t="shared" si="32"/>
        <v>4.3899999999999995E-2</v>
      </c>
      <c r="AR30">
        <f t="shared" si="33"/>
        <v>-0.60948000000000002</v>
      </c>
      <c r="AS30">
        <f t="shared" si="34"/>
        <v>2.3999999999999998E-4</v>
      </c>
      <c r="AT30">
        <f t="shared" si="35"/>
        <v>0.52661000000000002</v>
      </c>
      <c r="AU30">
        <f t="shared" si="36"/>
        <v>-1.4719999999999997E-2</v>
      </c>
      <c r="AV30">
        <f t="shared" si="37"/>
        <v>0.17824999999999999</v>
      </c>
      <c r="AW30">
        <f t="shared" si="38"/>
        <v>-4.3119999999999992E-2</v>
      </c>
      <c r="AX30">
        <f t="shared" si="39"/>
        <v>2.3169999999999996E-2</v>
      </c>
      <c r="BJ30">
        <f t="shared" si="40"/>
        <v>1</v>
      </c>
      <c r="BK30">
        <f t="shared" si="41"/>
        <v>0</v>
      </c>
      <c r="BL30">
        <f t="shared" si="42"/>
        <v>0</v>
      </c>
      <c r="BM30">
        <f t="shared" si="43"/>
        <v>-3.333144613964116E-2</v>
      </c>
      <c r="BS30">
        <f t="shared" si="44"/>
        <v>0</v>
      </c>
      <c r="BT30">
        <f t="shared" si="45"/>
        <v>-3.333144613964116E-2</v>
      </c>
      <c r="BU30">
        <f t="shared" si="46"/>
        <v>10.982439666923916</v>
      </c>
      <c r="BV30">
        <f t="shared" si="55"/>
        <v>100</v>
      </c>
      <c r="BW30">
        <f t="shared" si="47"/>
        <v>0.43679000000000001</v>
      </c>
      <c r="BX30">
        <v>0.3</v>
      </c>
    </row>
    <row r="31" spans="1:76" x14ac:dyDescent="0.25">
      <c r="A31">
        <v>8</v>
      </c>
      <c r="B31">
        <v>47</v>
      </c>
      <c r="C31" t="str">
        <f t="shared" si="48"/>
        <v>SSTens</v>
      </c>
      <c r="D31">
        <v>1.0668</v>
      </c>
      <c r="E31">
        <f t="shared" si="10"/>
        <v>1066.8</v>
      </c>
      <c r="F31">
        <v>1.2699999999999999E-2</v>
      </c>
      <c r="G31">
        <f t="shared" si="11"/>
        <v>12.7</v>
      </c>
      <c r="H31">
        <f t="shared" si="12"/>
        <v>84</v>
      </c>
      <c r="I31">
        <v>100</v>
      </c>
      <c r="J31" t="s">
        <v>41</v>
      </c>
      <c r="K31">
        <f t="shared" si="49"/>
        <v>15</v>
      </c>
      <c r="L31">
        <f t="shared" si="50"/>
        <v>20</v>
      </c>
      <c r="M31">
        <f t="shared" si="51"/>
        <v>552000</v>
      </c>
      <c r="N31">
        <f t="shared" si="52"/>
        <v>625000</v>
      </c>
      <c r="O31">
        <f t="shared" si="53"/>
        <v>2.9888368774026359</v>
      </c>
      <c r="Q31" t="s">
        <v>42</v>
      </c>
      <c r="R31" t="s">
        <v>45</v>
      </c>
      <c r="S31">
        <f t="shared" si="54"/>
        <v>19</v>
      </c>
      <c r="T31">
        <f t="shared" si="13"/>
        <v>43</v>
      </c>
      <c r="U31">
        <f t="shared" si="14"/>
        <v>0</v>
      </c>
      <c r="V31">
        <f t="shared" si="15"/>
        <v>0</v>
      </c>
      <c r="W31">
        <v>0.9</v>
      </c>
      <c r="X31">
        <v>2</v>
      </c>
      <c r="Y31">
        <f t="shared" si="16"/>
        <v>102.03070645435936</v>
      </c>
      <c r="Z31">
        <v>1.5</v>
      </c>
      <c r="AA31">
        <f t="shared" si="17"/>
        <v>0</v>
      </c>
      <c r="AB31">
        <f t="shared" si="18"/>
        <v>1</v>
      </c>
      <c r="AC31">
        <f t="shared" si="19"/>
        <v>-1.81359</v>
      </c>
      <c r="AD31">
        <f t="shared" si="20"/>
        <v>0.35620502968535167</v>
      </c>
      <c r="AE31">
        <f t="shared" si="21"/>
        <v>0.38634999999999997</v>
      </c>
      <c r="AF31">
        <f t="shared" si="22"/>
        <v>-5.9760000000000035E-2</v>
      </c>
      <c r="AG31">
        <f t="shared" si="23"/>
        <v>0.60755000000000026</v>
      </c>
      <c r="AH31">
        <f t="shared" si="24"/>
        <v>0.60693000000000019</v>
      </c>
      <c r="AI31">
        <f t="shared" si="25"/>
        <v>-1.5299999999999999E-3</v>
      </c>
      <c r="AJ31">
        <f t="shared" si="26"/>
        <v>0.10326000000000002</v>
      </c>
      <c r="AL31">
        <f t="shared" si="27"/>
        <v>0.35562079861429208</v>
      </c>
      <c r="AM31">
        <f t="shared" si="28"/>
        <v>0.10647999999999991</v>
      </c>
      <c r="AN31">
        <f t="shared" si="29"/>
        <v>0.25141000000000002</v>
      </c>
      <c r="AO31">
        <f t="shared" si="30"/>
        <v>1.66038</v>
      </c>
      <c r="AP31">
        <f t="shared" si="31"/>
        <v>-4.0000000000000001E-3</v>
      </c>
      <c r="AQ31">
        <f t="shared" si="32"/>
        <v>6.1900000000000011E-3</v>
      </c>
      <c r="AR31">
        <f t="shared" si="33"/>
        <v>-0.13807000000000003</v>
      </c>
      <c r="AS31">
        <f t="shared" si="34"/>
        <v>1E-3</v>
      </c>
      <c r="AT31">
        <f t="shared" si="35"/>
        <v>0.96160000000000001</v>
      </c>
      <c r="AU31">
        <f t="shared" si="36"/>
        <v>4.4200000000000003E-3</v>
      </c>
      <c r="AV31">
        <f t="shared" si="37"/>
        <v>-5.8679999999999982E-2</v>
      </c>
      <c r="AW31">
        <f t="shared" si="38"/>
        <v>0.44164999999999999</v>
      </c>
      <c r="AX31">
        <f t="shared" si="39"/>
        <v>0.11818000000000001</v>
      </c>
      <c r="BJ31">
        <f t="shared" si="40"/>
        <v>1</v>
      </c>
      <c r="BK31">
        <f t="shared" si="41"/>
        <v>0</v>
      </c>
      <c r="BL31">
        <f t="shared" si="42"/>
        <v>0</v>
      </c>
      <c r="BM31">
        <f t="shared" si="43"/>
        <v>0.57546342746125556</v>
      </c>
      <c r="BS31">
        <f t="shared" si="44"/>
        <v>0</v>
      </c>
      <c r="BT31">
        <f t="shared" si="45"/>
        <v>0.57546342746125556</v>
      </c>
      <c r="BU31">
        <f t="shared" si="46"/>
        <v>8.9288273599652541</v>
      </c>
      <c r="BV31">
        <f t="shared" si="55"/>
        <v>100</v>
      </c>
      <c r="BW31">
        <f t="shared" si="47"/>
        <v>0.54811999999999994</v>
      </c>
      <c r="BX31">
        <v>0.3</v>
      </c>
    </row>
    <row r="32" spans="1:76" x14ac:dyDescent="0.25">
      <c r="A32">
        <v>9</v>
      </c>
      <c r="B32">
        <v>30</v>
      </c>
      <c r="C32" t="str">
        <f t="shared" si="48"/>
        <v>SSTens</v>
      </c>
      <c r="D32">
        <v>0.60960000000000003</v>
      </c>
      <c r="E32">
        <f t="shared" si="10"/>
        <v>609.6</v>
      </c>
      <c r="F32">
        <v>1.1130000000000001E-2</v>
      </c>
      <c r="G32">
        <f t="shared" si="11"/>
        <v>11.13</v>
      </c>
      <c r="H32">
        <f t="shared" si="12"/>
        <v>54.770889487870619</v>
      </c>
      <c r="I32">
        <v>150</v>
      </c>
      <c r="J32" t="s">
        <v>64</v>
      </c>
      <c r="K32">
        <f t="shared" si="49"/>
        <v>3</v>
      </c>
      <c r="L32">
        <f t="shared" si="50"/>
        <v>9</v>
      </c>
      <c r="M32">
        <f t="shared" si="51"/>
        <v>290000</v>
      </c>
      <c r="N32">
        <f t="shared" si="52"/>
        <v>414000</v>
      </c>
      <c r="O32">
        <f t="shared" si="53"/>
        <v>1.7363704307629526</v>
      </c>
      <c r="Q32" t="s">
        <v>42</v>
      </c>
      <c r="R32" t="s">
        <v>45</v>
      </c>
      <c r="S32">
        <f t="shared" si="54"/>
        <v>19</v>
      </c>
      <c r="T32">
        <f t="shared" si="13"/>
        <v>43</v>
      </c>
      <c r="U32">
        <f t="shared" si="14"/>
        <v>0</v>
      </c>
      <c r="V32">
        <f t="shared" si="15"/>
        <v>0</v>
      </c>
      <c r="W32">
        <v>0.9</v>
      </c>
      <c r="X32">
        <v>1</v>
      </c>
      <c r="Y32">
        <f t="shared" si="16"/>
        <v>29.151630415531248</v>
      </c>
      <c r="Z32">
        <v>1.5</v>
      </c>
      <c r="AA32">
        <f t="shared" si="17"/>
        <v>1</v>
      </c>
      <c r="AB32">
        <f t="shared" si="18"/>
        <v>1</v>
      </c>
      <c r="AC32">
        <f t="shared" si="19"/>
        <v>-1.01799</v>
      </c>
      <c r="AD32">
        <f t="shared" si="20"/>
        <v>0.38193464176756858</v>
      </c>
      <c r="AE32">
        <f t="shared" si="21"/>
        <v>0.17459</v>
      </c>
      <c r="AF32">
        <f t="shared" si="22"/>
        <v>2.9240000000000002E-2</v>
      </c>
      <c r="AG32">
        <f t="shared" si="23"/>
        <v>0.16758000000000001</v>
      </c>
      <c r="AH32">
        <f t="shared" si="24"/>
        <v>0.11291000000000001</v>
      </c>
      <c r="AI32">
        <f t="shared" si="25"/>
        <v>-1.5E-3</v>
      </c>
      <c r="AJ32">
        <f t="shared" si="26"/>
        <v>6.6009999999999985E-2</v>
      </c>
      <c r="AL32">
        <f t="shared" si="27"/>
        <v>6.7567196067336521E-2</v>
      </c>
      <c r="AM32">
        <f t="shared" si="28"/>
        <v>0.48845</v>
      </c>
      <c r="AN32">
        <f t="shared" si="29"/>
        <v>0.21362</v>
      </c>
      <c r="AO32">
        <f t="shared" si="30"/>
        <v>2.0645199999999999</v>
      </c>
      <c r="AP32">
        <f t="shared" si="31"/>
        <v>-2.3700000000000001E-3</v>
      </c>
      <c r="AQ32">
        <f t="shared" si="32"/>
        <v>2.2239999999999999E-2</v>
      </c>
      <c r="AR32">
        <f t="shared" si="33"/>
        <v>-0.33663999999999999</v>
      </c>
      <c r="AS32">
        <f t="shared" si="34"/>
        <v>6.2E-4</v>
      </c>
      <c r="AT32">
        <f t="shared" si="35"/>
        <v>0.77855000000000008</v>
      </c>
      <c r="AU32">
        <f t="shared" si="36"/>
        <v>-3.13E-3</v>
      </c>
      <c r="AV32">
        <f t="shared" si="37"/>
        <v>3.9930000000000007E-2</v>
      </c>
      <c r="AW32">
        <f t="shared" si="38"/>
        <v>0.23807999999999999</v>
      </c>
      <c r="AX32">
        <f t="shared" si="39"/>
        <v>7.485E-2</v>
      </c>
      <c r="BJ32">
        <f t="shared" si="40"/>
        <v>1</v>
      </c>
      <c r="BK32">
        <f t="shared" si="41"/>
        <v>0</v>
      </c>
      <c r="BL32">
        <f t="shared" si="42"/>
        <v>0</v>
      </c>
      <c r="BM32">
        <f t="shared" si="43"/>
        <v>0.27625200359756724</v>
      </c>
      <c r="BS32">
        <f t="shared" si="44"/>
        <v>0</v>
      </c>
      <c r="BT32">
        <f t="shared" si="45"/>
        <v>0.27625200359756724</v>
      </c>
      <c r="BU32">
        <f t="shared" si="46"/>
        <v>8.3995658523274574</v>
      </c>
      <c r="BV32">
        <f t="shared" si="55"/>
        <v>100</v>
      </c>
      <c r="BW32">
        <f t="shared" si="47"/>
        <v>0.49417</v>
      </c>
      <c r="BX32">
        <v>0.3</v>
      </c>
    </row>
    <row r="33" spans="1:76" x14ac:dyDescent="0.25">
      <c r="A33">
        <v>10</v>
      </c>
      <c r="B33">
        <v>35</v>
      </c>
      <c r="C33" t="str">
        <f t="shared" si="48"/>
        <v>SSTens</v>
      </c>
      <c r="D33">
        <v>0.60960000000000003</v>
      </c>
      <c r="E33">
        <f t="shared" si="10"/>
        <v>609.6</v>
      </c>
      <c r="F33">
        <v>1.1130000000000001E-2</v>
      </c>
      <c r="G33">
        <f t="shared" si="11"/>
        <v>11.13</v>
      </c>
      <c r="H33">
        <f t="shared" si="12"/>
        <v>54.770889487870619</v>
      </c>
      <c r="I33">
        <v>200</v>
      </c>
      <c r="J33" t="s">
        <v>65</v>
      </c>
      <c r="K33">
        <f t="shared" si="49"/>
        <v>3</v>
      </c>
      <c r="L33">
        <f t="shared" si="50"/>
        <v>8</v>
      </c>
      <c r="M33">
        <f t="shared" si="51"/>
        <v>241000</v>
      </c>
      <c r="N33">
        <f t="shared" si="52"/>
        <v>344000</v>
      </c>
      <c r="O33">
        <f t="shared" si="53"/>
        <v>1.1599577949833839</v>
      </c>
      <c r="Q33" t="s">
        <v>42</v>
      </c>
      <c r="R33" t="s">
        <v>45</v>
      </c>
      <c r="S33">
        <f t="shared" si="54"/>
        <v>19</v>
      </c>
      <c r="T33">
        <f t="shared" si="13"/>
        <v>43</v>
      </c>
      <c r="U33">
        <f t="shared" si="14"/>
        <v>0</v>
      </c>
      <c r="V33">
        <f t="shared" si="15"/>
        <v>0</v>
      </c>
      <c r="W33">
        <v>0.9</v>
      </c>
      <c r="X33">
        <v>2</v>
      </c>
      <c r="Y33">
        <f t="shared" si="16"/>
        <v>58.303260831062495</v>
      </c>
      <c r="Z33">
        <v>2.75</v>
      </c>
      <c r="AA33">
        <f t="shared" si="17"/>
        <v>1</v>
      </c>
      <c r="AB33">
        <f t="shared" si="18"/>
        <v>1</v>
      </c>
      <c r="AC33">
        <f t="shared" si="19"/>
        <v>-1.28809</v>
      </c>
      <c r="AD33">
        <f t="shared" si="20"/>
        <v>0.42196824472511718</v>
      </c>
      <c r="AE33">
        <f t="shared" si="21"/>
        <v>0.24193999999999999</v>
      </c>
      <c r="AF33">
        <f t="shared" si="22"/>
        <v>1.4190000000000001E-2</v>
      </c>
      <c r="AG33">
        <f t="shared" si="23"/>
        <v>0.27667999999999998</v>
      </c>
      <c r="AH33">
        <f t="shared" si="24"/>
        <v>0.23471000000000003</v>
      </c>
      <c r="AI33">
        <f t="shared" si="25"/>
        <v>-1.5499999999999999E-3</v>
      </c>
      <c r="AJ33">
        <f t="shared" si="26"/>
        <v>7.7409999999999993E-2</v>
      </c>
      <c r="AL33">
        <f t="shared" si="27"/>
        <v>5.6398079686577951E-2</v>
      </c>
      <c r="AM33">
        <f t="shared" si="28"/>
        <v>0.37974999999999998</v>
      </c>
      <c r="AN33">
        <f t="shared" si="29"/>
        <v>0.22377</v>
      </c>
      <c r="AO33">
        <f t="shared" si="30"/>
        <v>1.9244700000000001</v>
      </c>
      <c r="AP33">
        <f t="shared" si="31"/>
        <v>-2.8700000000000002E-3</v>
      </c>
      <c r="AQ33">
        <f t="shared" si="32"/>
        <v>1.6539999999999999E-2</v>
      </c>
      <c r="AR33">
        <f t="shared" si="33"/>
        <v>-0.26484000000000002</v>
      </c>
      <c r="AS33">
        <f t="shared" si="34"/>
        <v>7.2000000000000005E-4</v>
      </c>
      <c r="AT33">
        <f t="shared" si="35"/>
        <v>0.8448500000000001</v>
      </c>
      <c r="AU33">
        <f t="shared" si="36"/>
        <v>-7.9999999999999342E-5</v>
      </c>
      <c r="AV33">
        <f t="shared" si="37"/>
        <v>3.5300000000000054E-3</v>
      </c>
      <c r="AW33">
        <f t="shared" si="38"/>
        <v>0.31207999999999997</v>
      </c>
      <c r="AX33">
        <f t="shared" si="39"/>
        <v>8.8450000000000001E-2</v>
      </c>
      <c r="BJ33">
        <f t="shared" si="40"/>
        <v>1</v>
      </c>
      <c r="BK33">
        <f t="shared" si="41"/>
        <v>0</v>
      </c>
      <c r="BL33">
        <f t="shared" si="42"/>
        <v>0</v>
      </c>
      <c r="BM33">
        <f t="shared" si="43"/>
        <v>0.32512453126164914</v>
      </c>
      <c r="BS33">
        <f t="shared" si="44"/>
        <v>0</v>
      </c>
      <c r="BT33">
        <f t="shared" si="45"/>
        <v>0.32512453126164914</v>
      </c>
      <c r="BU33">
        <f t="shared" si="46"/>
        <v>9.4103336233310273</v>
      </c>
      <c r="BV33">
        <f t="shared" si="55"/>
        <v>100</v>
      </c>
      <c r="BW33">
        <f t="shared" si="47"/>
        <v>0.50927</v>
      </c>
      <c r="BX33">
        <v>0.3</v>
      </c>
    </row>
    <row r="34" spans="1:76" x14ac:dyDescent="0.25">
      <c r="A34">
        <v>11</v>
      </c>
      <c r="B34">
        <v>41</v>
      </c>
      <c r="C34" t="str">
        <f t="shared" si="48"/>
        <v>SSTens</v>
      </c>
      <c r="D34">
        <v>0.20319999999999999</v>
      </c>
      <c r="E34">
        <f t="shared" si="10"/>
        <v>203.2</v>
      </c>
      <c r="F34">
        <v>5.5599999999999998E-3</v>
      </c>
      <c r="G34">
        <f t="shared" si="11"/>
        <v>5.56</v>
      </c>
      <c r="H34">
        <f t="shared" si="12"/>
        <v>36.546762589928058</v>
      </c>
      <c r="I34">
        <v>15</v>
      </c>
      <c r="J34" t="s">
        <v>34</v>
      </c>
      <c r="K34">
        <f t="shared" si="49"/>
        <v>8</v>
      </c>
      <c r="L34">
        <f t="shared" si="50"/>
        <v>10</v>
      </c>
      <c r="M34">
        <f t="shared" si="51"/>
        <v>359000</v>
      </c>
      <c r="N34">
        <f t="shared" si="52"/>
        <v>455000</v>
      </c>
      <c r="O34">
        <f t="shared" si="53"/>
        <v>1.9969902892117808</v>
      </c>
      <c r="Q34" t="s">
        <v>35</v>
      </c>
      <c r="R34" t="s">
        <v>36</v>
      </c>
      <c r="S34">
        <f t="shared" si="54"/>
        <v>17.5</v>
      </c>
      <c r="T34">
        <f t="shared" si="13"/>
        <v>0</v>
      </c>
      <c r="U34">
        <f t="shared" si="14"/>
        <v>37.5</v>
      </c>
      <c r="V34">
        <f t="shared" si="15"/>
        <v>1.1000000000000001</v>
      </c>
      <c r="W34">
        <v>0.9</v>
      </c>
      <c r="X34">
        <v>0</v>
      </c>
      <c r="Y34">
        <f t="shared" si="16"/>
        <v>26.332829622389642</v>
      </c>
      <c r="Z34">
        <v>0.75</v>
      </c>
      <c r="AA34">
        <f t="shared" si="17"/>
        <v>1</v>
      </c>
      <c r="AB34">
        <f t="shared" si="18"/>
        <v>1</v>
      </c>
      <c r="AC34">
        <f t="shared" si="19"/>
        <v>-1.6122099999999999</v>
      </c>
      <c r="AD34">
        <f t="shared" si="20"/>
        <v>0.49927955795195023</v>
      </c>
      <c r="AE34">
        <f t="shared" si="21"/>
        <v>0.32275999999999999</v>
      </c>
      <c r="AF34">
        <f t="shared" si="22"/>
        <v>-3.8700000000000002E-3</v>
      </c>
      <c r="AG34">
        <f t="shared" si="23"/>
        <v>0.40759999999999996</v>
      </c>
      <c r="AH34">
        <f t="shared" si="24"/>
        <v>0.38087000000000004</v>
      </c>
      <c r="AI34">
        <f t="shared" si="25"/>
        <v>-1.6099999999999999E-3</v>
      </c>
      <c r="AJ34">
        <f t="shared" si="26"/>
        <v>9.108999999999999E-2</v>
      </c>
      <c r="AL34">
        <f t="shared" si="27"/>
        <v>-0.39283740862208216</v>
      </c>
      <c r="AM34">
        <f t="shared" si="28"/>
        <v>0.24930999999999998</v>
      </c>
      <c r="AN34">
        <f t="shared" si="29"/>
        <v>0.23595000000000002</v>
      </c>
      <c r="AO34">
        <f t="shared" si="30"/>
        <v>1.75641</v>
      </c>
      <c r="AP34">
        <f t="shared" si="31"/>
        <v>-3.47E-3</v>
      </c>
      <c r="AQ34">
        <f t="shared" si="32"/>
        <v>9.7000000000000003E-3</v>
      </c>
      <c r="AR34">
        <f t="shared" si="33"/>
        <v>-0.17868000000000001</v>
      </c>
      <c r="AS34">
        <f t="shared" si="34"/>
        <v>8.4000000000000003E-4</v>
      </c>
      <c r="AT34">
        <f t="shared" si="35"/>
        <v>0.92441000000000006</v>
      </c>
      <c r="AU34">
        <f t="shared" si="36"/>
        <v>3.5800000000000003E-3</v>
      </c>
      <c r="AV34">
        <f t="shared" si="37"/>
        <v>-4.0149999999999998E-2</v>
      </c>
      <c r="AW34">
        <f t="shared" si="38"/>
        <v>0.40088000000000001</v>
      </c>
      <c r="AX34">
        <f t="shared" si="39"/>
        <v>0.10477</v>
      </c>
      <c r="BJ34">
        <f t="shared" si="40"/>
        <v>0</v>
      </c>
      <c r="BK34">
        <f t="shared" si="41"/>
        <v>0</v>
      </c>
      <c r="BL34">
        <f t="shared" si="42"/>
        <v>1</v>
      </c>
      <c r="BM34">
        <f t="shared" si="43"/>
        <v>1.481293247657941</v>
      </c>
      <c r="BS34">
        <f t="shared" si="44"/>
        <v>0</v>
      </c>
      <c r="BT34">
        <f t="shared" si="45"/>
        <v>1.481293247657941</v>
      </c>
      <c r="BU34">
        <f t="shared" si="46"/>
        <v>1.2541638151501695</v>
      </c>
      <c r="BV34">
        <f t="shared" si="55"/>
        <v>3.5049063990458023</v>
      </c>
      <c r="BW34">
        <f t="shared" si="47"/>
        <v>0.52739000000000003</v>
      </c>
      <c r="BX34">
        <v>0.3</v>
      </c>
    </row>
    <row r="35" spans="1:76" x14ac:dyDescent="0.25">
      <c r="A35">
        <v>12</v>
      </c>
      <c r="B35">
        <v>6</v>
      </c>
      <c r="C35" t="str">
        <f t="shared" si="48"/>
        <v>SSTens</v>
      </c>
      <c r="D35">
        <v>0.30480000000000002</v>
      </c>
      <c r="E35">
        <f t="shared" si="10"/>
        <v>304.8</v>
      </c>
      <c r="F35">
        <v>7.1399999999999996E-3</v>
      </c>
      <c r="G35">
        <f t="shared" si="11"/>
        <v>7.14</v>
      </c>
      <c r="H35">
        <f t="shared" si="12"/>
        <v>42.689075630252105</v>
      </c>
      <c r="I35">
        <v>30</v>
      </c>
      <c r="J35" t="s">
        <v>37</v>
      </c>
      <c r="K35">
        <f t="shared" si="49"/>
        <v>8</v>
      </c>
      <c r="L35">
        <f t="shared" si="50"/>
        <v>12</v>
      </c>
      <c r="M35">
        <f t="shared" si="51"/>
        <v>414000</v>
      </c>
      <c r="N35">
        <f t="shared" si="52"/>
        <v>517000</v>
      </c>
      <c r="O35">
        <f t="shared" si="53"/>
        <v>2.5466769467238102</v>
      </c>
      <c r="Q35" t="s">
        <v>35</v>
      </c>
      <c r="R35" t="s">
        <v>36</v>
      </c>
      <c r="S35">
        <f t="shared" si="54"/>
        <v>17.5</v>
      </c>
      <c r="T35">
        <f t="shared" si="13"/>
        <v>0</v>
      </c>
      <c r="U35">
        <f t="shared" si="14"/>
        <v>37.5</v>
      </c>
      <c r="V35">
        <f t="shared" si="15"/>
        <v>1.1000000000000001</v>
      </c>
      <c r="W35">
        <v>0.9</v>
      </c>
      <c r="X35">
        <v>0</v>
      </c>
      <c r="Y35">
        <f t="shared" si="16"/>
        <v>39.499244433584465</v>
      </c>
      <c r="Z35">
        <v>0.75</v>
      </c>
      <c r="AA35">
        <f t="shared" si="17"/>
        <v>1</v>
      </c>
      <c r="AB35">
        <f t="shared" si="18"/>
        <v>1</v>
      </c>
      <c r="AC35">
        <f t="shared" si="19"/>
        <v>0.27849000000000013</v>
      </c>
      <c r="AD35">
        <f t="shared" si="20"/>
        <v>6.1265274996957969E-2</v>
      </c>
      <c r="AE35">
        <f t="shared" si="21"/>
        <v>-0.14868999999999999</v>
      </c>
      <c r="AF35">
        <f t="shared" si="22"/>
        <v>0.10148000000000001</v>
      </c>
      <c r="AG35">
        <f t="shared" si="23"/>
        <v>-0.35609999999999997</v>
      </c>
      <c r="AH35">
        <f t="shared" si="24"/>
        <v>-0.47172999999999998</v>
      </c>
      <c r="AI35">
        <f t="shared" si="25"/>
        <v>-1.2599999999999998E-3</v>
      </c>
      <c r="AJ35">
        <f t="shared" si="26"/>
        <v>1.1289999999999994E-2</v>
      </c>
      <c r="AL35">
        <f t="shared" si="27"/>
        <v>-0.16996391201545347</v>
      </c>
      <c r="AM35">
        <f t="shared" si="28"/>
        <v>1.0102099999999998</v>
      </c>
      <c r="AN35">
        <f t="shared" si="29"/>
        <v>0.16489999999999999</v>
      </c>
      <c r="AO35">
        <f t="shared" si="30"/>
        <v>2.7367600000000003</v>
      </c>
      <c r="AP35">
        <f t="shared" si="31"/>
        <v>3.0000000000000079E-5</v>
      </c>
      <c r="AQ35">
        <f t="shared" si="32"/>
        <v>4.9599999999999998E-2</v>
      </c>
      <c r="AR35">
        <f t="shared" si="33"/>
        <v>-0.68128</v>
      </c>
      <c r="AS35">
        <f t="shared" si="34"/>
        <v>1.3999999999999993E-4</v>
      </c>
      <c r="AT35">
        <f t="shared" si="35"/>
        <v>0.46031000000000011</v>
      </c>
      <c r="AU35">
        <f t="shared" si="36"/>
        <v>-1.7769999999999998E-2</v>
      </c>
      <c r="AV35">
        <f t="shared" si="37"/>
        <v>0.21465000000000001</v>
      </c>
      <c r="AW35">
        <f t="shared" si="38"/>
        <v>-0.11712000000000006</v>
      </c>
      <c r="AX35">
        <f t="shared" si="39"/>
        <v>9.5699999999999952E-3</v>
      </c>
      <c r="BJ35">
        <f t="shared" si="40"/>
        <v>0</v>
      </c>
      <c r="BK35">
        <f t="shared" si="41"/>
        <v>1</v>
      </c>
      <c r="BL35">
        <f t="shared" si="42"/>
        <v>1</v>
      </c>
      <c r="BM35">
        <f t="shared" si="43"/>
        <v>35.235000927267137</v>
      </c>
      <c r="BS35">
        <f t="shared" si="44"/>
        <v>35.235000927267137</v>
      </c>
      <c r="BT35">
        <f t="shared" si="45"/>
        <v>0</v>
      </c>
      <c r="BU35">
        <f t="shared" si="46"/>
        <v>-2.51856428360386</v>
      </c>
      <c r="BV35">
        <f t="shared" si="55"/>
        <v>8.0575206890821802E-2</v>
      </c>
      <c r="BW35">
        <f t="shared" si="47"/>
        <v>0.42169000000000001</v>
      </c>
      <c r="BX35">
        <v>0.3</v>
      </c>
    </row>
    <row r="36" spans="1:76" x14ac:dyDescent="0.25">
      <c r="A36">
        <v>13</v>
      </c>
      <c r="B36">
        <v>31</v>
      </c>
      <c r="C36" t="str">
        <f t="shared" si="48"/>
        <v>SSTens</v>
      </c>
      <c r="D36">
        <v>0.40639999999999998</v>
      </c>
      <c r="E36">
        <f t="shared" si="10"/>
        <v>406.4</v>
      </c>
      <c r="F36">
        <v>9.5299999999999985E-3</v>
      </c>
      <c r="G36">
        <f t="shared" si="11"/>
        <v>9.5299999999999994</v>
      </c>
      <c r="H36">
        <f t="shared" si="12"/>
        <v>42.644281217208821</v>
      </c>
      <c r="I36">
        <v>50</v>
      </c>
      <c r="J36" t="s">
        <v>39</v>
      </c>
      <c r="K36">
        <f t="shared" si="49"/>
        <v>14</v>
      </c>
      <c r="L36">
        <f t="shared" si="50"/>
        <v>15</v>
      </c>
      <c r="M36">
        <f t="shared" si="51"/>
        <v>483000</v>
      </c>
      <c r="N36">
        <f t="shared" si="52"/>
        <v>565000</v>
      </c>
      <c r="O36">
        <f t="shared" si="53"/>
        <v>2.8799444073326219</v>
      </c>
      <c r="Q36" t="s">
        <v>35</v>
      </c>
      <c r="R36" t="s">
        <v>36</v>
      </c>
      <c r="S36">
        <f t="shared" si="54"/>
        <v>17.5</v>
      </c>
      <c r="T36">
        <f t="shared" si="13"/>
        <v>0</v>
      </c>
      <c r="U36">
        <f t="shared" si="14"/>
        <v>37.5</v>
      </c>
      <c r="V36">
        <f t="shared" si="15"/>
        <v>1.1000000000000001</v>
      </c>
      <c r="W36">
        <v>0.9</v>
      </c>
      <c r="X36">
        <v>0</v>
      </c>
      <c r="Y36">
        <f t="shared" si="16"/>
        <v>52.665659244779285</v>
      </c>
      <c r="Z36">
        <v>0.75</v>
      </c>
      <c r="AA36">
        <f t="shared" si="17"/>
        <v>1</v>
      </c>
      <c r="AB36">
        <f t="shared" si="18"/>
        <v>1</v>
      </c>
      <c r="AC36">
        <f t="shared" si="19"/>
        <v>-1.0720100000000001</v>
      </c>
      <c r="AD36">
        <f t="shared" si="20"/>
        <v>0.37861949879439499</v>
      </c>
      <c r="AE36">
        <f t="shared" si="21"/>
        <v>0.18805999999999998</v>
      </c>
      <c r="AF36">
        <f t="shared" si="22"/>
        <v>2.6230000000000003E-2</v>
      </c>
      <c r="AG36">
        <f t="shared" si="23"/>
        <v>0.18940000000000001</v>
      </c>
      <c r="AH36">
        <f t="shared" si="24"/>
        <v>0.13727</v>
      </c>
      <c r="AI36">
        <f t="shared" si="25"/>
        <v>-1.5100000000000001E-3</v>
      </c>
      <c r="AJ36">
        <f t="shared" si="26"/>
        <v>6.828999999999999E-2</v>
      </c>
      <c r="AL36">
        <f t="shared" si="27"/>
        <v>6.4177768834329907E-2</v>
      </c>
      <c r="AM36">
        <f t="shared" si="28"/>
        <v>0.46670999999999996</v>
      </c>
      <c r="AN36">
        <f t="shared" si="29"/>
        <v>0.21565000000000001</v>
      </c>
      <c r="AO36">
        <f t="shared" si="30"/>
        <v>2.0365100000000003</v>
      </c>
      <c r="AP36">
        <f t="shared" si="31"/>
        <v>-2.47E-3</v>
      </c>
      <c r="AQ36">
        <f t="shared" si="32"/>
        <v>2.1099999999999997E-2</v>
      </c>
      <c r="AR36">
        <f t="shared" si="33"/>
        <v>-0.32228000000000001</v>
      </c>
      <c r="AS36">
        <f t="shared" si="34"/>
        <v>6.3999999999999994E-4</v>
      </c>
      <c r="AT36">
        <f t="shared" si="35"/>
        <v>0.79181000000000001</v>
      </c>
      <c r="AU36">
        <f t="shared" si="36"/>
        <v>-2.5199999999999988E-3</v>
      </c>
      <c r="AV36">
        <f t="shared" si="37"/>
        <v>3.2649999999999998E-2</v>
      </c>
      <c r="AW36">
        <f t="shared" si="38"/>
        <v>0.25287999999999999</v>
      </c>
      <c r="AX36">
        <f t="shared" si="39"/>
        <v>7.757E-2</v>
      </c>
      <c r="BJ36">
        <f t="shared" si="40"/>
        <v>0</v>
      </c>
      <c r="BK36">
        <f t="shared" si="41"/>
        <v>1</v>
      </c>
      <c r="BL36">
        <f t="shared" si="42"/>
        <v>0</v>
      </c>
      <c r="BM36">
        <f t="shared" si="43"/>
        <v>34.875583720662959</v>
      </c>
      <c r="BS36">
        <f t="shared" si="44"/>
        <v>34.875583720662959</v>
      </c>
      <c r="BT36">
        <f t="shared" si="45"/>
        <v>0</v>
      </c>
      <c r="BU36">
        <f t="shared" si="46"/>
        <v>-10.995295938748249</v>
      </c>
      <c r="BV36">
        <f t="shared" si="55"/>
        <v>1.6780451693088814E-5</v>
      </c>
      <c r="BW36">
        <f t="shared" si="47"/>
        <v>0.49719000000000002</v>
      </c>
      <c r="BX36">
        <v>0.3</v>
      </c>
    </row>
    <row r="37" spans="1:76" x14ac:dyDescent="0.25">
      <c r="A37">
        <v>14</v>
      </c>
      <c r="B37">
        <v>7</v>
      </c>
      <c r="C37" t="str">
        <f t="shared" si="48"/>
        <v>SSTens</v>
      </c>
      <c r="D37">
        <v>0.50800000000000001</v>
      </c>
      <c r="E37">
        <f t="shared" si="10"/>
        <v>508</v>
      </c>
      <c r="F37">
        <v>1.1130000000000001E-2</v>
      </c>
      <c r="G37">
        <f t="shared" si="11"/>
        <v>11.13</v>
      </c>
      <c r="H37">
        <f t="shared" si="12"/>
        <v>45.642407906558844</v>
      </c>
      <c r="I37">
        <v>100</v>
      </c>
      <c r="J37" t="s">
        <v>41</v>
      </c>
      <c r="K37">
        <f t="shared" si="49"/>
        <v>15</v>
      </c>
      <c r="L37">
        <f t="shared" si="50"/>
        <v>20</v>
      </c>
      <c r="M37">
        <f t="shared" si="51"/>
        <v>552000</v>
      </c>
      <c r="N37">
        <f t="shared" si="52"/>
        <v>625000</v>
      </c>
      <c r="O37">
        <f t="shared" si="53"/>
        <v>2.9888368774026359</v>
      </c>
      <c r="Q37" t="s">
        <v>35</v>
      </c>
      <c r="R37" t="s">
        <v>36</v>
      </c>
      <c r="S37">
        <f t="shared" si="54"/>
        <v>17.5</v>
      </c>
      <c r="T37">
        <f t="shared" si="13"/>
        <v>0</v>
      </c>
      <c r="U37">
        <f t="shared" si="14"/>
        <v>37.5</v>
      </c>
      <c r="V37">
        <f t="shared" si="15"/>
        <v>1.1000000000000001</v>
      </c>
      <c r="W37">
        <v>0.9</v>
      </c>
      <c r="X37">
        <v>0</v>
      </c>
      <c r="Y37">
        <f t="shared" si="16"/>
        <v>65.832074055974104</v>
      </c>
      <c r="Z37">
        <v>0.75</v>
      </c>
      <c r="AA37">
        <f t="shared" si="17"/>
        <v>1</v>
      </c>
      <c r="AB37">
        <f t="shared" si="18"/>
        <v>1</v>
      </c>
      <c r="AC37">
        <f t="shared" si="19"/>
        <v>0.22447000000000017</v>
      </c>
      <c r="AD37">
        <f t="shared" si="20"/>
        <v>0.18822525017291764</v>
      </c>
      <c r="AE37">
        <f t="shared" si="21"/>
        <v>-0.13522000000000001</v>
      </c>
      <c r="AF37">
        <f t="shared" si="22"/>
        <v>9.8470000000000002E-2</v>
      </c>
      <c r="AG37">
        <f t="shared" si="23"/>
        <v>-0.33428000000000002</v>
      </c>
      <c r="AH37">
        <f t="shared" si="24"/>
        <v>-0.44736999999999993</v>
      </c>
      <c r="AI37">
        <f t="shared" si="25"/>
        <v>-1.2699999999999999E-3</v>
      </c>
      <c r="AJ37">
        <f t="shared" si="26"/>
        <v>1.3569999999999999E-2</v>
      </c>
      <c r="AL37">
        <f t="shared" si="27"/>
        <v>-0.19215623985827801</v>
      </c>
      <c r="AM37">
        <f t="shared" si="28"/>
        <v>0.98846999999999996</v>
      </c>
      <c r="AN37">
        <f t="shared" si="29"/>
        <v>0.16693000000000002</v>
      </c>
      <c r="AO37">
        <f t="shared" si="30"/>
        <v>2.7087500000000002</v>
      </c>
      <c r="AP37">
        <f t="shared" si="31"/>
        <v>-7.0000000000000184E-5</v>
      </c>
      <c r="AQ37">
        <f t="shared" si="32"/>
        <v>4.8459999999999996E-2</v>
      </c>
      <c r="AR37">
        <f t="shared" si="33"/>
        <v>-0.66691999999999996</v>
      </c>
      <c r="AS37">
        <f t="shared" si="34"/>
        <v>1.5999999999999999E-4</v>
      </c>
      <c r="AT37">
        <f t="shared" si="35"/>
        <v>0.47357000000000005</v>
      </c>
      <c r="AU37">
        <f t="shared" si="36"/>
        <v>-1.7159999999999998E-2</v>
      </c>
      <c r="AV37">
        <f t="shared" si="37"/>
        <v>0.20737</v>
      </c>
      <c r="AW37">
        <f t="shared" si="38"/>
        <v>-0.10232000000000002</v>
      </c>
      <c r="AX37">
        <f t="shared" si="39"/>
        <v>1.2289999999999995E-2</v>
      </c>
      <c r="BJ37">
        <f t="shared" si="40"/>
        <v>0</v>
      </c>
      <c r="BK37">
        <f t="shared" si="41"/>
        <v>1</v>
      </c>
      <c r="BL37">
        <f t="shared" si="42"/>
        <v>0</v>
      </c>
      <c r="BM37">
        <f t="shared" si="43"/>
        <v>24.805187421061582</v>
      </c>
      <c r="BS37">
        <f t="shared" si="44"/>
        <v>24.805187421061582</v>
      </c>
      <c r="BT37">
        <f t="shared" si="45"/>
        <v>0</v>
      </c>
      <c r="BU37">
        <f t="shared" si="46"/>
        <v>-0.74325381350195208</v>
      </c>
      <c r="BV37">
        <f t="shared" si="55"/>
        <v>0.47556399875824051</v>
      </c>
      <c r="BW37">
        <f t="shared" si="47"/>
        <v>0.42471000000000003</v>
      </c>
      <c r="BX37">
        <v>0.3</v>
      </c>
    </row>
    <row r="38" spans="1:76" x14ac:dyDescent="0.25">
      <c r="A38">
        <v>15</v>
      </c>
      <c r="B38">
        <v>9</v>
      </c>
      <c r="C38" t="str">
        <f t="shared" si="48"/>
        <v>SSTens</v>
      </c>
      <c r="D38">
        <v>0.60960000000000003</v>
      </c>
      <c r="E38">
        <f t="shared" si="10"/>
        <v>609.6</v>
      </c>
      <c r="F38">
        <v>9.5299999999999985E-3</v>
      </c>
      <c r="G38">
        <f t="shared" si="11"/>
        <v>9.5299999999999994</v>
      </c>
      <c r="H38">
        <f t="shared" si="12"/>
        <v>63.966421825813235</v>
      </c>
      <c r="I38">
        <v>15</v>
      </c>
      <c r="J38" t="s">
        <v>34</v>
      </c>
      <c r="K38">
        <f t="shared" si="49"/>
        <v>8</v>
      </c>
      <c r="L38">
        <f t="shared" si="50"/>
        <v>10</v>
      </c>
      <c r="M38">
        <f t="shared" si="51"/>
        <v>359000</v>
      </c>
      <c r="N38">
        <f t="shared" si="52"/>
        <v>455000</v>
      </c>
      <c r="O38">
        <f t="shared" si="53"/>
        <v>1.9969902892117808</v>
      </c>
      <c r="Q38" t="s">
        <v>35</v>
      </c>
      <c r="R38" t="s">
        <v>38</v>
      </c>
      <c r="S38">
        <f t="shared" si="54"/>
        <v>18</v>
      </c>
      <c r="T38">
        <f t="shared" si="13"/>
        <v>0</v>
      </c>
      <c r="U38">
        <f t="shared" si="14"/>
        <v>75</v>
      </c>
      <c r="V38">
        <f t="shared" si="15"/>
        <v>0.72</v>
      </c>
      <c r="W38">
        <v>0.9</v>
      </c>
      <c r="X38">
        <v>0</v>
      </c>
      <c r="Y38">
        <f t="shared" si="16"/>
        <v>103.41620360793024</v>
      </c>
      <c r="Z38">
        <v>0.75</v>
      </c>
      <c r="AA38">
        <f t="shared" si="17"/>
        <v>0</v>
      </c>
      <c r="AB38">
        <f t="shared" si="18"/>
        <v>1</v>
      </c>
      <c r="AC38">
        <f t="shared" si="19"/>
        <v>0.11643000000000003</v>
      </c>
      <c r="AD38">
        <f t="shared" si="20"/>
        <v>-0.1018074430633997</v>
      </c>
      <c r="AE38">
        <f t="shared" si="21"/>
        <v>-0.10827999999999999</v>
      </c>
      <c r="AF38">
        <f t="shared" si="22"/>
        <v>9.2450000000000004E-2</v>
      </c>
      <c r="AG38">
        <f t="shared" si="23"/>
        <v>-0.29064000000000001</v>
      </c>
      <c r="AH38">
        <f t="shared" si="24"/>
        <v>-0.39864999999999995</v>
      </c>
      <c r="AI38">
        <f t="shared" si="25"/>
        <v>-1.2899999999999999E-3</v>
      </c>
      <c r="AJ38">
        <f t="shared" si="26"/>
        <v>1.8129999999999993E-2</v>
      </c>
      <c r="AL38">
        <f t="shared" si="27"/>
        <v>-0.24721189702307916</v>
      </c>
      <c r="AM38">
        <f t="shared" si="28"/>
        <v>0.94499</v>
      </c>
      <c r="AN38">
        <f t="shared" si="29"/>
        <v>0.17099</v>
      </c>
      <c r="AO38">
        <f t="shared" si="30"/>
        <v>2.65273</v>
      </c>
      <c r="AP38">
        <f t="shared" si="31"/>
        <v>-2.6999999999999984E-4</v>
      </c>
      <c r="AQ38">
        <f t="shared" si="32"/>
        <v>4.6179999999999999E-2</v>
      </c>
      <c r="AR38">
        <f t="shared" si="33"/>
        <v>-0.63819999999999999</v>
      </c>
      <c r="AS38">
        <f t="shared" si="34"/>
        <v>1.9999999999999998E-4</v>
      </c>
      <c r="AT38">
        <f t="shared" si="35"/>
        <v>0.50009000000000015</v>
      </c>
      <c r="AU38">
        <f t="shared" si="36"/>
        <v>-1.5939999999999999E-2</v>
      </c>
      <c r="AV38">
        <f t="shared" si="37"/>
        <v>0.19280999999999998</v>
      </c>
      <c r="AW38">
        <f t="shared" si="38"/>
        <v>-7.2720000000000062E-2</v>
      </c>
      <c r="AX38">
        <f t="shared" si="39"/>
        <v>1.7729999999999996E-2</v>
      </c>
      <c r="BJ38">
        <f t="shared" si="40"/>
        <v>0</v>
      </c>
      <c r="BK38">
        <f t="shared" si="41"/>
        <v>1</v>
      </c>
      <c r="BL38">
        <f t="shared" si="42"/>
        <v>1</v>
      </c>
      <c r="BM38">
        <f t="shared" si="43"/>
        <v>59.10145817348517</v>
      </c>
      <c r="BS38">
        <f t="shared" si="44"/>
        <v>59.10145817348517</v>
      </c>
      <c r="BT38">
        <f t="shared" si="45"/>
        <v>0</v>
      </c>
      <c r="BU38">
        <f t="shared" si="46"/>
        <v>-0.73581869692911095</v>
      </c>
      <c r="BV38">
        <f t="shared" si="55"/>
        <v>0.47911304998207627</v>
      </c>
      <c r="BW38">
        <f t="shared" si="47"/>
        <v>0.43074999999999997</v>
      </c>
      <c r="BX38">
        <v>0.3</v>
      </c>
    </row>
    <row r="39" spans="1:76" x14ac:dyDescent="0.25">
      <c r="A39">
        <v>16</v>
      </c>
      <c r="B39">
        <v>34</v>
      </c>
      <c r="C39" t="str">
        <f t="shared" si="48"/>
        <v>SSTens</v>
      </c>
      <c r="D39">
        <v>0.76200000000000001</v>
      </c>
      <c r="E39">
        <f t="shared" si="10"/>
        <v>762</v>
      </c>
      <c r="F39">
        <v>1.2699999999999999E-2</v>
      </c>
      <c r="G39">
        <f t="shared" si="11"/>
        <v>12.7</v>
      </c>
      <c r="H39">
        <f t="shared" si="12"/>
        <v>60</v>
      </c>
      <c r="I39">
        <v>30</v>
      </c>
      <c r="J39" t="s">
        <v>37</v>
      </c>
      <c r="K39">
        <f t="shared" si="49"/>
        <v>8</v>
      </c>
      <c r="L39">
        <f t="shared" si="50"/>
        <v>12</v>
      </c>
      <c r="M39">
        <f t="shared" si="51"/>
        <v>414000</v>
      </c>
      <c r="N39">
        <f t="shared" si="52"/>
        <v>517000</v>
      </c>
      <c r="O39">
        <f t="shared" si="53"/>
        <v>2.5466769467238102</v>
      </c>
      <c r="Q39" t="s">
        <v>35</v>
      </c>
      <c r="R39" t="s">
        <v>38</v>
      </c>
      <c r="S39">
        <f t="shared" si="54"/>
        <v>18</v>
      </c>
      <c r="T39">
        <f t="shared" si="13"/>
        <v>0</v>
      </c>
      <c r="U39">
        <f t="shared" si="14"/>
        <v>75</v>
      </c>
      <c r="V39">
        <f t="shared" si="15"/>
        <v>0.72</v>
      </c>
      <c r="W39">
        <v>0.9</v>
      </c>
      <c r="X39">
        <v>0</v>
      </c>
      <c r="Y39">
        <f t="shared" si="16"/>
        <v>129.2702545099128</v>
      </c>
      <c r="Z39">
        <v>1.5</v>
      </c>
      <c r="AA39">
        <f t="shared" si="17"/>
        <v>0</v>
      </c>
      <c r="AB39">
        <f t="shared" si="18"/>
        <v>1</v>
      </c>
      <c r="AC39">
        <f t="shared" si="19"/>
        <v>-1.23407</v>
      </c>
      <c r="AD39">
        <f t="shared" si="20"/>
        <v>0.33045059496458912</v>
      </c>
      <c r="AE39">
        <f t="shared" si="21"/>
        <v>0.22846999999999998</v>
      </c>
      <c r="AF39">
        <f t="shared" si="22"/>
        <v>1.72E-2</v>
      </c>
      <c r="AG39">
        <f t="shared" si="23"/>
        <v>0.25485999999999998</v>
      </c>
      <c r="AH39">
        <f t="shared" si="24"/>
        <v>0.21035000000000004</v>
      </c>
      <c r="AI39">
        <f t="shared" si="25"/>
        <v>-1.5399999999999999E-3</v>
      </c>
      <c r="AJ39">
        <f t="shared" si="26"/>
        <v>7.5130000000000002E-2</v>
      </c>
      <c r="AL39">
        <f t="shared" si="27"/>
        <v>-0.14809673694969461</v>
      </c>
      <c r="AM39">
        <f t="shared" si="28"/>
        <v>0.40149000000000001</v>
      </c>
      <c r="AN39">
        <f t="shared" si="29"/>
        <v>0.22173999999999999</v>
      </c>
      <c r="AO39">
        <f t="shared" si="30"/>
        <v>1.95248</v>
      </c>
      <c r="AP39">
        <f t="shared" si="31"/>
        <v>-2.7699999999999999E-3</v>
      </c>
      <c r="AQ39">
        <f t="shared" si="32"/>
        <v>1.7679999999999998E-2</v>
      </c>
      <c r="AR39">
        <f t="shared" si="33"/>
        <v>-0.2792</v>
      </c>
      <c r="AS39">
        <f t="shared" si="34"/>
        <v>6.9999999999999999E-4</v>
      </c>
      <c r="AT39">
        <f t="shared" si="35"/>
        <v>0.83159000000000005</v>
      </c>
      <c r="AU39">
        <f t="shared" si="36"/>
        <v>-6.8999999999999964E-4</v>
      </c>
      <c r="AV39">
        <f t="shared" si="37"/>
        <v>1.081E-2</v>
      </c>
      <c r="AW39">
        <f t="shared" si="38"/>
        <v>0.29727999999999999</v>
      </c>
      <c r="AX39">
        <f t="shared" si="39"/>
        <v>8.5730000000000001E-2</v>
      </c>
      <c r="BJ39">
        <f t="shared" si="40"/>
        <v>0</v>
      </c>
      <c r="BK39">
        <f t="shared" si="41"/>
        <v>0</v>
      </c>
      <c r="BL39">
        <f t="shared" si="42"/>
        <v>1</v>
      </c>
      <c r="BM39">
        <f t="shared" si="43"/>
        <v>-0.13675050892386795</v>
      </c>
      <c r="BS39">
        <f t="shared" si="44"/>
        <v>0</v>
      </c>
      <c r="BT39">
        <f t="shared" si="45"/>
        <v>-0.13675050892386795</v>
      </c>
      <c r="BU39">
        <f t="shared" si="46"/>
        <v>1.233670099194631</v>
      </c>
      <c r="BV39">
        <f t="shared" si="55"/>
        <v>3.4338088576140939</v>
      </c>
      <c r="BW39">
        <f t="shared" si="47"/>
        <v>0.50624999999999998</v>
      </c>
      <c r="BX39">
        <v>0.3</v>
      </c>
    </row>
    <row r="40" spans="1:76" x14ac:dyDescent="0.25">
      <c r="A40">
        <v>17</v>
      </c>
      <c r="B40">
        <v>30</v>
      </c>
      <c r="C40" t="str">
        <f t="shared" si="48"/>
        <v>SSTens</v>
      </c>
      <c r="D40">
        <v>0.86360000000000003</v>
      </c>
      <c r="E40">
        <f t="shared" si="10"/>
        <v>863.6</v>
      </c>
      <c r="F40">
        <v>1.1130000000000001E-2</v>
      </c>
      <c r="G40">
        <f t="shared" si="11"/>
        <v>11.13</v>
      </c>
      <c r="H40">
        <f t="shared" si="12"/>
        <v>77.592093441150041</v>
      </c>
      <c r="I40">
        <v>50</v>
      </c>
      <c r="J40" t="s">
        <v>39</v>
      </c>
      <c r="K40">
        <f t="shared" si="49"/>
        <v>14</v>
      </c>
      <c r="L40">
        <f t="shared" si="50"/>
        <v>15</v>
      </c>
      <c r="M40">
        <f t="shared" si="51"/>
        <v>483000</v>
      </c>
      <c r="N40">
        <f t="shared" si="52"/>
        <v>565000</v>
      </c>
      <c r="O40">
        <f t="shared" si="53"/>
        <v>2.8799444073326219</v>
      </c>
      <c r="Q40" t="s">
        <v>35</v>
      </c>
      <c r="R40" t="s">
        <v>38</v>
      </c>
      <c r="S40">
        <f t="shared" si="54"/>
        <v>18</v>
      </c>
      <c r="T40">
        <f t="shared" si="13"/>
        <v>0</v>
      </c>
      <c r="U40">
        <f t="shared" si="14"/>
        <v>75</v>
      </c>
      <c r="V40">
        <f t="shared" si="15"/>
        <v>0.72</v>
      </c>
      <c r="W40">
        <v>0.9</v>
      </c>
      <c r="X40">
        <v>0</v>
      </c>
      <c r="Y40">
        <f t="shared" si="16"/>
        <v>146.50628844456784</v>
      </c>
      <c r="Z40">
        <v>1.5</v>
      </c>
      <c r="AA40">
        <f t="shared" si="17"/>
        <v>0</v>
      </c>
      <c r="AB40">
        <f t="shared" si="18"/>
        <v>1</v>
      </c>
      <c r="AC40">
        <f t="shared" si="19"/>
        <v>-1.01799</v>
      </c>
      <c r="AD40">
        <f t="shared" si="20"/>
        <v>0.26090941251699395</v>
      </c>
      <c r="AE40">
        <f t="shared" si="21"/>
        <v>0.17459</v>
      </c>
      <c r="AF40">
        <f t="shared" si="22"/>
        <v>2.9240000000000002E-2</v>
      </c>
      <c r="AG40">
        <f t="shared" si="23"/>
        <v>0.16758000000000001</v>
      </c>
      <c r="AH40">
        <f t="shared" si="24"/>
        <v>0.11291000000000001</v>
      </c>
      <c r="AI40">
        <f t="shared" si="25"/>
        <v>-1.5E-3</v>
      </c>
      <c r="AJ40">
        <f t="shared" si="26"/>
        <v>6.6009999999999985E-2</v>
      </c>
      <c r="AL40">
        <f t="shared" si="27"/>
        <v>-5.900749565548391E-2</v>
      </c>
      <c r="AM40">
        <f t="shared" si="28"/>
        <v>0.48845</v>
      </c>
      <c r="AN40">
        <f t="shared" si="29"/>
        <v>0.21362</v>
      </c>
      <c r="AO40">
        <f t="shared" si="30"/>
        <v>2.0645199999999999</v>
      </c>
      <c r="AP40">
        <f t="shared" si="31"/>
        <v>-2.3700000000000001E-3</v>
      </c>
      <c r="AQ40">
        <f t="shared" si="32"/>
        <v>2.2239999999999999E-2</v>
      </c>
      <c r="AR40">
        <f t="shared" si="33"/>
        <v>-0.33663999999999999</v>
      </c>
      <c r="AS40">
        <f t="shared" si="34"/>
        <v>6.2E-4</v>
      </c>
      <c r="AT40">
        <f t="shared" si="35"/>
        <v>0.77855000000000008</v>
      </c>
      <c r="AU40">
        <f t="shared" si="36"/>
        <v>-3.13E-3</v>
      </c>
      <c r="AV40">
        <f t="shared" si="37"/>
        <v>3.9930000000000007E-2</v>
      </c>
      <c r="AW40">
        <f t="shared" si="38"/>
        <v>0.23807999999999999</v>
      </c>
      <c r="AX40">
        <f t="shared" si="39"/>
        <v>7.485E-2</v>
      </c>
      <c r="BJ40">
        <f t="shared" si="40"/>
        <v>0</v>
      </c>
      <c r="BK40">
        <f t="shared" si="41"/>
        <v>0</v>
      </c>
      <c r="BL40">
        <f t="shared" si="42"/>
        <v>0</v>
      </c>
      <c r="BM40">
        <f t="shared" si="43"/>
        <v>0.31412415867276039</v>
      </c>
      <c r="BS40">
        <f t="shared" si="44"/>
        <v>0</v>
      </c>
      <c r="BT40">
        <f t="shared" si="45"/>
        <v>0.31412415867276039</v>
      </c>
      <c r="BU40">
        <f t="shared" si="46"/>
        <v>1.5639121331187127</v>
      </c>
      <c r="BV40">
        <f t="shared" si="55"/>
        <v>4.7774748512413208</v>
      </c>
      <c r="BW40">
        <f t="shared" si="47"/>
        <v>0.49417</v>
      </c>
      <c r="BX40">
        <v>0.3</v>
      </c>
    </row>
    <row r="41" spans="1:76" x14ac:dyDescent="0.25">
      <c r="A41">
        <v>18</v>
      </c>
      <c r="B41">
        <v>28</v>
      </c>
      <c r="C41" t="str">
        <f t="shared" si="48"/>
        <v>SSTens</v>
      </c>
      <c r="D41">
        <v>1.0668</v>
      </c>
      <c r="E41">
        <f t="shared" si="10"/>
        <v>1066.8</v>
      </c>
      <c r="F41">
        <v>1.2699999999999999E-2</v>
      </c>
      <c r="G41">
        <f t="shared" si="11"/>
        <v>12.7</v>
      </c>
      <c r="H41">
        <f t="shared" si="12"/>
        <v>84</v>
      </c>
      <c r="I41">
        <v>100</v>
      </c>
      <c r="J41" t="s">
        <v>41</v>
      </c>
      <c r="K41">
        <f t="shared" si="49"/>
        <v>15</v>
      </c>
      <c r="L41">
        <f t="shared" si="50"/>
        <v>20</v>
      </c>
      <c r="M41">
        <f t="shared" si="51"/>
        <v>552000</v>
      </c>
      <c r="N41">
        <f t="shared" si="52"/>
        <v>625000</v>
      </c>
      <c r="O41">
        <f t="shared" si="53"/>
        <v>2.9888368774026359</v>
      </c>
      <c r="Q41" t="s">
        <v>35</v>
      </c>
      <c r="R41" t="s">
        <v>40</v>
      </c>
      <c r="S41">
        <f t="shared" si="54"/>
        <v>18.5</v>
      </c>
      <c r="T41">
        <f t="shared" si="13"/>
        <v>0</v>
      </c>
      <c r="U41">
        <f t="shared" si="14"/>
        <v>125</v>
      </c>
      <c r="V41">
        <f t="shared" si="15"/>
        <v>0.4</v>
      </c>
      <c r="W41">
        <v>0.9</v>
      </c>
      <c r="X41">
        <v>0</v>
      </c>
      <c r="Y41">
        <f t="shared" si="16"/>
        <v>167.57255214247957</v>
      </c>
      <c r="Z41">
        <v>1.5</v>
      </c>
      <c r="AA41">
        <f t="shared" si="17"/>
        <v>0</v>
      </c>
      <c r="AB41">
        <f t="shared" si="18"/>
        <v>1</v>
      </c>
      <c r="AC41">
        <f t="shared" si="19"/>
        <v>-0.90995000000000004</v>
      </c>
      <c r="AD41">
        <f t="shared" si="20"/>
        <v>0.25024830075794013</v>
      </c>
      <c r="AE41">
        <f t="shared" si="21"/>
        <v>0.14764999999999998</v>
      </c>
      <c r="AF41">
        <f t="shared" si="22"/>
        <v>3.526E-2</v>
      </c>
      <c r="AG41">
        <f t="shared" si="23"/>
        <v>0.12393999999999999</v>
      </c>
      <c r="AH41">
        <f t="shared" si="24"/>
        <v>6.4190000000000025E-2</v>
      </c>
      <c r="AI41">
        <f t="shared" si="25"/>
        <v>-1.48E-3</v>
      </c>
      <c r="AJ41">
        <f t="shared" si="26"/>
        <v>6.1449999999999998E-2</v>
      </c>
      <c r="AL41">
        <f t="shared" si="27"/>
        <v>4.3996315441468314E-2</v>
      </c>
      <c r="AM41">
        <f t="shared" si="28"/>
        <v>0.53193000000000001</v>
      </c>
      <c r="AN41">
        <f t="shared" si="29"/>
        <v>0.20956000000000002</v>
      </c>
      <c r="AO41">
        <f t="shared" si="30"/>
        <v>2.1205400000000001</v>
      </c>
      <c r="AP41">
        <f t="shared" si="31"/>
        <v>-2.1700000000000001E-3</v>
      </c>
      <c r="AQ41">
        <f t="shared" si="32"/>
        <v>2.4519999999999997E-2</v>
      </c>
      <c r="AR41">
        <f t="shared" si="33"/>
        <v>-0.36536000000000002</v>
      </c>
      <c r="AS41">
        <f t="shared" si="34"/>
        <v>5.8E-4</v>
      </c>
      <c r="AT41">
        <f t="shared" si="35"/>
        <v>0.75203000000000009</v>
      </c>
      <c r="AU41">
        <f t="shared" si="36"/>
        <v>-4.3499999999999988E-3</v>
      </c>
      <c r="AV41">
        <f t="shared" si="37"/>
        <v>5.4489999999999997E-2</v>
      </c>
      <c r="AW41">
        <f t="shared" si="38"/>
        <v>0.20848</v>
      </c>
      <c r="AX41">
        <f t="shared" si="39"/>
        <v>6.9409999999999999E-2</v>
      </c>
      <c r="BJ41">
        <f t="shared" si="40"/>
        <v>0</v>
      </c>
      <c r="BK41">
        <f t="shared" si="41"/>
        <v>0</v>
      </c>
      <c r="BL41">
        <f t="shared" si="42"/>
        <v>0</v>
      </c>
      <c r="BM41">
        <f t="shared" si="43"/>
        <v>0.28012591978410695</v>
      </c>
      <c r="BS41">
        <f t="shared" si="44"/>
        <v>0</v>
      </c>
      <c r="BT41">
        <f t="shared" si="45"/>
        <v>0.28012591978410695</v>
      </c>
      <c r="BU41">
        <f t="shared" si="46"/>
        <v>1.5617087463846138</v>
      </c>
      <c r="BV41">
        <f t="shared" si="55"/>
        <v>4.7669598151312735</v>
      </c>
      <c r="BW41">
        <f t="shared" si="47"/>
        <v>0.48813000000000001</v>
      </c>
      <c r="BX41">
        <v>0.3</v>
      </c>
    </row>
    <row r="42" spans="1:76" x14ac:dyDescent="0.25">
      <c r="A42">
        <v>19</v>
      </c>
      <c r="B42">
        <v>33</v>
      </c>
      <c r="C42" t="str">
        <f t="shared" si="48"/>
        <v>SSTens</v>
      </c>
      <c r="D42">
        <v>0.60960000000000003</v>
      </c>
      <c r="E42">
        <f t="shared" si="10"/>
        <v>609.6</v>
      </c>
      <c r="F42">
        <v>1.1130000000000001E-2</v>
      </c>
      <c r="G42">
        <f t="shared" si="11"/>
        <v>11.13</v>
      </c>
      <c r="H42">
        <f t="shared" si="12"/>
        <v>54.770889487870619</v>
      </c>
      <c r="I42">
        <v>150</v>
      </c>
      <c r="J42" t="s">
        <v>64</v>
      </c>
      <c r="K42">
        <f t="shared" si="49"/>
        <v>3</v>
      </c>
      <c r="L42">
        <f t="shared" si="50"/>
        <v>9</v>
      </c>
      <c r="M42">
        <f t="shared" si="51"/>
        <v>290000</v>
      </c>
      <c r="N42">
        <f t="shared" si="52"/>
        <v>414000</v>
      </c>
      <c r="O42">
        <f t="shared" si="53"/>
        <v>1.7363704307629526</v>
      </c>
      <c r="Q42" t="s">
        <v>35</v>
      </c>
      <c r="R42" t="s">
        <v>40</v>
      </c>
      <c r="S42">
        <f t="shared" si="54"/>
        <v>18.5</v>
      </c>
      <c r="T42">
        <f t="shared" si="13"/>
        <v>0</v>
      </c>
      <c r="U42">
        <f t="shared" si="14"/>
        <v>125</v>
      </c>
      <c r="V42">
        <f t="shared" si="15"/>
        <v>0.4</v>
      </c>
      <c r="W42">
        <v>0.9</v>
      </c>
      <c r="X42">
        <v>0</v>
      </c>
      <c r="Y42">
        <f t="shared" si="16"/>
        <v>95.755744081416907</v>
      </c>
      <c r="Z42">
        <v>7.5</v>
      </c>
      <c r="AA42">
        <f t="shared" si="17"/>
        <v>0</v>
      </c>
      <c r="AB42">
        <f t="shared" si="18"/>
        <v>1</v>
      </c>
      <c r="AC42">
        <f t="shared" si="19"/>
        <v>-1.18005</v>
      </c>
      <c r="AD42">
        <f t="shared" si="20"/>
        <v>0.35645547837724323</v>
      </c>
      <c r="AE42">
        <f t="shared" si="21"/>
        <v>0.21499999999999997</v>
      </c>
      <c r="AF42">
        <f t="shared" si="22"/>
        <v>2.0209999999999999E-2</v>
      </c>
      <c r="AG42">
        <f t="shared" si="23"/>
        <v>0.23304000000000002</v>
      </c>
      <c r="AH42">
        <f t="shared" si="24"/>
        <v>0.18598999999999999</v>
      </c>
      <c r="AI42">
        <f t="shared" si="25"/>
        <v>-1.5299999999999999E-3</v>
      </c>
      <c r="AJ42">
        <f t="shared" si="26"/>
        <v>7.2849999999999998E-2</v>
      </c>
      <c r="AL42">
        <f t="shared" si="27"/>
        <v>9.3927643011048279E-2</v>
      </c>
      <c r="AM42">
        <f t="shared" si="28"/>
        <v>0.42323</v>
      </c>
      <c r="AN42">
        <f t="shared" si="29"/>
        <v>0.21971000000000002</v>
      </c>
      <c r="AO42">
        <f t="shared" si="30"/>
        <v>1.9804900000000001</v>
      </c>
      <c r="AP42">
        <f t="shared" si="31"/>
        <v>-2.6700000000000001E-3</v>
      </c>
      <c r="AQ42">
        <f t="shared" si="32"/>
        <v>1.882E-2</v>
      </c>
      <c r="AR42">
        <f t="shared" si="33"/>
        <v>-0.29355999999999999</v>
      </c>
      <c r="AS42">
        <f t="shared" si="34"/>
        <v>6.8000000000000005E-4</v>
      </c>
      <c r="AT42">
        <f t="shared" si="35"/>
        <v>0.81833</v>
      </c>
      <c r="AU42">
        <f t="shared" si="36"/>
        <v>-1.2999999999999999E-3</v>
      </c>
      <c r="AV42">
        <f t="shared" si="37"/>
        <v>1.8089999999999995E-2</v>
      </c>
      <c r="AW42">
        <f t="shared" si="38"/>
        <v>0.28247999999999995</v>
      </c>
      <c r="AX42">
        <f t="shared" si="39"/>
        <v>8.301E-2</v>
      </c>
      <c r="BJ42">
        <f t="shared" si="40"/>
        <v>0</v>
      </c>
      <c r="BK42">
        <f t="shared" si="41"/>
        <v>0</v>
      </c>
      <c r="BL42">
        <f t="shared" si="42"/>
        <v>0</v>
      </c>
      <c r="BM42">
        <f t="shared" si="43"/>
        <v>0.32698466691561862</v>
      </c>
      <c r="BS42">
        <f t="shared" si="44"/>
        <v>0</v>
      </c>
      <c r="BT42">
        <f t="shared" si="45"/>
        <v>0.32698466691561862</v>
      </c>
      <c r="BU42">
        <f t="shared" si="46"/>
        <v>1.9308935225105111</v>
      </c>
      <c r="BV42">
        <f t="shared" si="55"/>
        <v>6.8956689251199821</v>
      </c>
      <c r="BW42">
        <f t="shared" si="47"/>
        <v>0.50322999999999996</v>
      </c>
      <c r="BX42">
        <v>0.3</v>
      </c>
    </row>
    <row r="43" spans="1:76" x14ac:dyDescent="0.25">
      <c r="A43">
        <v>20</v>
      </c>
      <c r="B43">
        <v>56</v>
      </c>
      <c r="C43" t="str">
        <f t="shared" si="48"/>
        <v>SSTens</v>
      </c>
      <c r="D43">
        <v>0.60960000000000003</v>
      </c>
      <c r="E43">
        <f t="shared" si="10"/>
        <v>609.6</v>
      </c>
      <c r="F43">
        <v>1.1130000000000001E-2</v>
      </c>
      <c r="G43">
        <f t="shared" si="11"/>
        <v>11.13</v>
      </c>
      <c r="H43">
        <f t="shared" si="12"/>
        <v>54.770889487870619</v>
      </c>
      <c r="I43">
        <v>200</v>
      </c>
      <c r="J43" t="s">
        <v>65</v>
      </c>
      <c r="K43">
        <f t="shared" si="49"/>
        <v>3</v>
      </c>
      <c r="L43">
        <f t="shared" si="50"/>
        <v>8</v>
      </c>
      <c r="M43">
        <f t="shared" si="51"/>
        <v>241000</v>
      </c>
      <c r="N43">
        <f t="shared" si="52"/>
        <v>344000</v>
      </c>
      <c r="O43">
        <f t="shared" si="53"/>
        <v>1.1599577949833839</v>
      </c>
      <c r="Q43" t="s">
        <v>35</v>
      </c>
      <c r="R43" t="s">
        <v>40</v>
      </c>
      <c r="S43">
        <f t="shared" si="54"/>
        <v>18.5</v>
      </c>
      <c r="T43">
        <f t="shared" si="13"/>
        <v>0</v>
      </c>
      <c r="U43">
        <f t="shared" si="14"/>
        <v>125</v>
      </c>
      <c r="V43">
        <f t="shared" si="15"/>
        <v>0.4</v>
      </c>
      <c r="W43">
        <v>0.9</v>
      </c>
      <c r="X43">
        <v>0</v>
      </c>
      <c r="Y43">
        <f t="shared" si="16"/>
        <v>95.755744081416907</v>
      </c>
      <c r="Z43">
        <v>3.5</v>
      </c>
      <c r="AA43">
        <f t="shared" si="17"/>
        <v>0</v>
      </c>
      <c r="AB43">
        <f t="shared" si="18"/>
        <v>1</v>
      </c>
      <c r="AC43">
        <f t="shared" si="19"/>
        <v>-1.7474400000000001</v>
      </c>
      <c r="AD43">
        <f t="shared" si="20"/>
        <v>-0.1037110168730242</v>
      </c>
      <c r="AE43">
        <f t="shared" si="21"/>
        <v>0.42990999999999996</v>
      </c>
      <c r="AF43">
        <f t="shared" si="22"/>
        <v>-0.25641000000000003</v>
      </c>
      <c r="AG43">
        <f t="shared" si="23"/>
        <v>1.1132600000000001</v>
      </c>
      <c r="AH43">
        <f t="shared" si="24"/>
        <v>1.18563</v>
      </c>
      <c r="AI43">
        <f t="shared" si="25"/>
        <v>-1.5299999999999999E-3</v>
      </c>
      <c r="AJ43">
        <f t="shared" si="26"/>
        <v>0.11622000000000002</v>
      </c>
      <c r="AL43">
        <f t="shared" si="27"/>
        <v>0.51497060284998142</v>
      </c>
      <c r="AM43">
        <f t="shared" si="28"/>
        <v>-0.14435000000000009</v>
      </c>
      <c r="AN43">
        <f t="shared" si="29"/>
        <v>0.28390000000000004</v>
      </c>
      <c r="AO43">
        <f t="shared" si="30"/>
        <v>1.73184</v>
      </c>
      <c r="AP43">
        <f t="shared" si="31"/>
        <v>-4.1799999999999997E-3</v>
      </c>
      <c r="AQ43">
        <f t="shared" si="32"/>
        <v>1.132E-2</v>
      </c>
      <c r="AR43">
        <f t="shared" si="33"/>
        <v>-0.21403</v>
      </c>
      <c r="AS43">
        <f t="shared" si="34"/>
        <v>1.1800000000000001E-3</v>
      </c>
      <c r="AT43">
        <f t="shared" si="35"/>
        <v>0.88968999999999998</v>
      </c>
      <c r="AU43">
        <f t="shared" si="36"/>
        <v>-2.8699999999999993E-3</v>
      </c>
      <c r="AV43">
        <f t="shared" si="37"/>
        <v>-1.1699999999999988E-2</v>
      </c>
      <c r="AW43">
        <f t="shared" si="38"/>
        <v>0.35848999999999998</v>
      </c>
      <c r="AX43">
        <f t="shared" si="39"/>
        <v>0.12916</v>
      </c>
      <c r="BJ43">
        <f t="shared" si="40"/>
        <v>0</v>
      </c>
      <c r="BK43">
        <f t="shared" si="41"/>
        <v>0</v>
      </c>
      <c r="BL43">
        <f t="shared" si="42"/>
        <v>0</v>
      </c>
      <c r="BM43">
        <f t="shared" si="43"/>
        <v>0.37478522846528672</v>
      </c>
      <c r="BS43">
        <f t="shared" si="44"/>
        <v>0</v>
      </c>
      <c r="BT43">
        <f t="shared" si="45"/>
        <v>0.37478522846528672</v>
      </c>
      <c r="BU43">
        <f t="shared" si="46"/>
        <v>1.2686604747345773</v>
      </c>
      <c r="BV43">
        <f t="shared" si="55"/>
        <v>3.5560859036244468</v>
      </c>
      <c r="BW43">
        <f t="shared" si="47"/>
        <v>0.58664000000000005</v>
      </c>
      <c r="BX43">
        <v>0.3</v>
      </c>
    </row>
    <row r="44" spans="1:76" x14ac:dyDescent="0.25">
      <c r="A44">
        <v>21</v>
      </c>
      <c r="B44">
        <v>87</v>
      </c>
      <c r="C44" t="str">
        <f>IF(AND(B44&gt;=0,B44&lt;=5),"BainEtal_Normal",IF(AND(B44&gt;5,B44&lt;90),"SSTens",IF(AND(B44&gt;=90,B44&lt;175),"SSComp",IF(AND(B44&gt;=175,B44&lt;=180),"BainEtal_Reverse"))))</f>
        <v>SSTens</v>
      </c>
      <c r="D44">
        <v>0.20319999999999999</v>
      </c>
      <c r="E44">
        <f t="shared" si="10"/>
        <v>203.2</v>
      </c>
      <c r="F44">
        <v>5.5599999999999998E-3</v>
      </c>
      <c r="G44">
        <f t="shared" si="11"/>
        <v>5.56</v>
      </c>
      <c r="H44">
        <f t="shared" si="12"/>
        <v>36.546762589928058</v>
      </c>
      <c r="I44">
        <v>15</v>
      </c>
      <c r="J44" t="s">
        <v>34</v>
      </c>
      <c r="K44">
        <f>IF(J44="Grade-B",3,IF(J44="X-42",3,IF(J44="X-52",8,IF(J44="X-60",8,IF(J44="X-70",14,IF(J44="X-80",15,8))))))</f>
        <v>8</v>
      </c>
      <c r="L44">
        <f>IF(J44="Grade-B",8,IF(J44="X-42",9,IF(J44="X-52",10,IF(J44="X-60",12,IF(J44="X-70",15,IF(J44="X-80",20,10))))))</f>
        <v>10</v>
      </c>
      <c r="M44">
        <f>IF(J44="Grade-B",241,IF(J44="X-42",290,IF(J44="X-52",359,IF(J44="X-60",414,IF(J44="X-70",483,IF(J44="X-80",552,359))))))*1000</f>
        <v>359000</v>
      </c>
      <c r="N44">
        <f>IF(J44="Grade-B",344,IF(J44="X-42",414,IF(J44="X-52",455,IF(J44="X-60",517,IF(J44="X-70",565,IF(J44="X-80",625,M44*1.2/1000))))))*1000</f>
        <v>455000</v>
      </c>
      <c r="O44">
        <f>N44/200000000*(1+K44/(1+L44)*(N44/M44)^L44)*100</f>
        <v>1.9969902892117808</v>
      </c>
      <c r="Q44" t="s">
        <v>42</v>
      </c>
      <c r="R44" t="s">
        <v>43</v>
      </c>
      <c r="S44">
        <f>IF(R44="medium dense",18,IF(R44="dense",18.5,IF(R44="very dense",19,IF(R44="soft",17.5,IF(R44="medium stiff",18,IF(R44="stiff",18.5,0))))))</f>
        <v>18</v>
      </c>
      <c r="T44">
        <f t="shared" si="13"/>
        <v>37</v>
      </c>
      <c r="U44">
        <f t="shared" si="14"/>
        <v>0</v>
      </c>
      <c r="V44">
        <f t="shared" si="15"/>
        <v>0</v>
      </c>
      <c r="W44">
        <v>0.9</v>
      </c>
      <c r="X44">
        <v>1</v>
      </c>
      <c r="Y44">
        <f t="shared" si="16"/>
        <v>7.5479720641402661</v>
      </c>
      <c r="Z44">
        <v>0.75</v>
      </c>
      <c r="AD44">
        <f t="shared" ref="AD44:AD63" si="56">0.00081*Y44+0.00314*LN(O44)</f>
        <v>8.2856107139974745E-3</v>
      </c>
      <c r="AK44">
        <f t="shared" ref="AK44:AK63" si="57">-0.15507+AD44*LN(H44)+0.05203*LN(I44)</f>
        <v>1.5646389426880153E-2</v>
      </c>
      <c r="AL44">
        <f t="shared" ref="AL44:AL63" si="58">IF(I44&lt;15,AK44+0.75,IF(I44&gt;50,AK44+1.5,AK44+1))</f>
        <v>1.0156463894268801</v>
      </c>
      <c r="AM44">
        <v>-2.307229</v>
      </c>
      <c r="AN44">
        <v>0.5852366</v>
      </c>
      <c r="AO44">
        <v>0.201322</v>
      </c>
      <c r="AY44">
        <v>1.4274935</v>
      </c>
      <c r="AZ44">
        <v>-7.1050000000000002E-3</v>
      </c>
      <c r="BA44">
        <v>5.1415999999999996E-3</v>
      </c>
      <c r="BB44">
        <v>-1.4290590000000001</v>
      </c>
      <c r="BC44">
        <v>4.9200300000000002E-2</v>
      </c>
      <c r="BD44">
        <v>0.14513599999999999</v>
      </c>
      <c r="BE44">
        <v>2.0170299999999999E-2</v>
      </c>
      <c r="BF44">
        <v>-1.032025</v>
      </c>
      <c r="BH44">
        <f t="shared" ref="BH44:BH63" si="59">IF(Z44&lt;EXP(AK44),1,0)</f>
        <v>1</v>
      </c>
      <c r="BI44">
        <f t="shared" ref="BI44:BI63" si="60">IF(Z44&gt;EXP(AL44),1,0)</f>
        <v>0</v>
      </c>
      <c r="BJ44">
        <f t="shared" si="40"/>
        <v>1</v>
      </c>
      <c r="BM44">
        <f t="shared" si="43"/>
        <v>-0.47373050310383741</v>
      </c>
      <c r="BS44">
        <f t="shared" ref="BS44:BS63" si="61">BH44*(LN(Z44)-AK44)*(AY44+AZ44*Y44+BA44*H44)</f>
        <v>-0.47373050310383741</v>
      </c>
      <c r="BT44">
        <f t="shared" ref="BT44:BT63" si="62">BI44*(LN(Z44)-AL44)*(BB44+BC44*Y44+BD44*I44+BE44*H44+BF44*LN(O44))</f>
        <v>0</v>
      </c>
      <c r="BU44">
        <f t="shared" ref="BU44:BU63" si="63">AM44+BM44*Z44+AN44*LN(H44)+BJ44*AO44*LN(Y44)</f>
        <v>-0.14957085894174343</v>
      </c>
      <c r="BV44">
        <f>MIN(EXP(BU44),100)</f>
        <v>0.86107742082312089</v>
      </c>
      <c r="BW44">
        <v>0.72299999999999998</v>
      </c>
      <c r="BX44">
        <v>0.3</v>
      </c>
    </row>
    <row r="45" spans="1:76" x14ac:dyDescent="0.25">
      <c r="A45">
        <v>22</v>
      </c>
      <c r="B45">
        <v>86</v>
      </c>
      <c r="C45" t="str">
        <f t="shared" si="48"/>
        <v>SSTens</v>
      </c>
      <c r="D45">
        <v>0.30480000000000002</v>
      </c>
      <c r="E45">
        <f t="shared" si="10"/>
        <v>304.8</v>
      </c>
      <c r="F45">
        <v>7.1399999999999996E-3</v>
      </c>
      <c r="G45">
        <f t="shared" si="11"/>
        <v>7.14</v>
      </c>
      <c r="H45">
        <f t="shared" si="12"/>
        <v>42.689075630252105</v>
      </c>
      <c r="I45">
        <v>30</v>
      </c>
      <c r="J45" t="s">
        <v>37</v>
      </c>
      <c r="K45">
        <f t="shared" ref="K45:K63" si="64">IF(J45="Grade-B",3,IF(J45="X-42",3,IF(J45="X-52",8,IF(J45="X-60",8,IF(J45="X-70",14,IF(J45="X-80",15,8))))))</f>
        <v>8</v>
      </c>
      <c r="L45">
        <f t="shared" ref="L45:L63" si="65">IF(J45="Grade-B",8,IF(J45="X-42",9,IF(J45="X-52",10,IF(J45="X-60",12,IF(J45="X-70",15,IF(J45="X-80",20,10))))))</f>
        <v>12</v>
      </c>
      <c r="M45">
        <f t="shared" ref="M45:M63" si="66">IF(J45="Grade-B",241,IF(J45="X-42",290,IF(J45="X-52",359,IF(J45="X-60",414,IF(J45="X-70",483,IF(J45="X-80",552,359))))))*1000</f>
        <v>414000</v>
      </c>
      <c r="N45">
        <f t="shared" ref="N45:N63" si="67">IF(J45="Grade-B",344,IF(J45="X-42",414,IF(J45="X-52",455,IF(J45="X-60",517,IF(J45="X-70",565,IF(J45="X-80",625,M45*1.2/1000))))))*1000</f>
        <v>517000</v>
      </c>
      <c r="O45">
        <f t="shared" ref="O45:O63" si="68">N45/200000000*(1+K45/(1+L45)*(N45/M45)^L45)*100</f>
        <v>2.5466769467238102</v>
      </c>
      <c r="Q45" t="s">
        <v>42</v>
      </c>
      <c r="R45" t="s">
        <v>43</v>
      </c>
      <c r="S45">
        <f t="shared" ref="S45:S63" si="69">IF(R45="medium dense",18,IF(R45="dense",18.5,IF(R45="very dense",19,IF(R45="soft",17.5,IF(R45="medium stiff",18,IF(R45="stiff",18.5,0))))))</f>
        <v>18</v>
      </c>
      <c r="T45">
        <f t="shared" si="13"/>
        <v>37</v>
      </c>
      <c r="U45">
        <f t="shared" si="14"/>
        <v>0</v>
      </c>
      <c r="V45">
        <f t="shared" si="15"/>
        <v>0</v>
      </c>
      <c r="W45">
        <v>0.9</v>
      </c>
      <c r="X45">
        <v>2</v>
      </c>
      <c r="Y45">
        <f t="shared" si="16"/>
        <v>22.6439161924208</v>
      </c>
      <c r="Z45">
        <v>0.75</v>
      </c>
      <c r="AD45">
        <f t="shared" si="56"/>
        <v>2.1276810678546657E-2</v>
      </c>
      <c r="AK45">
        <f t="shared" si="57"/>
        <v>0.10176623528675607</v>
      </c>
      <c r="AL45">
        <f t="shared" si="58"/>
        <v>1.1017662352867561</v>
      </c>
      <c r="AM45">
        <v>-2.307229</v>
      </c>
      <c r="AN45">
        <v>0.5852366</v>
      </c>
      <c r="AO45">
        <v>0.201322</v>
      </c>
      <c r="AY45">
        <v>1.4274935</v>
      </c>
      <c r="AZ45">
        <v>-7.1050000000000002E-3</v>
      </c>
      <c r="BA45">
        <v>5.1415999999999996E-3</v>
      </c>
      <c r="BB45">
        <v>-1.4290590000000001</v>
      </c>
      <c r="BC45">
        <v>4.9200300000000002E-2</v>
      </c>
      <c r="BD45">
        <v>0.14513599999999999</v>
      </c>
      <c r="BE45">
        <v>2.0170299999999999E-2</v>
      </c>
      <c r="BF45">
        <v>-1.032025</v>
      </c>
      <c r="BH45">
        <f t="shared" si="59"/>
        <v>1</v>
      </c>
      <c r="BI45">
        <f t="shared" si="60"/>
        <v>0</v>
      </c>
      <c r="BJ45">
        <f t="shared" si="40"/>
        <v>1</v>
      </c>
      <c r="BM45">
        <f t="shared" si="43"/>
        <v>-0.57875859530607965</v>
      </c>
      <c r="BS45">
        <f t="shared" si="61"/>
        <v>-0.57875859530607965</v>
      </c>
      <c r="BT45">
        <f t="shared" si="62"/>
        <v>0</v>
      </c>
      <c r="BU45">
        <f t="shared" si="63"/>
        <v>8.374965841113402E-2</v>
      </c>
      <c r="BV45">
        <f t="shared" ref="BV45:BV63" si="70">MIN(EXP(BU45),100)</f>
        <v>1.0873566491419566</v>
      </c>
      <c r="BW45">
        <v>0.72299999999999998</v>
      </c>
      <c r="BX45">
        <v>0.3</v>
      </c>
    </row>
    <row r="46" spans="1:76" x14ac:dyDescent="0.25">
      <c r="A46">
        <v>23</v>
      </c>
      <c r="B46">
        <v>85</v>
      </c>
      <c r="C46" t="str">
        <f t="shared" si="48"/>
        <v>SSTens</v>
      </c>
      <c r="D46">
        <v>0.40639999999999998</v>
      </c>
      <c r="E46">
        <f t="shared" si="10"/>
        <v>406.4</v>
      </c>
      <c r="F46">
        <v>9.5299999999999985E-3</v>
      </c>
      <c r="G46">
        <f t="shared" si="11"/>
        <v>9.5299999999999994</v>
      </c>
      <c r="H46">
        <f t="shared" si="12"/>
        <v>42.644281217208821</v>
      </c>
      <c r="I46">
        <v>50</v>
      </c>
      <c r="J46" t="s">
        <v>39</v>
      </c>
      <c r="K46">
        <f t="shared" si="64"/>
        <v>14</v>
      </c>
      <c r="L46">
        <f t="shared" si="65"/>
        <v>15</v>
      </c>
      <c r="M46">
        <f t="shared" si="66"/>
        <v>483000</v>
      </c>
      <c r="N46">
        <f t="shared" si="67"/>
        <v>565000</v>
      </c>
      <c r="O46">
        <f t="shared" si="68"/>
        <v>2.8799444073326219</v>
      </c>
      <c r="Q46" t="s">
        <v>42</v>
      </c>
      <c r="R46" t="s">
        <v>43</v>
      </c>
      <c r="S46">
        <f t="shared" si="69"/>
        <v>18</v>
      </c>
      <c r="T46">
        <f t="shared" si="13"/>
        <v>37</v>
      </c>
      <c r="U46">
        <f t="shared" si="14"/>
        <v>0</v>
      </c>
      <c r="V46">
        <f t="shared" si="15"/>
        <v>0</v>
      </c>
      <c r="W46">
        <v>0.9</v>
      </c>
      <c r="X46">
        <v>1</v>
      </c>
      <c r="Y46">
        <f t="shared" si="16"/>
        <v>15.095944128280532</v>
      </c>
      <c r="Z46">
        <v>0.75</v>
      </c>
      <c r="AD46">
        <f t="shared" si="56"/>
        <v>1.5549115655496644E-2</v>
      </c>
      <c r="AK46">
        <f t="shared" si="57"/>
        <v>0.10682672704917365</v>
      </c>
      <c r="AL46">
        <f t="shared" si="58"/>
        <v>1.1068267270491736</v>
      </c>
      <c r="AM46">
        <v>-2.307229</v>
      </c>
      <c r="AN46">
        <v>0.5852366</v>
      </c>
      <c r="AO46">
        <v>0.201322</v>
      </c>
      <c r="AY46">
        <v>1.4274935</v>
      </c>
      <c r="AZ46">
        <v>-7.1050000000000002E-3</v>
      </c>
      <c r="BA46">
        <v>5.1415999999999996E-3</v>
      </c>
      <c r="BB46">
        <v>-1.4290590000000001</v>
      </c>
      <c r="BC46">
        <v>4.9200300000000002E-2</v>
      </c>
      <c r="BD46">
        <v>0.14513599999999999</v>
      </c>
      <c r="BE46">
        <v>2.0170299999999999E-2</v>
      </c>
      <c r="BF46">
        <v>-1.032025</v>
      </c>
      <c r="BH46">
        <f t="shared" si="59"/>
        <v>1</v>
      </c>
      <c r="BI46">
        <f t="shared" si="60"/>
        <v>0</v>
      </c>
      <c r="BJ46">
        <f t="shared" si="40"/>
        <v>1</v>
      </c>
      <c r="BM46">
        <f t="shared" si="43"/>
        <v>-0.60734497651924468</v>
      </c>
      <c r="BS46">
        <f t="shared" si="61"/>
        <v>-0.60734497651924468</v>
      </c>
      <c r="BT46">
        <f t="shared" si="62"/>
        <v>0</v>
      </c>
      <c r="BU46">
        <f t="shared" si="63"/>
        <v>-1.9933595677024019E-2</v>
      </c>
      <c r="BV46">
        <f t="shared" si="70"/>
        <v>0.9802637648971958</v>
      </c>
      <c r="BW46">
        <v>0.72299999999999998</v>
      </c>
      <c r="BX46">
        <v>0.3</v>
      </c>
    </row>
    <row r="47" spans="1:76" x14ac:dyDescent="0.25">
      <c r="A47">
        <v>24</v>
      </c>
      <c r="B47">
        <v>87</v>
      </c>
      <c r="C47" t="str">
        <f t="shared" si="48"/>
        <v>SSTens</v>
      </c>
      <c r="D47">
        <v>0.50800000000000001</v>
      </c>
      <c r="E47">
        <f t="shared" si="10"/>
        <v>508</v>
      </c>
      <c r="F47">
        <v>1.1130000000000001E-2</v>
      </c>
      <c r="G47">
        <f t="shared" si="11"/>
        <v>11.13</v>
      </c>
      <c r="H47">
        <f t="shared" si="12"/>
        <v>45.642407906558844</v>
      </c>
      <c r="I47">
        <v>100</v>
      </c>
      <c r="J47" t="s">
        <v>41</v>
      </c>
      <c r="K47">
        <f t="shared" si="64"/>
        <v>15</v>
      </c>
      <c r="L47">
        <f t="shared" si="65"/>
        <v>20</v>
      </c>
      <c r="M47">
        <f t="shared" si="66"/>
        <v>552000</v>
      </c>
      <c r="N47">
        <f t="shared" si="67"/>
        <v>625000</v>
      </c>
      <c r="O47">
        <f t="shared" si="68"/>
        <v>2.9888368774026359</v>
      </c>
      <c r="Q47" t="s">
        <v>42</v>
      </c>
      <c r="R47" t="s">
        <v>43</v>
      </c>
      <c r="S47">
        <f t="shared" si="69"/>
        <v>18</v>
      </c>
      <c r="T47">
        <f t="shared" si="13"/>
        <v>37</v>
      </c>
      <c r="U47">
        <f t="shared" si="14"/>
        <v>0</v>
      </c>
      <c r="V47">
        <f t="shared" si="15"/>
        <v>0</v>
      </c>
      <c r="W47">
        <v>0.9</v>
      </c>
      <c r="X47">
        <v>2</v>
      </c>
      <c r="Y47">
        <f t="shared" si="16"/>
        <v>37.739860320701332</v>
      </c>
      <c r="Z47">
        <v>0.75</v>
      </c>
      <c r="AD47">
        <f t="shared" si="56"/>
        <v>3.4007223585342139E-2</v>
      </c>
      <c r="AK47">
        <f t="shared" si="57"/>
        <v>0.21447307251904243</v>
      </c>
      <c r="AL47">
        <f t="shared" si="58"/>
        <v>1.7144730725190425</v>
      </c>
      <c r="AM47">
        <v>-2.307229</v>
      </c>
      <c r="AN47">
        <v>0.5852366</v>
      </c>
      <c r="AO47">
        <v>0.201322</v>
      </c>
      <c r="AY47">
        <v>1.4274935</v>
      </c>
      <c r="AZ47">
        <v>-7.1050000000000002E-3</v>
      </c>
      <c r="BA47">
        <v>5.1415999999999996E-3</v>
      </c>
      <c r="BB47">
        <v>-1.4290590000000001</v>
      </c>
      <c r="BC47">
        <v>4.9200300000000002E-2</v>
      </c>
      <c r="BD47">
        <v>0.14513599999999999</v>
      </c>
      <c r="BE47">
        <v>2.0170299999999999E-2</v>
      </c>
      <c r="BF47">
        <v>-1.032025</v>
      </c>
      <c r="BH47">
        <f t="shared" si="59"/>
        <v>1</v>
      </c>
      <c r="BI47">
        <f t="shared" si="60"/>
        <v>0</v>
      </c>
      <c r="BJ47">
        <f t="shared" si="40"/>
        <v>1</v>
      </c>
      <c r="BM47">
        <f t="shared" si="43"/>
        <v>-0.70001772829745168</v>
      </c>
      <c r="BS47">
        <f t="shared" si="61"/>
        <v>-0.70001772829745168</v>
      </c>
      <c r="BT47">
        <f t="shared" si="62"/>
        <v>0</v>
      </c>
      <c r="BU47">
        <f t="shared" si="63"/>
        <v>0.13479469944695044</v>
      </c>
      <c r="BV47">
        <f t="shared" si="70"/>
        <v>1.1443018344350007</v>
      </c>
      <c r="BW47">
        <v>0.72299999999999998</v>
      </c>
      <c r="BX47">
        <v>0.3</v>
      </c>
    </row>
    <row r="48" spans="1:76" x14ac:dyDescent="0.25">
      <c r="A48">
        <v>25</v>
      </c>
      <c r="B48">
        <v>85</v>
      </c>
      <c r="C48" t="str">
        <f t="shared" si="48"/>
        <v>SSTens</v>
      </c>
      <c r="D48">
        <v>0.60960000000000003</v>
      </c>
      <c r="E48">
        <f t="shared" si="10"/>
        <v>609.6</v>
      </c>
      <c r="F48">
        <v>9.5299999999999985E-3</v>
      </c>
      <c r="G48">
        <f t="shared" si="11"/>
        <v>9.5299999999999994</v>
      </c>
      <c r="H48">
        <f t="shared" si="12"/>
        <v>63.966421825813235</v>
      </c>
      <c r="I48">
        <v>15</v>
      </c>
      <c r="J48" t="s">
        <v>34</v>
      </c>
      <c r="K48">
        <f t="shared" si="64"/>
        <v>8</v>
      </c>
      <c r="L48">
        <f t="shared" si="65"/>
        <v>10</v>
      </c>
      <c r="M48">
        <f t="shared" si="66"/>
        <v>359000</v>
      </c>
      <c r="N48">
        <f t="shared" si="67"/>
        <v>455000</v>
      </c>
      <c r="O48">
        <f t="shared" si="68"/>
        <v>1.9969902892117808</v>
      </c>
      <c r="Q48" t="s">
        <v>42</v>
      </c>
      <c r="R48" t="s">
        <v>44</v>
      </c>
      <c r="S48">
        <f t="shared" si="69"/>
        <v>18.5</v>
      </c>
      <c r="T48">
        <f t="shared" si="13"/>
        <v>40</v>
      </c>
      <c r="U48">
        <f t="shared" si="14"/>
        <v>0</v>
      </c>
      <c r="V48">
        <f t="shared" si="15"/>
        <v>0</v>
      </c>
      <c r="W48">
        <v>0.9</v>
      </c>
      <c r="X48">
        <v>1</v>
      </c>
      <c r="Y48">
        <f t="shared" si="16"/>
        <v>25.741129539100392</v>
      </c>
      <c r="Z48">
        <v>2.75</v>
      </c>
      <c r="AD48">
        <f t="shared" si="56"/>
        <v>2.3022068268715178E-2</v>
      </c>
      <c r="AK48">
        <f t="shared" si="57"/>
        <v>8.1563860325678486E-2</v>
      </c>
      <c r="AL48">
        <f t="shared" si="58"/>
        <v>1.0815638603256785</v>
      </c>
      <c r="AM48">
        <v>-2.307229</v>
      </c>
      <c r="AN48">
        <v>0.5852366</v>
      </c>
      <c r="AO48">
        <v>0.201322</v>
      </c>
      <c r="AY48">
        <v>1.4274935</v>
      </c>
      <c r="AZ48">
        <v>-7.1050000000000002E-3</v>
      </c>
      <c r="BA48">
        <v>5.1415999999999996E-3</v>
      </c>
      <c r="BB48">
        <v>-1.4290590000000001</v>
      </c>
      <c r="BC48">
        <v>4.9200300000000002E-2</v>
      </c>
      <c r="BD48">
        <v>0.14513599999999999</v>
      </c>
      <c r="BE48">
        <v>2.0170299999999999E-2</v>
      </c>
      <c r="BF48">
        <v>-1.032025</v>
      </c>
      <c r="BH48">
        <f t="shared" si="59"/>
        <v>0</v>
      </c>
      <c r="BI48">
        <f t="shared" si="60"/>
        <v>0</v>
      </c>
      <c r="BJ48">
        <f t="shared" si="40"/>
        <v>1</v>
      </c>
      <c r="BM48">
        <f t="shared" si="43"/>
        <v>0</v>
      </c>
      <c r="BS48">
        <f t="shared" si="61"/>
        <v>0</v>
      </c>
      <c r="BT48">
        <f t="shared" si="62"/>
        <v>0</v>
      </c>
      <c r="BU48">
        <f t="shared" si="63"/>
        <v>0.78030645715329561</v>
      </c>
      <c r="BV48">
        <f t="shared" si="70"/>
        <v>2.1821408957267043</v>
      </c>
      <c r="BW48">
        <v>0.72299999999999998</v>
      </c>
      <c r="BX48">
        <v>0.3</v>
      </c>
    </row>
    <row r="49" spans="1:76" x14ac:dyDescent="0.25">
      <c r="A49">
        <v>26</v>
      </c>
      <c r="B49">
        <v>85</v>
      </c>
      <c r="C49" t="str">
        <f t="shared" si="48"/>
        <v>SSTens</v>
      </c>
      <c r="D49">
        <v>0.76200000000000001</v>
      </c>
      <c r="E49">
        <f t="shared" si="10"/>
        <v>762</v>
      </c>
      <c r="F49">
        <v>1.2699999999999999E-2</v>
      </c>
      <c r="G49">
        <f t="shared" si="11"/>
        <v>12.7</v>
      </c>
      <c r="H49">
        <f t="shared" si="12"/>
        <v>60</v>
      </c>
      <c r="I49">
        <v>30</v>
      </c>
      <c r="J49" t="s">
        <v>37</v>
      </c>
      <c r="K49">
        <f t="shared" si="64"/>
        <v>8</v>
      </c>
      <c r="L49">
        <f t="shared" si="65"/>
        <v>12</v>
      </c>
      <c r="M49">
        <f t="shared" si="66"/>
        <v>414000</v>
      </c>
      <c r="N49">
        <f t="shared" si="67"/>
        <v>517000</v>
      </c>
      <c r="O49">
        <f t="shared" si="68"/>
        <v>2.5466769467238102</v>
      </c>
      <c r="Q49" t="s">
        <v>42</v>
      </c>
      <c r="R49" t="s">
        <v>44</v>
      </c>
      <c r="S49">
        <f t="shared" si="69"/>
        <v>18.5</v>
      </c>
      <c r="T49">
        <f t="shared" si="13"/>
        <v>40</v>
      </c>
      <c r="U49">
        <f t="shared" si="14"/>
        <v>0</v>
      </c>
      <c r="V49">
        <f t="shared" si="15"/>
        <v>0</v>
      </c>
      <c r="W49">
        <v>0.9</v>
      </c>
      <c r="X49">
        <v>2</v>
      </c>
      <c r="Y49">
        <f t="shared" si="16"/>
        <v>64.352823847750969</v>
      </c>
      <c r="Z49">
        <v>3.5</v>
      </c>
      <c r="AD49">
        <f t="shared" si="56"/>
        <v>5.5061025879364095E-2</v>
      </c>
      <c r="AK49">
        <f t="shared" si="57"/>
        <v>0.24733311166742666</v>
      </c>
      <c r="AL49">
        <f t="shared" si="58"/>
        <v>1.2473331116674267</v>
      </c>
      <c r="AM49">
        <v>-2.307229</v>
      </c>
      <c r="AN49">
        <v>0.5852366</v>
      </c>
      <c r="AO49">
        <v>0.201322</v>
      </c>
      <c r="AY49">
        <v>1.4274935</v>
      </c>
      <c r="AZ49">
        <v>-7.1050000000000002E-3</v>
      </c>
      <c r="BA49">
        <v>5.1415999999999996E-3</v>
      </c>
      <c r="BB49">
        <v>-1.4290590000000001</v>
      </c>
      <c r="BC49">
        <v>4.9200300000000002E-2</v>
      </c>
      <c r="BD49">
        <v>0.14513599999999999</v>
      </c>
      <c r="BE49">
        <v>2.0170299999999999E-2</v>
      </c>
      <c r="BF49">
        <v>-1.032025</v>
      </c>
      <c r="BH49">
        <f t="shared" si="59"/>
        <v>0</v>
      </c>
      <c r="BI49">
        <f t="shared" si="60"/>
        <v>1</v>
      </c>
      <c r="BJ49">
        <f t="shared" si="40"/>
        <v>1</v>
      </c>
      <c r="BM49">
        <f t="shared" si="43"/>
        <v>3.440732629929924E-2</v>
      </c>
      <c r="BS49">
        <f t="shared" si="61"/>
        <v>0</v>
      </c>
      <c r="BT49">
        <f t="shared" si="62"/>
        <v>3.440732629929924E-2</v>
      </c>
      <c r="BU49">
        <f t="shared" si="63"/>
        <v>1.0477384074527265</v>
      </c>
      <c r="BV49">
        <f t="shared" si="70"/>
        <v>2.8511955782437828</v>
      </c>
      <c r="BW49">
        <v>0.72299999999999998</v>
      </c>
      <c r="BX49">
        <v>0.3</v>
      </c>
    </row>
    <row r="50" spans="1:76" x14ac:dyDescent="0.25">
      <c r="A50">
        <v>27</v>
      </c>
      <c r="B50">
        <v>89</v>
      </c>
      <c r="C50" t="str">
        <f t="shared" si="48"/>
        <v>SSTens</v>
      </c>
      <c r="D50">
        <v>0.86360000000000003</v>
      </c>
      <c r="E50">
        <f t="shared" si="10"/>
        <v>863.6</v>
      </c>
      <c r="F50">
        <v>1.1130000000000001E-2</v>
      </c>
      <c r="G50">
        <f t="shared" si="11"/>
        <v>11.13</v>
      </c>
      <c r="H50">
        <f t="shared" si="12"/>
        <v>77.592093441150041</v>
      </c>
      <c r="I50">
        <v>50</v>
      </c>
      <c r="J50" t="s">
        <v>39</v>
      </c>
      <c r="K50">
        <f t="shared" si="64"/>
        <v>14</v>
      </c>
      <c r="L50">
        <f t="shared" si="65"/>
        <v>15</v>
      </c>
      <c r="M50">
        <f t="shared" si="66"/>
        <v>483000</v>
      </c>
      <c r="N50">
        <f t="shared" si="67"/>
        <v>565000</v>
      </c>
      <c r="O50">
        <f t="shared" si="68"/>
        <v>2.8799444073326219</v>
      </c>
      <c r="Q50" t="s">
        <v>42</v>
      </c>
      <c r="R50" t="s">
        <v>44</v>
      </c>
      <c r="S50">
        <f t="shared" si="69"/>
        <v>18.5</v>
      </c>
      <c r="T50">
        <f t="shared" si="13"/>
        <v>40</v>
      </c>
      <c r="U50">
        <f t="shared" si="14"/>
        <v>0</v>
      </c>
      <c r="V50">
        <f t="shared" si="15"/>
        <v>0</v>
      </c>
      <c r="W50">
        <v>0.9</v>
      </c>
      <c r="X50">
        <v>1</v>
      </c>
      <c r="Y50">
        <f t="shared" si="16"/>
        <v>36.46660018039222</v>
      </c>
      <c r="Z50">
        <v>1.5</v>
      </c>
      <c r="AD50">
        <f t="shared" si="56"/>
        <v>3.2859347057707114E-2</v>
      </c>
      <c r="AK50">
        <f t="shared" si="57"/>
        <v>0.19145887314252977</v>
      </c>
      <c r="AL50">
        <f t="shared" si="58"/>
        <v>1.1914588731425297</v>
      </c>
      <c r="AM50">
        <v>-2.307229</v>
      </c>
      <c r="AN50">
        <v>0.5852366</v>
      </c>
      <c r="AO50">
        <v>0.201322</v>
      </c>
      <c r="AY50">
        <v>1.4274935</v>
      </c>
      <c r="AZ50">
        <v>-7.1050000000000002E-3</v>
      </c>
      <c r="BA50">
        <v>5.1415999999999996E-3</v>
      </c>
      <c r="BB50">
        <v>-1.4290590000000001</v>
      </c>
      <c r="BC50">
        <v>4.9200300000000002E-2</v>
      </c>
      <c r="BD50">
        <v>0.14513599999999999</v>
      </c>
      <c r="BE50">
        <v>2.0170299999999999E-2</v>
      </c>
      <c r="BF50">
        <v>-1.032025</v>
      </c>
      <c r="BH50">
        <f t="shared" si="59"/>
        <v>0</v>
      </c>
      <c r="BI50">
        <f t="shared" si="60"/>
        <v>0</v>
      </c>
      <c r="BJ50">
        <f t="shared" si="40"/>
        <v>1</v>
      </c>
      <c r="BM50">
        <f t="shared" si="43"/>
        <v>0</v>
      </c>
      <c r="BS50">
        <f t="shared" si="61"/>
        <v>0</v>
      </c>
      <c r="BT50">
        <f t="shared" si="62"/>
        <v>0</v>
      </c>
      <c r="BU50">
        <f t="shared" si="63"/>
        <v>0.963441685919739</v>
      </c>
      <c r="BV50">
        <f t="shared" si="70"/>
        <v>2.6207005981990892</v>
      </c>
      <c r="BW50">
        <v>0.72299999999999998</v>
      </c>
      <c r="BX50">
        <v>0.3</v>
      </c>
    </row>
    <row r="51" spans="1:76" x14ac:dyDescent="0.25">
      <c r="A51">
        <v>28</v>
      </c>
      <c r="B51">
        <v>89</v>
      </c>
      <c r="C51" t="str">
        <f t="shared" si="48"/>
        <v>SSTens</v>
      </c>
      <c r="D51">
        <v>1.0668</v>
      </c>
      <c r="E51">
        <f t="shared" si="10"/>
        <v>1066.8</v>
      </c>
      <c r="F51">
        <v>1.2699999999999999E-2</v>
      </c>
      <c r="G51">
        <f t="shared" si="11"/>
        <v>12.7</v>
      </c>
      <c r="H51">
        <f t="shared" si="12"/>
        <v>84</v>
      </c>
      <c r="I51">
        <v>100</v>
      </c>
      <c r="J51" t="s">
        <v>41</v>
      </c>
      <c r="K51">
        <f t="shared" si="64"/>
        <v>15</v>
      </c>
      <c r="L51">
        <f t="shared" si="65"/>
        <v>20</v>
      </c>
      <c r="M51">
        <f t="shared" si="66"/>
        <v>552000</v>
      </c>
      <c r="N51">
        <f t="shared" si="67"/>
        <v>625000</v>
      </c>
      <c r="O51">
        <f t="shared" si="68"/>
        <v>2.9888368774026359</v>
      </c>
      <c r="Q51" t="s">
        <v>42</v>
      </c>
      <c r="R51" t="s">
        <v>45</v>
      </c>
      <c r="S51">
        <f t="shared" si="69"/>
        <v>19</v>
      </c>
      <c r="T51">
        <f t="shared" si="13"/>
        <v>43</v>
      </c>
      <c r="U51">
        <f t="shared" si="14"/>
        <v>0</v>
      </c>
      <c r="V51">
        <f t="shared" si="15"/>
        <v>0</v>
      </c>
      <c r="W51">
        <v>0.9</v>
      </c>
      <c r="X51">
        <v>2</v>
      </c>
      <c r="Y51">
        <f t="shared" si="16"/>
        <v>102.03070645435936</v>
      </c>
      <c r="Z51">
        <v>1.5</v>
      </c>
      <c r="AD51">
        <f t="shared" si="56"/>
        <v>8.6082808953605136E-2</v>
      </c>
      <c r="AK51">
        <f t="shared" si="57"/>
        <v>0.46595416078021362</v>
      </c>
      <c r="AL51">
        <f t="shared" si="58"/>
        <v>1.9659541607802136</v>
      </c>
      <c r="AM51">
        <v>-2.307229</v>
      </c>
      <c r="AN51">
        <v>0.5852366</v>
      </c>
      <c r="AO51">
        <v>0.201322</v>
      </c>
      <c r="AY51">
        <v>1.4274935</v>
      </c>
      <c r="AZ51">
        <v>-7.1050000000000002E-3</v>
      </c>
      <c r="BA51">
        <v>5.1415999999999996E-3</v>
      </c>
      <c r="BB51">
        <v>-1.4290590000000001</v>
      </c>
      <c r="BC51">
        <v>4.9200300000000002E-2</v>
      </c>
      <c r="BD51">
        <v>0.14513599999999999</v>
      </c>
      <c r="BE51">
        <v>2.0170299999999999E-2</v>
      </c>
      <c r="BF51">
        <v>-1.032025</v>
      </c>
      <c r="BH51">
        <f t="shared" si="59"/>
        <v>1</v>
      </c>
      <c r="BI51">
        <f t="shared" si="60"/>
        <v>0</v>
      </c>
      <c r="BJ51">
        <f t="shared" si="40"/>
        <v>1</v>
      </c>
      <c r="BM51">
        <f t="shared" si="43"/>
        <v>-6.8622394401109219E-2</v>
      </c>
      <c r="BS51">
        <f t="shared" si="61"/>
        <v>-6.8622394401109219E-2</v>
      </c>
      <c r="BT51">
        <f t="shared" si="62"/>
        <v>0</v>
      </c>
      <c r="BU51">
        <f t="shared" si="63"/>
        <v>1.1140829412852633</v>
      </c>
      <c r="BV51">
        <f t="shared" si="70"/>
        <v>3.0467728280542432</v>
      </c>
      <c r="BW51">
        <v>0.72299999999999998</v>
      </c>
      <c r="BX51">
        <v>0.3</v>
      </c>
    </row>
    <row r="52" spans="1:76" x14ac:dyDescent="0.25">
      <c r="A52">
        <v>29</v>
      </c>
      <c r="B52">
        <v>88</v>
      </c>
      <c r="C52" t="str">
        <f t="shared" si="48"/>
        <v>SSTens</v>
      </c>
      <c r="D52">
        <v>0.60960000000000003</v>
      </c>
      <c r="E52">
        <f t="shared" si="10"/>
        <v>609.6</v>
      </c>
      <c r="F52">
        <v>1.1130000000000001E-2</v>
      </c>
      <c r="G52">
        <f t="shared" si="11"/>
        <v>11.13</v>
      </c>
      <c r="H52">
        <f t="shared" si="12"/>
        <v>54.770889487870619</v>
      </c>
      <c r="I52">
        <v>150</v>
      </c>
      <c r="J52" t="s">
        <v>64</v>
      </c>
      <c r="K52">
        <f t="shared" si="64"/>
        <v>3</v>
      </c>
      <c r="L52">
        <f t="shared" si="65"/>
        <v>9</v>
      </c>
      <c r="M52">
        <f t="shared" si="66"/>
        <v>290000</v>
      </c>
      <c r="N52">
        <f t="shared" si="67"/>
        <v>414000</v>
      </c>
      <c r="O52">
        <f t="shared" si="68"/>
        <v>1.7363704307629526</v>
      </c>
      <c r="Q52" t="s">
        <v>42</v>
      </c>
      <c r="R52" t="s">
        <v>45</v>
      </c>
      <c r="S52">
        <f t="shared" si="69"/>
        <v>19</v>
      </c>
      <c r="T52">
        <f t="shared" si="13"/>
        <v>43</v>
      </c>
      <c r="U52">
        <f t="shared" si="14"/>
        <v>0</v>
      </c>
      <c r="V52">
        <f t="shared" si="15"/>
        <v>0</v>
      </c>
      <c r="W52">
        <v>0.9</v>
      </c>
      <c r="X52">
        <v>1</v>
      </c>
      <c r="Y52">
        <f t="shared" si="16"/>
        <v>29.151630415531248</v>
      </c>
      <c r="Z52">
        <v>1.5</v>
      </c>
      <c r="AD52">
        <f t="shared" si="56"/>
        <v>2.5345463138869703E-2</v>
      </c>
      <c r="AK52">
        <f t="shared" si="57"/>
        <v>0.20709526914689702</v>
      </c>
      <c r="AL52">
        <f t="shared" si="58"/>
        <v>1.707095269146897</v>
      </c>
      <c r="AM52">
        <v>-2.307229</v>
      </c>
      <c r="AN52">
        <v>0.5852366</v>
      </c>
      <c r="AO52">
        <v>0.201322</v>
      </c>
      <c r="AY52">
        <v>1.4274935</v>
      </c>
      <c r="AZ52">
        <v>-7.1050000000000002E-3</v>
      </c>
      <c r="BA52">
        <v>5.1415999999999996E-3</v>
      </c>
      <c r="BB52">
        <v>-1.4290590000000001</v>
      </c>
      <c r="BC52">
        <v>4.9200300000000002E-2</v>
      </c>
      <c r="BD52">
        <v>0.14513599999999999</v>
      </c>
      <c r="BE52">
        <v>2.0170299999999999E-2</v>
      </c>
      <c r="BF52">
        <v>-1.032025</v>
      </c>
      <c r="BH52">
        <f t="shared" si="59"/>
        <v>0</v>
      </c>
      <c r="BI52">
        <f t="shared" si="60"/>
        <v>0</v>
      </c>
      <c r="BJ52">
        <f t="shared" si="40"/>
        <v>1</v>
      </c>
      <c r="BM52">
        <f t="shared" si="43"/>
        <v>0</v>
      </c>
      <c r="BS52">
        <f t="shared" si="61"/>
        <v>0</v>
      </c>
      <c r="BT52">
        <f t="shared" si="62"/>
        <v>0</v>
      </c>
      <c r="BU52">
        <f t="shared" si="63"/>
        <v>0.71452669621160059</v>
      </c>
      <c r="BV52">
        <f t="shared" si="70"/>
        <v>2.0432193898872777</v>
      </c>
      <c r="BW52">
        <v>0.72299999999999998</v>
      </c>
      <c r="BX52">
        <v>0.3</v>
      </c>
    </row>
    <row r="53" spans="1:76" x14ac:dyDescent="0.25">
      <c r="A53">
        <v>30</v>
      </c>
      <c r="B53">
        <v>89</v>
      </c>
      <c r="C53" t="str">
        <f t="shared" si="48"/>
        <v>SSTens</v>
      </c>
      <c r="D53">
        <v>0.60960000000000003</v>
      </c>
      <c r="E53">
        <f t="shared" si="10"/>
        <v>609.6</v>
      </c>
      <c r="F53">
        <v>1.1130000000000001E-2</v>
      </c>
      <c r="G53">
        <f t="shared" si="11"/>
        <v>11.13</v>
      </c>
      <c r="H53">
        <f t="shared" si="12"/>
        <v>54.770889487870619</v>
      </c>
      <c r="I53">
        <v>200</v>
      </c>
      <c r="J53" t="s">
        <v>65</v>
      </c>
      <c r="K53">
        <f t="shared" si="64"/>
        <v>3</v>
      </c>
      <c r="L53">
        <f t="shared" si="65"/>
        <v>8</v>
      </c>
      <c r="M53">
        <f t="shared" si="66"/>
        <v>241000</v>
      </c>
      <c r="N53">
        <f t="shared" si="67"/>
        <v>344000</v>
      </c>
      <c r="O53">
        <f t="shared" si="68"/>
        <v>1.1599577949833839</v>
      </c>
      <c r="Q53" t="s">
        <v>42</v>
      </c>
      <c r="R53" t="s">
        <v>45</v>
      </c>
      <c r="S53">
        <f t="shared" si="69"/>
        <v>19</v>
      </c>
      <c r="T53">
        <f t="shared" si="13"/>
        <v>43</v>
      </c>
      <c r="U53">
        <f t="shared" si="14"/>
        <v>0</v>
      </c>
      <c r="V53">
        <f t="shared" si="15"/>
        <v>0</v>
      </c>
      <c r="W53">
        <v>0.9</v>
      </c>
      <c r="X53">
        <v>2</v>
      </c>
      <c r="Y53">
        <f t="shared" si="16"/>
        <v>58.303260831062495</v>
      </c>
      <c r="Z53">
        <v>2.75</v>
      </c>
      <c r="AD53">
        <f t="shared" si="56"/>
        <v>4.7691565842539682E-2</v>
      </c>
      <c r="AK53">
        <f t="shared" si="57"/>
        <v>0.31151836593386051</v>
      </c>
      <c r="AL53">
        <f t="shared" si="58"/>
        <v>1.8115183659338605</v>
      </c>
      <c r="AM53">
        <v>-2.307229</v>
      </c>
      <c r="AN53">
        <v>0.5852366</v>
      </c>
      <c r="AO53">
        <v>0.201322</v>
      </c>
      <c r="AY53">
        <v>1.4274935</v>
      </c>
      <c r="AZ53">
        <v>-7.1050000000000002E-3</v>
      </c>
      <c r="BA53">
        <v>5.1415999999999996E-3</v>
      </c>
      <c r="BB53">
        <v>-1.4290590000000001</v>
      </c>
      <c r="BC53">
        <v>4.9200300000000002E-2</v>
      </c>
      <c r="BD53">
        <v>0.14513599999999999</v>
      </c>
      <c r="BE53">
        <v>2.0170299999999999E-2</v>
      </c>
      <c r="BF53">
        <v>-1.032025</v>
      </c>
      <c r="BH53">
        <f t="shared" si="59"/>
        <v>0</v>
      </c>
      <c r="BI53">
        <f t="shared" si="60"/>
        <v>0</v>
      </c>
      <c r="BJ53">
        <f t="shared" si="40"/>
        <v>1</v>
      </c>
      <c r="BM53">
        <f t="shared" si="43"/>
        <v>0</v>
      </c>
      <c r="BS53">
        <f t="shared" si="61"/>
        <v>0</v>
      </c>
      <c r="BT53">
        <f t="shared" si="62"/>
        <v>0</v>
      </c>
      <c r="BU53">
        <f t="shared" si="63"/>
        <v>0.85407247289628985</v>
      </c>
      <c r="BV53">
        <f t="shared" si="70"/>
        <v>2.3491944282446702</v>
      </c>
      <c r="BW53">
        <v>0.72299999999999998</v>
      </c>
      <c r="BX53">
        <v>0.3</v>
      </c>
    </row>
    <row r="54" spans="1:76" x14ac:dyDescent="0.25">
      <c r="A54">
        <v>31</v>
      </c>
      <c r="B54">
        <v>85</v>
      </c>
      <c r="C54" t="str">
        <f t="shared" si="48"/>
        <v>SSTens</v>
      </c>
      <c r="D54">
        <v>0.20319999999999999</v>
      </c>
      <c r="E54">
        <f t="shared" si="10"/>
        <v>203.2</v>
      </c>
      <c r="F54">
        <v>5.5599999999999998E-3</v>
      </c>
      <c r="G54">
        <f t="shared" si="11"/>
        <v>5.56</v>
      </c>
      <c r="H54">
        <f t="shared" si="12"/>
        <v>36.546762589928058</v>
      </c>
      <c r="I54">
        <v>15</v>
      </c>
      <c r="J54" t="s">
        <v>34</v>
      </c>
      <c r="K54">
        <f t="shared" si="64"/>
        <v>8</v>
      </c>
      <c r="L54">
        <f t="shared" si="65"/>
        <v>10</v>
      </c>
      <c r="M54">
        <f t="shared" si="66"/>
        <v>359000</v>
      </c>
      <c r="N54">
        <f t="shared" si="67"/>
        <v>455000</v>
      </c>
      <c r="O54">
        <f t="shared" si="68"/>
        <v>1.9969902892117808</v>
      </c>
      <c r="Q54" t="s">
        <v>35</v>
      </c>
      <c r="R54" t="s">
        <v>36</v>
      </c>
      <c r="S54">
        <f t="shared" si="69"/>
        <v>17.5</v>
      </c>
      <c r="T54">
        <f t="shared" si="13"/>
        <v>0</v>
      </c>
      <c r="U54">
        <f t="shared" si="14"/>
        <v>37.5</v>
      </c>
      <c r="V54">
        <f t="shared" si="15"/>
        <v>1.1000000000000001</v>
      </c>
      <c r="W54">
        <v>0.9</v>
      </c>
      <c r="X54">
        <v>0</v>
      </c>
      <c r="Y54">
        <f t="shared" si="16"/>
        <v>26.332829622389642</v>
      </c>
      <c r="Z54">
        <v>0.75</v>
      </c>
      <c r="AD54">
        <f t="shared" si="56"/>
        <v>2.350134533617947E-2</v>
      </c>
      <c r="AK54">
        <f t="shared" si="57"/>
        <v>7.0401619555061065E-2</v>
      </c>
      <c r="AL54">
        <f t="shared" si="58"/>
        <v>1.070401619555061</v>
      </c>
      <c r="AM54">
        <v>-2.307229</v>
      </c>
      <c r="AN54">
        <v>0.5852366</v>
      </c>
      <c r="AO54">
        <v>0.201322</v>
      </c>
      <c r="AY54">
        <v>1.4274935</v>
      </c>
      <c r="AZ54">
        <v>-7.1050000000000002E-3</v>
      </c>
      <c r="BA54">
        <v>5.1415999999999996E-3</v>
      </c>
      <c r="BB54">
        <v>-1.4290590000000001</v>
      </c>
      <c r="BC54">
        <v>4.9200300000000002E-2</v>
      </c>
      <c r="BD54">
        <v>0.14513599999999999</v>
      </c>
      <c r="BE54">
        <v>2.0170299999999999E-2</v>
      </c>
      <c r="BF54">
        <v>-1.032025</v>
      </c>
      <c r="BH54">
        <f t="shared" si="59"/>
        <v>1</v>
      </c>
      <c r="BI54">
        <f t="shared" si="60"/>
        <v>0</v>
      </c>
      <c r="BJ54">
        <f t="shared" si="40"/>
        <v>0</v>
      </c>
      <c r="BM54">
        <f t="shared" si="43"/>
        <v>-0.51145365159113909</v>
      </c>
      <c r="BS54">
        <f t="shared" si="61"/>
        <v>-0.51145365159113909</v>
      </c>
      <c r="BT54">
        <f t="shared" si="62"/>
        <v>0</v>
      </c>
      <c r="BU54">
        <f t="shared" si="63"/>
        <v>-0.58479113632895929</v>
      </c>
      <c r="BV54">
        <f t="shared" si="70"/>
        <v>0.55722223314007857</v>
      </c>
      <c r="BW54">
        <v>0.72299999999999998</v>
      </c>
      <c r="BX54">
        <v>0.3</v>
      </c>
    </row>
    <row r="55" spans="1:76" x14ac:dyDescent="0.25">
      <c r="A55">
        <v>32</v>
      </c>
      <c r="B55">
        <v>89</v>
      </c>
      <c r="C55" t="str">
        <f t="shared" si="48"/>
        <v>SSTens</v>
      </c>
      <c r="D55">
        <v>0.30480000000000002</v>
      </c>
      <c r="E55">
        <f t="shared" si="10"/>
        <v>304.8</v>
      </c>
      <c r="F55">
        <v>7.1399999999999996E-3</v>
      </c>
      <c r="G55">
        <f t="shared" si="11"/>
        <v>7.14</v>
      </c>
      <c r="H55">
        <f t="shared" si="12"/>
        <v>42.689075630252105</v>
      </c>
      <c r="I55">
        <v>30</v>
      </c>
      <c r="J55" t="s">
        <v>37</v>
      </c>
      <c r="K55">
        <f t="shared" si="64"/>
        <v>8</v>
      </c>
      <c r="L55">
        <f t="shared" si="65"/>
        <v>12</v>
      </c>
      <c r="M55">
        <f t="shared" si="66"/>
        <v>414000</v>
      </c>
      <c r="N55">
        <f t="shared" si="67"/>
        <v>517000</v>
      </c>
      <c r="O55">
        <f t="shared" si="68"/>
        <v>2.5466769467238102</v>
      </c>
      <c r="Q55" t="s">
        <v>35</v>
      </c>
      <c r="R55" t="s">
        <v>36</v>
      </c>
      <c r="S55">
        <f t="shared" si="69"/>
        <v>17.5</v>
      </c>
      <c r="T55">
        <f t="shared" si="13"/>
        <v>0</v>
      </c>
      <c r="U55">
        <f t="shared" si="14"/>
        <v>37.5</v>
      </c>
      <c r="V55">
        <f t="shared" si="15"/>
        <v>1.1000000000000001</v>
      </c>
      <c r="W55">
        <v>0.9</v>
      </c>
      <c r="X55">
        <v>0</v>
      </c>
      <c r="Y55">
        <f t="shared" si="16"/>
        <v>39.499244433584465</v>
      </c>
      <c r="Z55">
        <v>0.75</v>
      </c>
      <c r="AD55">
        <f t="shared" si="56"/>
        <v>3.4929626553889231E-2</v>
      </c>
      <c r="AK55">
        <f t="shared" si="57"/>
        <v>0.15301812852026347</v>
      </c>
      <c r="AL55">
        <f t="shared" si="58"/>
        <v>1.1530181285202634</v>
      </c>
      <c r="AM55">
        <v>-2.307229</v>
      </c>
      <c r="AN55">
        <v>0.5852366</v>
      </c>
      <c r="AO55">
        <v>0.201322</v>
      </c>
      <c r="AY55">
        <v>1.4274935</v>
      </c>
      <c r="AZ55">
        <v>-7.1050000000000002E-3</v>
      </c>
      <c r="BA55">
        <v>5.1415999999999996E-3</v>
      </c>
      <c r="BB55">
        <v>-1.4290590000000001</v>
      </c>
      <c r="BC55">
        <v>4.9200300000000002E-2</v>
      </c>
      <c r="BD55">
        <v>0.14513599999999999</v>
      </c>
      <c r="BE55">
        <v>2.0170299999999999E-2</v>
      </c>
      <c r="BF55">
        <v>-1.032025</v>
      </c>
      <c r="BH55">
        <f t="shared" si="59"/>
        <v>1</v>
      </c>
      <c r="BI55">
        <f t="shared" si="60"/>
        <v>0</v>
      </c>
      <c r="BJ55">
        <f t="shared" si="40"/>
        <v>0</v>
      </c>
      <c r="BM55">
        <f t="shared" si="43"/>
        <v>-0.60214698226649055</v>
      </c>
      <c r="BS55">
        <f t="shared" si="61"/>
        <v>-0.60214698226649055</v>
      </c>
      <c r="BT55">
        <f t="shared" si="62"/>
        <v>0</v>
      </c>
      <c r="BU55">
        <f t="shared" si="63"/>
        <v>-0.56189437101015471</v>
      </c>
      <c r="BV55">
        <f t="shared" si="70"/>
        <v>0.57012800624291049</v>
      </c>
      <c r="BW55">
        <v>0.72299999999999998</v>
      </c>
      <c r="BX55">
        <v>0.3</v>
      </c>
    </row>
    <row r="56" spans="1:76" x14ac:dyDescent="0.25">
      <c r="A56">
        <v>33</v>
      </c>
      <c r="B56">
        <v>87</v>
      </c>
      <c r="C56" t="str">
        <f t="shared" si="48"/>
        <v>SSTens</v>
      </c>
      <c r="D56">
        <v>0.40639999999999998</v>
      </c>
      <c r="E56">
        <f t="shared" si="10"/>
        <v>406.4</v>
      </c>
      <c r="F56">
        <v>9.5299999999999985E-3</v>
      </c>
      <c r="G56">
        <f t="shared" si="11"/>
        <v>9.5299999999999994</v>
      </c>
      <c r="H56">
        <f t="shared" si="12"/>
        <v>42.644281217208821</v>
      </c>
      <c r="I56">
        <v>50</v>
      </c>
      <c r="J56" t="s">
        <v>39</v>
      </c>
      <c r="K56">
        <f t="shared" si="64"/>
        <v>14</v>
      </c>
      <c r="L56">
        <f t="shared" si="65"/>
        <v>15</v>
      </c>
      <c r="M56">
        <f t="shared" si="66"/>
        <v>483000</v>
      </c>
      <c r="N56">
        <f t="shared" si="67"/>
        <v>565000</v>
      </c>
      <c r="O56">
        <f t="shared" si="68"/>
        <v>2.8799444073326219</v>
      </c>
      <c r="Q56" t="s">
        <v>35</v>
      </c>
      <c r="R56" t="s">
        <v>36</v>
      </c>
      <c r="S56">
        <f t="shared" si="69"/>
        <v>17.5</v>
      </c>
      <c r="T56">
        <f t="shared" si="13"/>
        <v>0</v>
      </c>
      <c r="U56">
        <f t="shared" si="14"/>
        <v>37.5</v>
      </c>
      <c r="V56">
        <f t="shared" si="15"/>
        <v>1.1000000000000001</v>
      </c>
      <c r="W56">
        <v>0.9</v>
      </c>
      <c r="X56">
        <v>0</v>
      </c>
      <c r="Y56">
        <f t="shared" si="16"/>
        <v>52.665659244779285</v>
      </c>
      <c r="Z56">
        <v>0.75</v>
      </c>
      <c r="AD56">
        <f t="shared" si="56"/>
        <v>4.5980584899860635E-2</v>
      </c>
      <c r="AK56">
        <f t="shared" si="57"/>
        <v>0.22103278039106702</v>
      </c>
      <c r="AL56">
        <f t="shared" si="58"/>
        <v>1.221032780391067</v>
      </c>
      <c r="AM56">
        <v>-2.307229</v>
      </c>
      <c r="AN56">
        <v>0.5852366</v>
      </c>
      <c r="AO56">
        <v>0.201322</v>
      </c>
      <c r="AY56">
        <v>1.4274935</v>
      </c>
      <c r="AZ56">
        <v>-7.1050000000000002E-3</v>
      </c>
      <c r="BA56">
        <v>5.1415999999999996E-3</v>
      </c>
      <c r="BB56">
        <v>-1.4290590000000001</v>
      </c>
      <c r="BC56">
        <v>4.9200300000000002E-2</v>
      </c>
      <c r="BD56">
        <v>0.14513599999999999</v>
      </c>
      <c r="BE56">
        <v>2.0170299999999999E-2</v>
      </c>
      <c r="BF56">
        <v>-1.032025</v>
      </c>
      <c r="BH56">
        <f t="shared" si="59"/>
        <v>1</v>
      </c>
      <c r="BI56">
        <f t="shared" si="60"/>
        <v>0</v>
      </c>
      <c r="BJ56">
        <f t="shared" si="40"/>
        <v>0</v>
      </c>
      <c r="BM56">
        <f t="shared" si="43"/>
        <v>-0.6473721201748025</v>
      </c>
      <c r="BS56">
        <f t="shared" si="61"/>
        <v>-0.6473721201748025</v>
      </c>
      <c r="BT56">
        <f t="shared" si="62"/>
        <v>0</v>
      </c>
      <c r="BU56">
        <f t="shared" si="63"/>
        <v>-0.59642764612512122</v>
      </c>
      <c r="BV56">
        <f t="shared" si="70"/>
        <v>0.55077569153060479</v>
      </c>
      <c r="BW56">
        <v>0.72299999999999998</v>
      </c>
      <c r="BX56">
        <v>0.3</v>
      </c>
    </row>
    <row r="57" spans="1:76" x14ac:dyDescent="0.25">
      <c r="A57">
        <v>34</v>
      </c>
      <c r="B57">
        <v>85</v>
      </c>
      <c r="C57" t="str">
        <f t="shared" si="48"/>
        <v>SSTens</v>
      </c>
      <c r="D57">
        <v>0.50800000000000001</v>
      </c>
      <c r="E57">
        <f t="shared" si="10"/>
        <v>508</v>
      </c>
      <c r="F57">
        <v>1.1130000000000001E-2</v>
      </c>
      <c r="G57">
        <f t="shared" si="11"/>
        <v>11.13</v>
      </c>
      <c r="H57">
        <f t="shared" si="12"/>
        <v>45.642407906558844</v>
      </c>
      <c r="I57">
        <v>100</v>
      </c>
      <c r="J57" t="s">
        <v>41</v>
      </c>
      <c r="K57">
        <f t="shared" si="64"/>
        <v>15</v>
      </c>
      <c r="L57">
        <f t="shared" si="65"/>
        <v>20</v>
      </c>
      <c r="M57">
        <f t="shared" si="66"/>
        <v>552000</v>
      </c>
      <c r="N57">
        <f t="shared" si="67"/>
        <v>625000</v>
      </c>
      <c r="O57">
        <f t="shared" si="68"/>
        <v>2.9888368774026359</v>
      </c>
      <c r="Q57" t="s">
        <v>35</v>
      </c>
      <c r="R57" t="s">
        <v>36</v>
      </c>
      <c r="S57">
        <f t="shared" si="69"/>
        <v>17.5</v>
      </c>
      <c r="T57">
        <f t="shared" si="13"/>
        <v>0</v>
      </c>
      <c r="U57">
        <f t="shared" si="14"/>
        <v>37.5</v>
      </c>
      <c r="V57">
        <f t="shared" si="15"/>
        <v>1.1000000000000001</v>
      </c>
      <c r="W57">
        <v>0.9</v>
      </c>
      <c r="X57">
        <v>0</v>
      </c>
      <c r="Y57">
        <f t="shared" si="16"/>
        <v>65.832074055974104</v>
      </c>
      <c r="Z57">
        <v>0.75</v>
      </c>
      <c r="AD57">
        <f t="shared" si="56"/>
        <v>5.6761916710913081E-2</v>
      </c>
      <c r="AK57">
        <f t="shared" si="57"/>
        <v>0.30141505236031529</v>
      </c>
      <c r="AL57">
        <f t="shared" si="58"/>
        <v>1.8014150523603152</v>
      </c>
      <c r="AM57">
        <v>-2.307229</v>
      </c>
      <c r="AN57">
        <v>0.5852366</v>
      </c>
      <c r="AO57">
        <v>0.201322</v>
      </c>
      <c r="AY57">
        <v>1.4274935</v>
      </c>
      <c r="AZ57">
        <v>-7.1050000000000002E-3</v>
      </c>
      <c r="BA57">
        <v>5.1415999999999996E-3</v>
      </c>
      <c r="BB57">
        <v>-1.4290590000000001</v>
      </c>
      <c r="BC57">
        <v>4.9200300000000002E-2</v>
      </c>
      <c r="BD57">
        <v>0.14513599999999999</v>
      </c>
      <c r="BE57">
        <v>2.0170299999999999E-2</v>
      </c>
      <c r="BF57">
        <v>-1.032025</v>
      </c>
      <c r="BH57">
        <f t="shared" si="59"/>
        <v>1</v>
      </c>
      <c r="BI57">
        <f t="shared" si="60"/>
        <v>0</v>
      </c>
      <c r="BJ57">
        <f t="shared" si="40"/>
        <v>0</v>
      </c>
      <c r="BM57">
        <f t="shared" si="43"/>
        <v>-0.70363623213972026</v>
      </c>
      <c r="BS57">
        <f t="shared" si="61"/>
        <v>-0.70363623213972026</v>
      </c>
      <c r="BT57">
        <f t="shared" si="62"/>
        <v>0</v>
      </c>
      <c r="BU57">
        <f t="shared" si="63"/>
        <v>-0.59886235386354869</v>
      </c>
      <c r="BV57">
        <f t="shared" si="70"/>
        <v>0.54943634481282166</v>
      </c>
      <c r="BW57">
        <v>0.72299999999999998</v>
      </c>
      <c r="BX57">
        <v>0.3</v>
      </c>
    </row>
    <row r="58" spans="1:76" x14ac:dyDescent="0.25">
      <c r="A58">
        <v>35</v>
      </c>
      <c r="B58">
        <v>85</v>
      </c>
      <c r="C58" t="str">
        <f t="shared" si="48"/>
        <v>SSTens</v>
      </c>
      <c r="D58">
        <v>0.60960000000000003</v>
      </c>
      <c r="E58">
        <f t="shared" si="10"/>
        <v>609.6</v>
      </c>
      <c r="F58">
        <v>9.5299999999999985E-3</v>
      </c>
      <c r="G58">
        <f t="shared" si="11"/>
        <v>9.5299999999999994</v>
      </c>
      <c r="H58">
        <f t="shared" si="12"/>
        <v>63.966421825813235</v>
      </c>
      <c r="I58">
        <v>15</v>
      </c>
      <c r="J58" t="s">
        <v>34</v>
      </c>
      <c r="K58">
        <f t="shared" si="64"/>
        <v>8</v>
      </c>
      <c r="L58">
        <f t="shared" si="65"/>
        <v>10</v>
      </c>
      <c r="M58">
        <f t="shared" si="66"/>
        <v>359000</v>
      </c>
      <c r="N58">
        <f t="shared" si="67"/>
        <v>455000</v>
      </c>
      <c r="O58">
        <f t="shared" si="68"/>
        <v>1.9969902892117808</v>
      </c>
      <c r="Q58" t="s">
        <v>35</v>
      </c>
      <c r="R58" t="s">
        <v>38</v>
      </c>
      <c r="S58">
        <f t="shared" si="69"/>
        <v>18</v>
      </c>
      <c r="T58">
        <f t="shared" si="13"/>
        <v>0</v>
      </c>
      <c r="U58">
        <f t="shared" si="14"/>
        <v>75</v>
      </c>
      <c r="V58">
        <f t="shared" si="15"/>
        <v>0.72</v>
      </c>
      <c r="W58">
        <v>0.9</v>
      </c>
      <c r="X58">
        <v>0</v>
      </c>
      <c r="Y58">
        <f t="shared" si="16"/>
        <v>103.41620360793024</v>
      </c>
      <c r="Z58">
        <v>0.75</v>
      </c>
      <c r="AD58">
        <f t="shared" si="56"/>
        <v>8.5938878264467361E-2</v>
      </c>
      <c r="AK58">
        <f t="shared" si="57"/>
        <v>0.34319449854464201</v>
      </c>
      <c r="AL58">
        <f t="shared" si="58"/>
        <v>1.343194498544642</v>
      </c>
      <c r="AM58">
        <v>-2.307229</v>
      </c>
      <c r="AN58">
        <v>0.5852366</v>
      </c>
      <c r="AO58">
        <v>0.201322</v>
      </c>
      <c r="AY58">
        <v>1.4274935</v>
      </c>
      <c r="AZ58">
        <v>-7.1050000000000002E-3</v>
      </c>
      <c r="BA58">
        <v>5.1415999999999996E-3</v>
      </c>
      <c r="BB58">
        <v>-1.4290590000000001</v>
      </c>
      <c r="BC58">
        <v>4.9200300000000002E-2</v>
      </c>
      <c r="BD58">
        <v>0.14513599999999999</v>
      </c>
      <c r="BE58">
        <v>2.0170299999999999E-2</v>
      </c>
      <c r="BF58">
        <v>-1.032025</v>
      </c>
      <c r="BH58">
        <f t="shared" si="59"/>
        <v>1</v>
      </c>
      <c r="BI58">
        <f t="shared" si="60"/>
        <v>0</v>
      </c>
      <c r="BJ58">
        <f t="shared" si="40"/>
        <v>0</v>
      </c>
      <c r="BM58">
        <f t="shared" si="43"/>
        <v>-0.64451052521418639</v>
      </c>
      <c r="BS58">
        <f t="shared" si="61"/>
        <v>-0.64451052521418639</v>
      </c>
      <c r="BT58">
        <f t="shared" si="62"/>
        <v>0</v>
      </c>
      <c r="BU58">
        <f t="shared" si="63"/>
        <v>-0.35698842861680458</v>
      </c>
      <c r="BV58">
        <f t="shared" si="70"/>
        <v>0.69978059511718083</v>
      </c>
      <c r="BW58">
        <v>0.72299999999999998</v>
      </c>
      <c r="BX58">
        <v>0.3</v>
      </c>
    </row>
    <row r="59" spans="1:76" x14ac:dyDescent="0.25">
      <c r="A59">
        <v>36</v>
      </c>
      <c r="B59">
        <v>89</v>
      </c>
      <c r="C59" t="str">
        <f t="shared" si="48"/>
        <v>SSTens</v>
      </c>
      <c r="D59">
        <v>0.76200000000000001</v>
      </c>
      <c r="E59">
        <f t="shared" si="10"/>
        <v>762</v>
      </c>
      <c r="F59">
        <v>1.2699999999999999E-2</v>
      </c>
      <c r="G59">
        <f t="shared" si="11"/>
        <v>12.7</v>
      </c>
      <c r="H59">
        <f t="shared" si="12"/>
        <v>60</v>
      </c>
      <c r="I59">
        <v>30</v>
      </c>
      <c r="J59" t="s">
        <v>37</v>
      </c>
      <c r="K59">
        <f t="shared" si="64"/>
        <v>8</v>
      </c>
      <c r="L59">
        <f t="shared" si="65"/>
        <v>12</v>
      </c>
      <c r="M59">
        <f t="shared" si="66"/>
        <v>414000</v>
      </c>
      <c r="N59">
        <f t="shared" si="67"/>
        <v>517000</v>
      </c>
      <c r="O59">
        <f t="shared" si="68"/>
        <v>2.5466769467238102</v>
      </c>
      <c r="Q59" t="s">
        <v>35</v>
      </c>
      <c r="R59" t="s">
        <v>38</v>
      </c>
      <c r="S59">
        <f t="shared" si="69"/>
        <v>18</v>
      </c>
      <c r="T59">
        <f t="shared" si="13"/>
        <v>0</v>
      </c>
      <c r="U59">
        <f t="shared" si="14"/>
        <v>75</v>
      </c>
      <c r="V59">
        <f t="shared" si="15"/>
        <v>0.72</v>
      </c>
      <c r="W59">
        <v>0.9</v>
      </c>
      <c r="X59">
        <v>0</v>
      </c>
      <c r="Y59">
        <f t="shared" si="16"/>
        <v>129.2702545099128</v>
      </c>
      <c r="Z59">
        <v>1.5</v>
      </c>
      <c r="AD59">
        <f t="shared" si="56"/>
        <v>0.10764414471571518</v>
      </c>
      <c r="AK59">
        <f t="shared" si="57"/>
        <v>0.46262651833971924</v>
      </c>
      <c r="AL59">
        <f t="shared" si="58"/>
        <v>1.4626265183397194</v>
      </c>
      <c r="AM59">
        <v>-2.307229</v>
      </c>
      <c r="AN59">
        <v>0.5852366</v>
      </c>
      <c r="AO59">
        <v>0.201322</v>
      </c>
      <c r="AY59">
        <v>1.4274935</v>
      </c>
      <c r="AZ59">
        <v>-7.1050000000000002E-3</v>
      </c>
      <c r="BA59">
        <v>5.1415999999999996E-3</v>
      </c>
      <c r="BB59">
        <v>-1.4290590000000001</v>
      </c>
      <c r="BC59">
        <v>4.9200300000000002E-2</v>
      </c>
      <c r="BD59">
        <v>0.14513599999999999</v>
      </c>
      <c r="BE59">
        <v>2.0170299999999999E-2</v>
      </c>
      <c r="BF59">
        <v>-1.032025</v>
      </c>
      <c r="BH59">
        <f t="shared" si="59"/>
        <v>1</v>
      </c>
      <c r="BI59">
        <f t="shared" si="60"/>
        <v>0</v>
      </c>
      <c r="BJ59">
        <f t="shared" si="40"/>
        <v>0</v>
      </c>
      <c r="BM59">
        <f t="shared" si="43"/>
        <v>-4.6730844270599627E-2</v>
      </c>
      <c r="BS59">
        <f t="shared" si="61"/>
        <v>-4.6730844270599627E-2</v>
      </c>
      <c r="BT59">
        <f t="shared" si="62"/>
        <v>0</v>
      </c>
      <c r="BU59">
        <f t="shared" si="63"/>
        <v>1.8835024417450885E-2</v>
      </c>
      <c r="BV59">
        <f t="shared" si="70"/>
        <v>1.0190135223999457</v>
      </c>
      <c r="BW59">
        <v>0.72299999999999998</v>
      </c>
      <c r="BX59">
        <v>0.3</v>
      </c>
    </row>
    <row r="60" spans="1:76" x14ac:dyDescent="0.25">
      <c r="A60">
        <v>37</v>
      </c>
      <c r="B60">
        <v>87</v>
      </c>
      <c r="C60" t="str">
        <f t="shared" si="48"/>
        <v>SSTens</v>
      </c>
      <c r="D60">
        <v>0.86360000000000003</v>
      </c>
      <c r="E60">
        <f t="shared" si="10"/>
        <v>863.6</v>
      </c>
      <c r="F60">
        <v>1.1130000000000001E-2</v>
      </c>
      <c r="G60">
        <f t="shared" si="11"/>
        <v>11.13</v>
      </c>
      <c r="H60">
        <f t="shared" si="12"/>
        <v>77.592093441150041</v>
      </c>
      <c r="I60">
        <v>50</v>
      </c>
      <c r="J60" t="s">
        <v>39</v>
      </c>
      <c r="K60">
        <f t="shared" si="64"/>
        <v>14</v>
      </c>
      <c r="L60">
        <f t="shared" si="65"/>
        <v>15</v>
      </c>
      <c r="M60">
        <f t="shared" si="66"/>
        <v>483000</v>
      </c>
      <c r="N60">
        <f t="shared" si="67"/>
        <v>565000</v>
      </c>
      <c r="O60">
        <f t="shared" si="68"/>
        <v>2.8799444073326219</v>
      </c>
      <c r="Q60" t="s">
        <v>35</v>
      </c>
      <c r="R60" t="s">
        <v>38</v>
      </c>
      <c r="S60">
        <f t="shared" si="69"/>
        <v>18</v>
      </c>
      <c r="T60">
        <f t="shared" si="13"/>
        <v>0</v>
      </c>
      <c r="U60">
        <f t="shared" si="14"/>
        <v>75</v>
      </c>
      <c r="V60">
        <f t="shared" si="15"/>
        <v>0.72</v>
      </c>
      <c r="W60">
        <v>0.9</v>
      </c>
      <c r="X60">
        <v>0</v>
      </c>
      <c r="Y60">
        <f t="shared" si="16"/>
        <v>146.50628844456784</v>
      </c>
      <c r="Z60">
        <v>1.5</v>
      </c>
      <c r="AD60">
        <f t="shared" si="56"/>
        <v>0.12199149455168937</v>
      </c>
      <c r="AK60">
        <f t="shared" si="57"/>
        <v>0.57931434087634726</v>
      </c>
      <c r="AL60">
        <f t="shared" si="58"/>
        <v>1.5793143408763473</v>
      </c>
      <c r="AM60">
        <v>-2.307229</v>
      </c>
      <c r="AN60">
        <v>0.5852366</v>
      </c>
      <c r="AO60">
        <v>0.201322</v>
      </c>
      <c r="AY60">
        <v>1.4274935</v>
      </c>
      <c r="AZ60">
        <v>-7.1050000000000002E-3</v>
      </c>
      <c r="BA60">
        <v>5.1415999999999996E-3</v>
      </c>
      <c r="BB60">
        <v>-1.4290590000000001</v>
      </c>
      <c r="BC60">
        <v>4.9200300000000002E-2</v>
      </c>
      <c r="BD60">
        <v>0.14513599999999999</v>
      </c>
      <c r="BE60">
        <v>2.0170299999999999E-2</v>
      </c>
      <c r="BF60">
        <v>-1.032025</v>
      </c>
      <c r="BH60">
        <f t="shared" si="59"/>
        <v>1</v>
      </c>
      <c r="BI60">
        <f t="shared" si="60"/>
        <v>0</v>
      </c>
      <c r="BJ60">
        <f t="shared" si="40"/>
        <v>0</v>
      </c>
      <c r="BM60">
        <f t="shared" si="43"/>
        <v>-0.13656097636803749</v>
      </c>
      <c r="BS60">
        <f t="shared" si="61"/>
        <v>-0.13656097636803749</v>
      </c>
      <c r="BT60">
        <f t="shared" si="62"/>
        <v>0</v>
      </c>
      <c r="BU60">
        <f t="shared" si="63"/>
        <v>3.4566429204756499E-2</v>
      </c>
      <c r="BV60">
        <f t="shared" si="70"/>
        <v>1.0351707916646211</v>
      </c>
      <c r="BW60">
        <v>0.72299999999999998</v>
      </c>
      <c r="BX60">
        <v>0.3</v>
      </c>
    </row>
    <row r="61" spans="1:76" x14ac:dyDescent="0.25">
      <c r="A61">
        <v>38</v>
      </c>
      <c r="B61">
        <v>89</v>
      </c>
      <c r="C61" t="str">
        <f t="shared" si="48"/>
        <v>SSTens</v>
      </c>
      <c r="D61">
        <v>1.0668</v>
      </c>
      <c r="E61">
        <f t="shared" si="10"/>
        <v>1066.8</v>
      </c>
      <c r="F61">
        <v>1.2699999999999999E-2</v>
      </c>
      <c r="G61">
        <f t="shared" si="11"/>
        <v>12.7</v>
      </c>
      <c r="H61">
        <f t="shared" si="12"/>
        <v>84</v>
      </c>
      <c r="I61">
        <v>100</v>
      </c>
      <c r="J61" t="s">
        <v>41</v>
      </c>
      <c r="K61">
        <f t="shared" si="64"/>
        <v>15</v>
      </c>
      <c r="L61">
        <f t="shared" si="65"/>
        <v>20</v>
      </c>
      <c r="M61">
        <f t="shared" si="66"/>
        <v>552000</v>
      </c>
      <c r="N61">
        <f t="shared" si="67"/>
        <v>625000</v>
      </c>
      <c r="O61">
        <f t="shared" si="68"/>
        <v>2.9888368774026359</v>
      </c>
      <c r="Q61" t="s">
        <v>35</v>
      </c>
      <c r="R61" t="s">
        <v>40</v>
      </c>
      <c r="S61">
        <f t="shared" si="69"/>
        <v>18.5</v>
      </c>
      <c r="T61">
        <f t="shared" si="13"/>
        <v>0</v>
      </c>
      <c r="U61">
        <f t="shared" si="14"/>
        <v>125</v>
      </c>
      <c r="V61">
        <f t="shared" si="15"/>
        <v>0.4</v>
      </c>
      <c r="W61">
        <v>0.9</v>
      </c>
      <c r="X61">
        <v>0</v>
      </c>
      <c r="Y61">
        <f t="shared" si="16"/>
        <v>167.57255214247957</v>
      </c>
      <c r="Z61">
        <v>1.5</v>
      </c>
      <c r="AD61">
        <f t="shared" si="56"/>
        <v>0.13917170396098252</v>
      </c>
      <c r="AK61">
        <f t="shared" si="57"/>
        <v>0.70118132861093019</v>
      </c>
      <c r="AL61">
        <f t="shared" si="58"/>
        <v>2.2011813286109301</v>
      </c>
      <c r="AM61">
        <v>-2.307229</v>
      </c>
      <c r="AN61">
        <v>0.5852366</v>
      </c>
      <c r="AO61">
        <v>0.201322</v>
      </c>
      <c r="AY61">
        <v>1.4274935</v>
      </c>
      <c r="AZ61">
        <v>-7.1050000000000002E-3</v>
      </c>
      <c r="BA61">
        <v>5.1415999999999996E-3</v>
      </c>
      <c r="BB61">
        <v>-1.4290590000000001</v>
      </c>
      <c r="BC61">
        <v>4.9200300000000002E-2</v>
      </c>
      <c r="BD61">
        <v>0.14513599999999999</v>
      </c>
      <c r="BE61">
        <v>2.0170299999999999E-2</v>
      </c>
      <c r="BF61">
        <v>-1.032025</v>
      </c>
      <c r="BH61">
        <f t="shared" si="59"/>
        <v>1</v>
      </c>
      <c r="BI61">
        <f t="shared" si="60"/>
        <v>0</v>
      </c>
      <c r="BJ61">
        <f t="shared" si="40"/>
        <v>0</v>
      </c>
      <c r="BM61">
        <f t="shared" si="43"/>
        <v>-0.19777054799268215</v>
      </c>
      <c r="BS61">
        <f t="shared" si="61"/>
        <v>-0.19777054799268215</v>
      </c>
      <c r="BT61">
        <f t="shared" si="62"/>
        <v>0</v>
      </c>
      <c r="BU61">
        <f t="shared" si="63"/>
        <v>-1.0808663411078889E-2</v>
      </c>
      <c r="BV61">
        <f t="shared" si="70"/>
        <v>0.98924954030109691</v>
      </c>
      <c r="BW61">
        <v>0.72299999999999998</v>
      </c>
      <c r="BX61">
        <v>0.3</v>
      </c>
    </row>
    <row r="62" spans="1:76" x14ac:dyDescent="0.25">
      <c r="A62">
        <v>39</v>
      </c>
      <c r="B62">
        <v>85</v>
      </c>
      <c r="C62" t="str">
        <f t="shared" si="48"/>
        <v>SSTens</v>
      </c>
      <c r="D62">
        <v>0.60960000000000003</v>
      </c>
      <c r="E62">
        <f t="shared" si="10"/>
        <v>609.6</v>
      </c>
      <c r="F62">
        <v>1.1130000000000001E-2</v>
      </c>
      <c r="G62">
        <f t="shared" si="11"/>
        <v>11.13</v>
      </c>
      <c r="H62">
        <f t="shared" si="12"/>
        <v>54.770889487870619</v>
      </c>
      <c r="I62">
        <v>150</v>
      </c>
      <c r="J62" t="s">
        <v>64</v>
      </c>
      <c r="K62">
        <f t="shared" si="64"/>
        <v>3</v>
      </c>
      <c r="L62">
        <f t="shared" si="65"/>
        <v>9</v>
      </c>
      <c r="M62">
        <f t="shared" si="66"/>
        <v>290000</v>
      </c>
      <c r="N62">
        <f t="shared" si="67"/>
        <v>414000</v>
      </c>
      <c r="O62">
        <f t="shared" si="68"/>
        <v>1.7363704307629526</v>
      </c>
      <c r="Q62" t="s">
        <v>35</v>
      </c>
      <c r="R62" t="s">
        <v>40</v>
      </c>
      <c r="S62">
        <f t="shared" si="69"/>
        <v>18.5</v>
      </c>
      <c r="T62">
        <f t="shared" si="13"/>
        <v>0</v>
      </c>
      <c r="U62">
        <f t="shared" si="14"/>
        <v>125</v>
      </c>
      <c r="V62">
        <f t="shared" si="15"/>
        <v>0.4</v>
      </c>
      <c r="W62">
        <v>0.9</v>
      </c>
      <c r="X62">
        <v>0</v>
      </c>
      <c r="Y62">
        <f t="shared" si="16"/>
        <v>95.755744081416907</v>
      </c>
      <c r="Z62">
        <v>7.5</v>
      </c>
      <c r="AD62">
        <f t="shared" si="56"/>
        <v>7.9294795208237082E-2</v>
      </c>
      <c r="AK62">
        <f t="shared" si="57"/>
        <v>0.42306301468311602</v>
      </c>
      <c r="AL62">
        <f t="shared" si="58"/>
        <v>1.923063014683116</v>
      </c>
      <c r="AM62">
        <v>-2.307229</v>
      </c>
      <c r="AN62">
        <v>0.5852366</v>
      </c>
      <c r="AO62">
        <v>0.201322</v>
      </c>
      <c r="AY62">
        <v>1.4274935</v>
      </c>
      <c r="AZ62">
        <v>-7.1050000000000002E-3</v>
      </c>
      <c r="BA62">
        <v>5.1415999999999996E-3</v>
      </c>
      <c r="BB62">
        <v>-1.4290590000000001</v>
      </c>
      <c r="BC62">
        <v>4.9200300000000002E-2</v>
      </c>
      <c r="BD62">
        <v>0.14513599999999999</v>
      </c>
      <c r="BE62">
        <v>2.0170299999999999E-2</v>
      </c>
      <c r="BF62">
        <v>-1.032025</v>
      </c>
      <c r="BH62">
        <f t="shared" si="59"/>
        <v>0</v>
      </c>
      <c r="BI62">
        <f t="shared" si="60"/>
        <v>1</v>
      </c>
      <c r="BJ62">
        <f t="shared" si="40"/>
        <v>0</v>
      </c>
      <c r="BM62">
        <f t="shared" si="43"/>
        <v>2.3499863959925666</v>
      </c>
      <c r="BS62">
        <f t="shared" si="61"/>
        <v>0</v>
      </c>
      <c r="BT62">
        <f t="shared" si="62"/>
        <v>2.3499863959925666</v>
      </c>
      <c r="BU62">
        <f t="shared" si="63"/>
        <v>17.660464038190291</v>
      </c>
      <c r="BV62">
        <f t="shared" si="70"/>
        <v>100</v>
      </c>
      <c r="BW62">
        <v>0.72299999999999998</v>
      </c>
      <c r="BX62">
        <v>0.3</v>
      </c>
    </row>
    <row r="63" spans="1:76" x14ac:dyDescent="0.25">
      <c r="A63">
        <v>40</v>
      </c>
      <c r="B63">
        <v>87</v>
      </c>
      <c r="C63" t="str">
        <f t="shared" si="48"/>
        <v>SSTens</v>
      </c>
      <c r="D63">
        <v>0.60960000000000003</v>
      </c>
      <c r="E63">
        <f t="shared" si="10"/>
        <v>609.6</v>
      </c>
      <c r="F63">
        <v>1.1130000000000001E-2</v>
      </c>
      <c r="G63">
        <f t="shared" si="11"/>
        <v>11.13</v>
      </c>
      <c r="H63">
        <f t="shared" si="12"/>
        <v>54.770889487870619</v>
      </c>
      <c r="I63">
        <v>200</v>
      </c>
      <c r="J63" t="s">
        <v>65</v>
      </c>
      <c r="K63">
        <f t="shared" si="64"/>
        <v>3</v>
      </c>
      <c r="L63">
        <f t="shared" si="65"/>
        <v>8</v>
      </c>
      <c r="M63">
        <f t="shared" si="66"/>
        <v>241000</v>
      </c>
      <c r="N63">
        <f t="shared" si="67"/>
        <v>344000</v>
      </c>
      <c r="O63">
        <f t="shared" si="68"/>
        <v>1.1599577949833839</v>
      </c>
      <c r="Q63" t="s">
        <v>35</v>
      </c>
      <c r="R63" t="s">
        <v>40</v>
      </c>
      <c r="S63">
        <f t="shared" si="69"/>
        <v>18.5</v>
      </c>
      <c r="T63">
        <f t="shared" si="13"/>
        <v>0</v>
      </c>
      <c r="U63">
        <f t="shared" si="14"/>
        <v>125</v>
      </c>
      <c r="V63">
        <f t="shared" si="15"/>
        <v>0.4</v>
      </c>
      <c r="W63">
        <v>0.9</v>
      </c>
      <c r="X63">
        <v>0</v>
      </c>
      <c r="Y63">
        <f t="shared" si="16"/>
        <v>95.755744081416907</v>
      </c>
      <c r="Z63">
        <v>3.5</v>
      </c>
      <c r="AD63">
        <f t="shared" si="56"/>
        <v>7.8028077275326749E-2</v>
      </c>
      <c r="AK63">
        <f t="shared" si="57"/>
        <v>0.43296023982302467</v>
      </c>
      <c r="AL63">
        <f t="shared" si="58"/>
        <v>1.9329602398230246</v>
      </c>
      <c r="AM63">
        <v>-2.307229</v>
      </c>
      <c r="AN63">
        <v>0.5852366</v>
      </c>
      <c r="AO63">
        <v>0.201322</v>
      </c>
      <c r="AY63">
        <v>1.4274935</v>
      </c>
      <c r="AZ63">
        <v>-7.1050000000000002E-3</v>
      </c>
      <c r="BA63">
        <v>5.1415999999999996E-3</v>
      </c>
      <c r="BB63">
        <v>-1.4290590000000001</v>
      </c>
      <c r="BC63">
        <v>4.9200300000000002E-2</v>
      </c>
      <c r="BD63">
        <v>0.14513599999999999</v>
      </c>
      <c r="BE63">
        <v>2.0170299999999999E-2</v>
      </c>
      <c r="BF63">
        <v>-1.032025</v>
      </c>
      <c r="BH63">
        <f t="shared" si="59"/>
        <v>0</v>
      </c>
      <c r="BI63">
        <f t="shared" si="60"/>
        <v>0</v>
      </c>
      <c r="BJ63">
        <f t="shared" si="40"/>
        <v>0</v>
      </c>
      <c r="BM63">
        <f t="shared" si="43"/>
        <v>0</v>
      </c>
      <c r="BS63">
        <f t="shared" si="61"/>
        <v>0</v>
      </c>
      <c r="BT63">
        <f t="shared" si="62"/>
        <v>0</v>
      </c>
      <c r="BU63">
        <f t="shared" si="63"/>
        <v>3.5566068246042359E-2</v>
      </c>
      <c r="BV63">
        <f t="shared" si="70"/>
        <v>1.0362061061865622</v>
      </c>
      <c r="BW63">
        <v>0.72299999999999998</v>
      </c>
      <c r="BX63">
        <v>0.3</v>
      </c>
    </row>
    <row r="65" spans="1:76" x14ac:dyDescent="0.25">
      <c r="E65" t="s">
        <v>2</v>
      </c>
      <c r="G65" t="s">
        <v>4</v>
      </c>
      <c r="J65" t="s">
        <v>7</v>
      </c>
      <c r="K65" t="s">
        <v>8</v>
      </c>
      <c r="L65" t="s">
        <v>9</v>
      </c>
      <c r="M65" t="s">
        <v>10</v>
      </c>
      <c r="P65" t="s">
        <v>72</v>
      </c>
      <c r="Q65" t="s">
        <v>13</v>
      </c>
      <c r="S65" t="s">
        <v>15</v>
      </c>
      <c r="T65" t="s">
        <v>16</v>
      </c>
      <c r="U65" t="s">
        <v>17</v>
      </c>
      <c r="V65" t="s">
        <v>18</v>
      </c>
      <c r="W65" t="s">
        <v>19</v>
      </c>
      <c r="X65" t="s">
        <v>20</v>
      </c>
      <c r="Y65" t="s">
        <v>21</v>
      </c>
      <c r="Z65" t="s">
        <v>29</v>
      </c>
      <c r="BP65" t="s">
        <v>73</v>
      </c>
      <c r="BQ65" t="s">
        <v>74</v>
      </c>
      <c r="BR65" t="s">
        <v>75</v>
      </c>
      <c r="BV65" t="s">
        <v>31</v>
      </c>
      <c r="BW65" t="s">
        <v>32</v>
      </c>
      <c r="BX65" t="s">
        <v>33</v>
      </c>
    </row>
    <row r="66" spans="1:76" x14ac:dyDescent="0.25">
      <c r="A66">
        <v>41</v>
      </c>
      <c r="B66">
        <v>176</v>
      </c>
      <c r="C66" t="str">
        <f t="shared" ref="C66:C109" si="71">IF(AND(B66&gt;=0,B66&lt;=5),"BainEtal_Normal",IF(AND(B66&gt;5,B66&lt;90),"SSTens",IF(AND(B66&gt;=90,B66&lt;175),"SSComp",IF(AND(B66&gt;=175,B66&lt;=180),"BainEtal_Reverse"))))</f>
        <v>BainEtal_Reverse</v>
      </c>
      <c r="E66">
        <v>610</v>
      </c>
      <c r="G66">
        <v>10.199999999999999</v>
      </c>
      <c r="J66" t="s">
        <v>34</v>
      </c>
      <c r="K66">
        <v>8</v>
      </c>
      <c r="L66">
        <v>10</v>
      </c>
      <c r="M66">
        <v>359000</v>
      </c>
      <c r="P66">
        <v>100</v>
      </c>
      <c r="Q66" t="s">
        <v>42</v>
      </c>
      <c r="S66">
        <v>19</v>
      </c>
      <c r="T66">
        <v>38</v>
      </c>
      <c r="U66">
        <v>40</v>
      </c>
      <c r="V66">
        <v>0.75</v>
      </c>
      <c r="W66">
        <v>0.75</v>
      </c>
      <c r="X66">
        <v>1.2</v>
      </c>
      <c r="Y66">
        <v>23.723510319999999</v>
      </c>
      <c r="Z66">
        <v>0.5</v>
      </c>
      <c r="BP66">
        <v>1234.3048779999999</v>
      </c>
      <c r="BQ66">
        <v>307.95887750000003</v>
      </c>
      <c r="BR66">
        <v>50</v>
      </c>
      <c r="BV66">
        <v>3.0857599999999999E-2</v>
      </c>
      <c r="BW66">
        <v>0.45</v>
      </c>
      <c r="BX66">
        <v>0.3</v>
      </c>
    </row>
    <row r="67" spans="1:76" x14ac:dyDescent="0.25">
      <c r="A67">
        <v>42</v>
      </c>
      <c r="B67">
        <v>179</v>
      </c>
      <c r="C67" t="str">
        <f t="shared" si="71"/>
        <v>BainEtal_Reverse</v>
      </c>
      <c r="E67">
        <v>560</v>
      </c>
      <c r="G67">
        <v>7.1</v>
      </c>
      <c r="J67" t="s">
        <v>37</v>
      </c>
      <c r="K67">
        <v>8</v>
      </c>
      <c r="L67">
        <v>12</v>
      </c>
      <c r="M67">
        <v>414000</v>
      </c>
      <c r="P67">
        <v>100</v>
      </c>
      <c r="Q67" t="s">
        <v>42</v>
      </c>
      <c r="S67">
        <v>18</v>
      </c>
      <c r="T67">
        <v>32</v>
      </c>
      <c r="U67">
        <v>33.5</v>
      </c>
      <c r="V67">
        <v>0.6</v>
      </c>
      <c r="W67">
        <v>0.55000000000000004</v>
      </c>
      <c r="X67">
        <v>1.2</v>
      </c>
      <c r="Y67">
        <v>12.05453361</v>
      </c>
      <c r="Z67">
        <v>0.3</v>
      </c>
      <c r="BP67">
        <v>977.45236279999995</v>
      </c>
      <c r="BQ67">
        <v>398.01646820000002</v>
      </c>
      <c r="BR67">
        <v>50</v>
      </c>
      <c r="BV67">
        <v>2.4436300000000001E-2</v>
      </c>
      <c r="BW67">
        <v>0.45</v>
      </c>
      <c r="BX67">
        <v>0.3</v>
      </c>
    </row>
    <row r="68" spans="1:76" x14ac:dyDescent="0.25">
      <c r="A68">
        <v>43</v>
      </c>
      <c r="B68">
        <v>180</v>
      </c>
      <c r="C68" t="str">
        <f t="shared" si="71"/>
        <v>BainEtal_Reverse</v>
      </c>
      <c r="E68">
        <v>560</v>
      </c>
      <c r="G68">
        <v>7.1</v>
      </c>
      <c r="J68" t="s">
        <v>37</v>
      </c>
      <c r="K68">
        <v>8</v>
      </c>
      <c r="L68">
        <v>12</v>
      </c>
      <c r="M68">
        <v>414000</v>
      </c>
      <c r="P68">
        <v>200</v>
      </c>
      <c r="Q68" t="s">
        <v>42</v>
      </c>
      <c r="S68">
        <v>19</v>
      </c>
      <c r="T68">
        <v>38</v>
      </c>
      <c r="U68">
        <v>48</v>
      </c>
      <c r="V68">
        <v>0.7</v>
      </c>
      <c r="W68">
        <v>0.65</v>
      </c>
      <c r="X68">
        <v>1.8</v>
      </c>
      <c r="Y68">
        <v>27.674087950000001</v>
      </c>
      <c r="Z68">
        <v>0.6</v>
      </c>
      <c r="BP68">
        <v>2243.977539</v>
      </c>
      <c r="BQ68">
        <v>209.52160710000001</v>
      </c>
      <c r="BR68">
        <v>100</v>
      </c>
      <c r="BV68">
        <v>0.1122433</v>
      </c>
      <c r="BW68">
        <v>0.45</v>
      </c>
      <c r="BX68">
        <v>0.3</v>
      </c>
    </row>
    <row r="69" spans="1:76" x14ac:dyDescent="0.25">
      <c r="A69">
        <v>44</v>
      </c>
      <c r="B69">
        <v>177</v>
      </c>
      <c r="C69" t="str">
        <f t="shared" si="71"/>
        <v>BainEtal_Reverse</v>
      </c>
      <c r="E69">
        <v>560</v>
      </c>
      <c r="G69">
        <v>7.1</v>
      </c>
      <c r="J69" t="s">
        <v>64</v>
      </c>
      <c r="K69">
        <v>3</v>
      </c>
      <c r="L69">
        <v>9</v>
      </c>
      <c r="M69">
        <v>290000</v>
      </c>
      <c r="P69">
        <v>300</v>
      </c>
      <c r="Q69" t="s">
        <v>42</v>
      </c>
      <c r="S69">
        <v>20</v>
      </c>
      <c r="T69">
        <v>44</v>
      </c>
      <c r="U69">
        <v>62.2</v>
      </c>
      <c r="V69">
        <v>0.8</v>
      </c>
      <c r="W69">
        <v>0.75</v>
      </c>
      <c r="X69">
        <v>2.4</v>
      </c>
      <c r="Y69">
        <v>54.839880450000003</v>
      </c>
      <c r="Z69">
        <v>1</v>
      </c>
      <c r="BP69">
        <v>4446.7394979999999</v>
      </c>
      <c r="BQ69">
        <v>95.9923967</v>
      </c>
      <c r="BR69">
        <v>95.9923967</v>
      </c>
      <c r="BV69">
        <v>2.2897476999999999</v>
      </c>
      <c r="BW69">
        <v>0.45</v>
      </c>
      <c r="BX69">
        <v>0.3</v>
      </c>
    </row>
    <row r="70" spans="1:76" x14ac:dyDescent="0.25">
      <c r="A70">
        <v>45</v>
      </c>
      <c r="B70">
        <v>177</v>
      </c>
      <c r="C70" t="str">
        <f t="shared" si="71"/>
        <v>BainEtal_Reverse</v>
      </c>
      <c r="E70">
        <v>1257</v>
      </c>
      <c r="G70">
        <v>6.5</v>
      </c>
      <c r="J70" t="s">
        <v>65</v>
      </c>
      <c r="K70">
        <v>3</v>
      </c>
      <c r="L70">
        <v>8</v>
      </c>
      <c r="M70">
        <v>241000</v>
      </c>
      <c r="P70">
        <v>100</v>
      </c>
      <c r="Q70" t="s">
        <v>42</v>
      </c>
      <c r="S70">
        <v>18</v>
      </c>
      <c r="T70">
        <v>32</v>
      </c>
      <c r="U70">
        <v>33.5</v>
      </c>
      <c r="V70">
        <v>0.6</v>
      </c>
      <c r="W70">
        <v>0.55000000000000004</v>
      </c>
      <c r="X70">
        <v>1.2</v>
      </c>
      <c r="Y70">
        <v>27.05812276</v>
      </c>
      <c r="Z70">
        <v>0.3</v>
      </c>
      <c r="BP70">
        <v>1059.621441</v>
      </c>
      <c r="BQ70">
        <v>249.48299940000001</v>
      </c>
      <c r="BR70">
        <v>50</v>
      </c>
      <c r="BV70">
        <v>2.64906E-2</v>
      </c>
      <c r="BW70">
        <v>0.45</v>
      </c>
      <c r="BX70">
        <v>0.3</v>
      </c>
    </row>
    <row r="71" spans="1:76" x14ac:dyDescent="0.25">
      <c r="A71">
        <v>46</v>
      </c>
      <c r="B71">
        <v>178</v>
      </c>
      <c r="C71" t="str">
        <f t="shared" si="71"/>
        <v>BainEtal_Reverse</v>
      </c>
      <c r="E71">
        <v>1257</v>
      </c>
      <c r="G71">
        <v>6.5</v>
      </c>
      <c r="J71" t="s">
        <v>34</v>
      </c>
      <c r="K71">
        <v>8</v>
      </c>
      <c r="L71">
        <v>10</v>
      </c>
      <c r="M71">
        <v>359000</v>
      </c>
      <c r="P71">
        <v>200</v>
      </c>
      <c r="Q71" t="s">
        <v>42</v>
      </c>
      <c r="S71">
        <v>19</v>
      </c>
      <c r="T71">
        <v>38</v>
      </c>
      <c r="U71">
        <v>48</v>
      </c>
      <c r="V71">
        <v>0.7</v>
      </c>
      <c r="W71">
        <v>0.65</v>
      </c>
      <c r="X71">
        <v>1.8</v>
      </c>
      <c r="Y71">
        <v>62.118443849999998</v>
      </c>
      <c r="Z71">
        <v>0.6</v>
      </c>
      <c r="BP71">
        <v>2432.6164659999999</v>
      </c>
      <c r="BQ71">
        <v>177.15355159999999</v>
      </c>
      <c r="BR71">
        <v>100</v>
      </c>
      <c r="BV71">
        <v>0.12343610000000001</v>
      </c>
      <c r="BW71">
        <v>0.45</v>
      </c>
      <c r="BX71">
        <v>0.3</v>
      </c>
    </row>
    <row r="72" spans="1:76" x14ac:dyDescent="0.25">
      <c r="A72">
        <v>47</v>
      </c>
      <c r="B72">
        <v>175</v>
      </c>
      <c r="C72" t="str">
        <f t="shared" si="71"/>
        <v>BainEtal_Reverse</v>
      </c>
      <c r="E72">
        <v>1257</v>
      </c>
      <c r="G72">
        <v>6.5</v>
      </c>
      <c r="J72" t="s">
        <v>64</v>
      </c>
      <c r="K72">
        <v>3</v>
      </c>
      <c r="L72">
        <v>9</v>
      </c>
      <c r="M72">
        <v>290000</v>
      </c>
      <c r="P72">
        <v>300</v>
      </c>
      <c r="Q72" t="s">
        <v>42</v>
      </c>
      <c r="S72">
        <v>20</v>
      </c>
      <c r="T72">
        <v>44</v>
      </c>
      <c r="U72">
        <v>62.2</v>
      </c>
      <c r="V72">
        <v>0.8</v>
      </c>
      <c r="W72">
        <v>0.75</v>
      </c>
      <c r="X72">
        <v>2.4</v>
      </c>
      <c r="Y72">
        <v>123.0959459</v>
      </c>
      <c r="Z72">
        <v>1</v>
      </c>
      <c r="BP72">
        <v>4820.552584</v>
      </c>
      <c r="BQ72">
        <v>90.33357694</v>
      </c>
      <c r="BR72">
        <v>90.33357694</v>
      </c>
      <c r="BV72">
        <v>2.7526799999999998</v>
      </c>
      <c r="BW72">
        <v>0.45</v>
      </c>
      <c r="BX72">
        <v>0.3</v>
      </c>
    </row>
    <row r="73" spans="1:76" x14ac:dyDescent="0.25">
      <c r="A73">
        <v>48</v>
      </c>
      <c r="B73">
        <v>178</v>
      </c>
      <c r="C73" t="str">
        <f t="shared" si="71"/>
        <v>BainEtal_Reverse</v>
      </c>
      <c r="E73">
        <v>1723</v>
      </c>
      <c r="G73">
        <v>9.5</v>
      </c>
      <c r="J73" t="s">
        <v>39</v>
      </c>
      <c r="K73">
        <v>14</v>
      </c>
      <c r="L73">
        <v>15</v>
      </c>
      <c r="M73">
        <v>483000</v>
      </c>
      <c r="P73">
        <v>100</v>
      </c>
      <c r="Q73" t="s">
        <v>42</v>
      </c>
      <c r="S73">
        <v>18</v>
      </c>
      <c r="T73">
        <v>32</v>
      </c>
      <c r="U73">
        <v>33.5</v>
      </c>
      <c r="V73">
        <v>0.6</v>
      </c>
      <c r="W73">
        <v>0.55000000000000004</v>
      </c>
      <c r="X73">
        <v>1.2</v>
      </c>
      <c r="Y73">
        <v>37.089216800000003</v>
      </c>
      <c r="Z73">
        <v>0.3</v>
      </c>
      <c r="BP73">
        <v>725.25390489999995</v>
      </c>
      <c r="BQ73">
        <v>584.57292270000005</v>
      </c>
      <c r="BR73">
        <v>50</v>
      </c>
      <c r="BV73">
        <v>1.81313E-2</v>
      </c>
      <c r="BW73">
        <v>0.45</v>
      </c>
      <c r="BX73">
        <v>0.3</v>
      </c>
    </row>
    <row r="74" spans="1:76" x14ac:dyDescent="0.25">
      <c r="A74">
        <v>49</v>
      </c>
      <c r="B74">
        <v>178</v>
      </c>
      <c r="C74" t="str">
        <f t="shared" si="71"/>
        <v>BainEtal_Reverse</v>
      </c>
      <c r="E74">
        <v>1723</v>
      </c>
      <c r="G74">
        <v>9.5</v>
      </c>
      <c r="J74" t="s">
        <v>64</v>
      </c>
      <c r="K74">
        <v>3</v>
      </c>
      <c r="L74">
        <v>9</v>
      </c>
      <c r="M74">
        <v>290000</v>
      </c>
      <c r="P74">
        <v>200</v>
      </c>
      <c r="Q74" t="s">
        <v>42</v>
      </c>
      <c r="S74">
        <v>19</v>
      </c>
      <c r="T74">
        <v>38</v>
      </c>
      <c r="U74">
        <v>48</v>
      </c>
      <c r="V74">
        <v>0.7</v>
      </c>
      <c r="W74">
        <v>0.65</v>
      </c>
      <c r="X74">
        <v>1.8</v>
      </c>
      <c r="Y74">
        <v>85.147238470000005</v>
      </c>
      <c r="Z74">
        <v>0.6</v>
      </c>
      <c r="BP74">
        <v>1664.9951799999999</v>
      </c>
      <c r="BQ74">
        <v>209.7891731</v>
      </c>
      <c r="BR74">
        <v>100</v>
      </c>
      <c r="BV74">
        <v>8.3419099999999996E-2</v>
      </c>
      <c r="BW74">
        <v>0.45</v>
      </c>
      <c r="BX74">
        <v>0.3</v>
      </c>
    </row>
    <row r="75" spans="1:76" x14ac:dyDescent="0.25">
      <c r="A75">
        <v>50</v>
      </c>
      <c r="B75">
        <v>176</v>
      </c>
      <c r="C75" t="str">
        <f t="shared" si="71"/>
        <v>BainEtal_Reverse</v>
      </c>
      <c r="E75">
        <v>1723</v>
      </c>
      <c r="G75">
        <v>9.5</v>
      </c>
      <c r="J75" t="s">
        <v>64</v>
      </c>
      <c r="K75">
        <v>3</v>
      </c>
      <c r="L75">
        <v>9</v>
      </c>
      <c r="M75">
        <v>290000</v>
      </c>
      <c r="P75">
        <v>300</v>
      </c>
      <c r="Q75" t="s">
        <v>42</v>
      </c>
      <c r="S75">
        <v>20</v>
      </c>
      <c r="T75">
        <v>44</v>
      </c>
      <c r="U75">
        <v>62.2</v>
      </c>
      <c r="V75">
        <v>0.8</v>
      </c>
      <c r="W75">
        <v>0.75</v>
      </c>
      <c r="X75">
        <v>2.4</v>
      </c>
      <c r="Y75">
        <v>168.73056070000001</v>
      </c>
      <c r="Z75">
        <v>1</v>
      </c>
      <c r="BP75">
        <v>3299.4090630000001</v>
      </c>
      <c r="BQ75">
        <v>125.57334109999999</v>
      </c>
      <c r="BR75">
        <v>125.57334109999999</v>
      </c>
      <c r="BV75">
        <v>1.7483107</v>
      </c>
      <c r="BW75">
        <v>0.45</v>
      </c>
      <c r="BX75">
        <v>0.3</v>
      </c>
    </row>
    <row r="76" spans="1:76" x14ac:dyDescent="0.25">
      <c r="A76">
        <v>51</v>
      </c>
      <c r="B76">
        <v>175</v>
      </c>
      <c r="C76" t="str">
        <f t="shared" si="71"/>
        <v>BainEtal_Reverse</v>
      </c>
      <c r="E76">
        <v>168</v>
      </c>
      <c r="G76">
        <v>4.8</v>
      </c>
      <c r="J76" t="s">
        <v>34</v>
      </c>
      <c r="K76">
        <v>8</v>
      </c>
      <c r="L76">
        <v>10</v>
      </c>
      <c r="M76">
        <v>359000</v>
      </c>
      <c r="P76">
        <v>100</v>
      </c>
      <c r="Q76" t="s">
        <v>42</v>
      </c>
      <c r="S76">
        <v>18</v>
      </c>
      <c r="T76">
        <v>32</v>
      </c>
      <c r="U76">
        <v>33.5</v>
      </c>
      <c r="V76">
        <v>0.6</v>
      </c>
      <c r="W76">
        <v>0.55000000000000004</v>
      </c>
      <c r="X76">
        <v>1.2</v>
      </c>
      <c r="Y76">
        <v>3.6163600819999999</v>
      </c>
      <c r="Z76">
        <v>0.3</v>
      </c>
      <c r="BP76">
        <v>1469.4689109999999</v>
      </c>
      <c r="BQ76">
        <v>250.59552020000001</v>
      </c>
      <c r="BR76">
        <v>50</v>
      </c>
      <c r="BV76">
        <v>3.6736699999999997E-2</v>
      </c>
      <c r="BW76">
        <v>0.45</v>
      </c>
      <c r="BX76">
        <v>0.3</v>
      </c>
    </row>
    <row r="77" spans="1:76" x14ac:dyDescent="0.25">
      <c r="A77">
        <v>52</v>
      </c>
      <c r="B77">
        <v>175</v>
      </c>
      <c r="C77" t="str">
        <f t="shared" si="71"/>
        <v>BainEtal_Reverse</v>
      </c>
      <c r="E77">
        <v>168</v>
      </c>
      <c r="G77">
        <v>4.8</v>
      </c>
      <c r="J77" t="s">
        <v>64</v>
      </c>
      <c r="K77">
        <v>3</v>
      </c>
      <c r="L77">
        <v>9</v>
      </c>
      <c r="M77">
        <v>290000</v>
      </c>
      <c r="P77">
        <v>200</v>
      </c>
      <c r="Q77" t="s">
        <v>42</v>
      </c>
      <c r="S77">
        <v>19</v>
      </c>
      <c r="T77">
        <v>38</v>
      </c>
      <c r="U77">
        <v>48</v>
      </c>
      <c r="V77">
        <v>0.7</v>
      </c>
      <c r="W77">
        <v>0.65</v>
      </c>
      <c r="X77">
        <v>1.8</v>
      </c>
      <c r="Y77">
        <v>8.3022263859999992</v>
      </c>
      <c r="Z77">
        <v>0.6</v>
      </c>
      <c r="BP77">
        <v>3373.5201390000002</v>
      </c>
      <c r="BQ77">
        <v>112.3792277</v>
      </c>
      <c r="BR77">
        <v>100</v>
      </c>
      <c r="BV77">
        <v>0.3660738</v>
      </c>
      <c r="BW77">
        <v>0.45</v>
      </c>
      <c r="BX77">
        <v>0.3</v>
      </c>
    </row>
    <row r="78" spans="1:76" x14ac:dyDescent="0.25">
      <c r="A78">
        <v>53</v>
      </c>
      <c r="B78">
        <v>175</v>
      </c>
      <c r="C78" t="str">
        <f t="shared" si="71"/>
        <v>BainEtal_Reverse</v>
      </c>
      <c r="E78">
        <v>168</v>
      </c>
      <c r="G78">
        <v>4.8</v>
      </c>
      <c r="J78" t="s">
        <v>41</v>
      </c>
      <c r="K78">
        <v>15</v>
      </c>
      <c r="L78">
        <v>20</v>
      </c>
      <c r="M78">
        <v>552000</v>
      </c>
      <c r="P78">
        <v>300</v>
      </c>
      <c r="Q78" t="s">
        <v>42</v>
      </c>
      <c r="S78">
        <v>20</v>
      </c>
      <c r="T78">
        <v>44</v>
      </c>
      <c r="U78">
        <v>62.2</v>
      </c>
      <c r="V78">
        <v>0.8</v>
      </c>
      <c r="W78">
        <v>0.75</v>
      </c>
      <c r="X78">
        <v>2.4</v>
      </c>
      <c r="Y78">
        <v>16.451964140000001</v>
      </c>
      <c r="Z78">
        <v>1</v>
      </c>
      <c r="BP78">
        <v>6685.0781649999999</v>
      </c>
      <c r="BQ78">
        <v>109.07765000000001</v>
      </c>
      <c r="BR78">
        <v>109.07765000000001</v>
      </c>
      <c r="BV78">
        <v>68.558872100000002</v>
      </c>
      <c r="BW78">
        <v>0.45</v>
      </c>
      <c r="BX78">
        <v>0.3</v>
      </c>
    </row>
    <row r="79" spans="1:76" x14ac:dyDescent="0.25">
      <c r="A79">
        <v>54</v>
      </c>
      <c r="B79">
        <v>176</v>
      </c>
      <c r="C79" t="str">
        <f t="shared" si="71"/>
        <v>BainEtal_Reverse</v>
      </c>
      <c r="E79">
        <v>762</v>
      </c>
      <c r="G79">
        <v>9.5</v>
      </c>
      <c r="J79" t="s">
        <v>41</v>
      </c>
      <c r="K79">
        <v>15</v>
      </c>
      <c r="L79">
        <v>20</v>
      </c>
      <c r="M79">
        <v>552000</v>
      </c>
      <c r="P79">
        <v>100</v>
      </c>
      <c r="Q79" t="s">
        <v>42</v>
      </c>
      <c r="S79">
        <v>18</v>
      </c>
      <c r="T79">
        <v>32</v>
      </c>
      <c r="U79">
        <v>33.5</v>
      </c>
      <c r="V79">
        <v>0.6</v>
      </c>
      <c r="W79">
        <v>0.55000000000000004</v>
      </c>
      <c r="X79">
        <v>1.2</v>
      </c>
      <c r="Y79">
        <v>16.40277609</v>
      </c>
      <c r="Z79">
        <v>0.3</v>
      </c>
      <c r="BP79">
        <v>730.36066300000005</v>
      </c>
      <c r="BQ79">
        <v>636.81414540000003</v>
      </c>
      <c r="BR79">
        <v>50</v>
      </c>
      <c r="BV79">
        <v>1.8259000000000001E-2</v>
      </c>
      <c r="BW79">
        <v>0.45</v>
      </c>
      <c r="BX79">
        <v>0.3</v>
      </c>
    </row>
    <row r="80" spans="1:76" x14ac:dyDescent="0.25">
      <c r="A80">
        <v>55</v>
      </c>
      <c r="B80">
        <v>177</v>
      </c>
      <c r="C80" t="str">
        <f t="shared" si="71"/>
        <v>BainEtal_Reverse</v>
      </c>
      <c r="E80">
        <v>762</v>
      </c>
      <c r="G80">
        <v>9.5</v>
      </c>
      <c r="J80" t="s">
        <v>34</v>
      </c>
      <c r="K80">
        <v>8</v>
      </c>
      <c r="L80">
        <v>10</v>
      </c>
      <c r="M80">
        <v>359000</v>
      </c>
      <c r="P80">
        <v>200</v>
      </c>
      <c r="Q80" t="s">
        <v>42</v>
      </c>
      <c r="S80">
        <v>19</v>
      </c>
      <c r="T80">
        <v>38</v>
      </c>
      <c r="U80">
        <v>48</v>
      </c>
      <c r="V80">
        <v>0.7</v>
      </c>
      <c r="W80">
        <v>0.65</v>
      </c>
      <c r="X80">
        <v>1.8</v>
      </c>
      <c r="Y80">
        <v>37.656526820000003</v>
      </c>
      <c r="Z80">
        <v>0.6</v>
      </c>
      <c r="BP80">
        <v>1676.7189739999999</v>
      </c>
      <c r="BQ80">
        <v>242.6722742</v>
      </c>
      <c r="BR80">
        <v>100</v>
      </c>
      <c r="BV80">
        <v>8.3866099999999999E-2</v>
      </c>
      <c r="BW80">
        <v>0.45</v>
      </c>
      <c r="BX80">
        <v>0.3</v>
      </c>
    </row>
    <row r="81" spans="1:76" x14ac:dyDescent="0.25">
      <c r="A81">
        <v>56</v>
      </c>
      <c r="B81">
        <v>179</v>
      </c>
      <c r="C81" t="str">
        <f t="shared" si="71"/>
        <v>BainEtal_Reverse</v>
      </c>
      <c r="E81">
        <v>762</v>
      </c>
      <c r="G81">
        <v>9.5</v>
      </c>
      <c r="J81" t="s">
        <v>41</v>
      </c>
      <c r="K81">
        <v>15</v>
      </c>
      <c r="L81">
        <v>20</v>
      </c>
      <c r="M81">
        <v>552000</v>
      </c>
      <c r="P81">
        <v>300</v>
      </c>
      <c r="Q81" t="s">
        <v>42</v>
      </c>
      <c r="S81">
        <v>20</v>
      </c>
      <c r="T81">
        <v>44</v>
      </c>
      <c r="U81">
        <v>62.2</v>
      </c>
      <c r="V81">
        <v>0.8</v>
      </c>
      <c r="W81">
        <v>0.75</v>
      </c>
      <c r="X81">
        <v>2.4</v>
      </c>
      <c r="Y81">
        <v>74.621408759999994</v>
      </c>
      <c r="Z81">
        <v>1</v>
      </c>
      <c r="BP81">
        <v>3322.6413189999998</v>
      </c>
      <c r="BQ81">
        <v>200.65724950000001</v>
      </c>
      <c r="BR81">
        <v>150</v>
      </c>
      <c r="BV81">
        <v>0.27227249999999997</v>
      </c>
      <c r="BW81">
        <v>0.45</v>
      </c>
      <c r="BX81">
        <v>0.3</v>
      </c>
    </row>
    <row r="82" spans="1:76" x14ac:dyDescent="0.25">
      <c r="A82">
        <v>57</v>
      </c>
      <c r="B82">
        <v>177</v>
      </c>
      <c r="C82" t="str">
        <f t="shared" si="71"/>
        <v>BainEtal_Reverse</v>
      </c>
      <c r="E82">
        <v>610</v>
      </c>
      <c r="G82">
        <v>6.4</v>
      </c>
      <c r="J82" t="s">
        <v>34</v>
      </c>
      <c r="K82">
        <v>8</v>
      </c>
      <c r="L82">
        <v>10</v>
      </c>
      <c r="M82">
        <v>359000</v>
      </c>
      <c r="P82">
        <v>100</v>
      </c>
      <c r="Q82" t="s">
        <v>42</v>
      </c>
      <c r="S82">
        <v>18</v>
      </c>
      <c r="T82">
        <v>32</v>
      </c>
      <c r="U82">
        <v>33.5</v>
      </c>
      <c r="V82">
        <v>0.6</v>
      </c>
      <c r="W82">
        <v>0.55000000000000004</v>
      </c>
      <c r="X82">
        <v>1.2</v>
      </c>
      <c r="Y82">
        <v>13.13083125</v>
      </c>
      <c r="Z82">
        <v>0.3</v>
      </c>
      <c r="BP82">
        <v>1081.9648259999999</v>
      </c>
      <c r="BQ82">
        <v>327.81318340000001</v>
      </c>
      <c r="BR82">
        <v>50</v>
      </c>
      <c r="BV82">
        <v>2.70491E-2</v>
      </c>
      <c r="BW82">
        <v>0.45</v>
      </c>
      <c r="BX82">
        <v>0.3</v>
      </c>
    </row>
    <row r="83" spans="1:76" x14ac:dyDescent="0.25">
      <c r="A83">
        <v>58</v>
      </c>
      <c r="B83">
        <v>180</v>
      </c>
      <c r="C83" t="str">
        <f t="shared" si="71"/>
        <v>BainEtal_Reverse</v>
      </c>
      <c r="E83">
        <v>610</v>
      </c>
      <c r="G83">
        <v>6.4</v>
      </c>
      <c r="J83" t="s">
        <v>41</v>
      </c>
      <c r="K83">
        <v>15</v>
      </c>
      <c r="L83">
        <v>20</v>
      </c>
      <c r="M83">
        <v>552000</v>
      </c>
      <c r="P83">
        <v>200</v>
      </c>
      <c r="Q83" t="s">
        <v>42</v>
      </c>
      <c r="S83">
        <v>19</v>
      </c>
      <c r="T83">
        <v>38</v>
      </c>
      <c r="U83">
        <v>48</v>
      </c>
      <c r="V83">
        <v>0.7</v>
      </c>
      <c r="W83">
        <v>0.65</v>
      </c>
      <c r="X83">
        <v>1.8</v>
      </c>
      <c r="Y83">
        <v>30.144988659999999</v>
      </c>
      <c r="Z83">
        <v>0.6</v>
      </c>
      <c r="BP83">
        <v>2483.9110930000002</v>
      </c>
      <c r="BQ83">
        <v>238.38257490000001</v>
      </c>
      <c r="BR83">
        <v>100</v>
      </c>
      <c r="BV83">
        <v>0.1241956</v>
      </c>
      <c r="BW83">
        <v>0.45</v>
      </c>
      <c r="BX83">
        <v>0.3</v>
      </c>
    </row>
    <row r="84" spans="1:76" x14ac:dyDescent="0.25">
      <c r="A84">
        <v>59</v>
      </c>
      <c r="B84">
        <v>177</v>
      </c>
      <c r="C84" t="str">
        <f t="shared" si="71"/>
        <v>BainEtal_Reverse</v>
      </c>
      <c r="E84">
        <v>610</v>
      </c>
      <c r="G84">
        <v>6.4</v>
      </c>
      <c r="J84" t="s">
        <v>64</v>
      </c>
      <c r="K84">
        <v>3</v>
      </c>
      <c r="L84">
        <v>9</v>
      </c>
      <c r="M84">
        <v>290000</v>
      </c>
      <c r="P84">
        <v>300</v>
      </c>
      <c r="Q84" t="s">
        <v>42</v>
      </c>
      <c r="S84">
        <v>20</v>
      </c>
      <c r="T84">
        <v>44</v>
      </c>
      <c r="U84">
        <v>62.2</v>
      </c>
      <c r="V84">
        <v>0.8</v>
      </c>
      <c r="W84">
        <v>0.75</v>
      </c>
      <c r="X84">
        <v>2.4</v>
      </c>
      <c r="Y84">
        <v>59.736298349999998</v>
      </c>
      <c r="Z84">
        <v>1</v>
      </c>
      <c r="BP84">
        <v>4922.1997000000001</v>
      </c>
      <c r="BQ84">
        <v>87.994095999999999</v>
      </c>
      <c r="BR84">
        <v>87.994095999999999</v>
      </c>
      <c r="BV84">
        <v>2.6189157999999999</v>
      </c>
      <c r="BW84">
        <v>0.45</v>
      </c>
      <c r="BX84">
        <v>0.3</v>
      </c>
    </row>
    <row r="85" spans="1:76" x14ac:dyDescent="0.25">
      <c r="A85">
        <v>60</v>
      </c>
      <c r="B85">
        <v>175</v>
      </c>
      <c r="C85" t="str">
        <f t="shared" si="71"/>
        <v>BainEtal_Reverse</v>
      </c>
      <c r="E85">
        <v>406</v>
      </c>
      <c r="G85">
        <v>9.5</v>
      </c>
      <c r="J85" t="s">
        <v>34</v>
      </c>
      <c r="K85">
        <v>8</v>
      </c>
      <c r="L85">
        <v>10</v>
      </c>
      <c r="M85">
        <v>359000</v>
      </c>
      <c r="P85">
        <v>100</v>
      </c>
      <c r="Q85" t="s">
        <v>42</v>
      </c>
      <c r="S85">
        <v>18</v>
      </c>
      <c r="T85">
        <v>32</v>
      </c>
      <c r="U85">
        <v>33.5</v>
      </c>
      <c r="V85">
        <v>0.6</v>
      </c>
      <c r="W85">
        <v>0.55000000000000004</v>
      </c>
      <c r="X85">
        <v>1.2</v>
      </c>
      <c r="Y85">
        <v>8.7395368659999999</v>
      </c>
      <c r="Z85">
        <v>0.3</v>
      </c>
      <c r="BP85">
        <v>738.53613459999997</v>
      </c>
      <c r="BQ85">
        <v>455.79616240000001</v>
      </c>
      <c r="BR85">
        <v>50</v>
      </c>
      <c r="BV85">
        <v>1.8463400000000001E-2</v>
      </c>
      <c r="BW85">
        <v>0.45</v>
      </c>
      <c r="BX85">
        <v>0.3</v>
      </c>
    </row>
    <row r="86" spans="1:76" x14ac:dyDescent="0.25">
      <c r="A86">
        <v>61</v>
      </c>
      <c r="B86">
        <v>176</v>
      </c>
      <c r="C86" t="str">
        <f t="shared" si="71"/>
        <v>BainEtal_Reverse</v>
      </c>
      <c r="E86">
        <v>406</v>
      </c>
      <c r="G86">
        <v>9.5</v>
      </c>
      <c r="J86" t="s">
        <v>65</v>
      </c>
      <c r="K86">
        <v>3</v>
      </c>
      <c r="L86">
        <v>8</v>
      </c>
      <c r="M86">
        <v>241000</v>
      </c>
      <c r="P86">
        <v>200</v>
      </c>
      <c r="Q86" t="s">
        <v>42</v>
      </c>
      <c r="S86">
        <v>19</v>
      </c>
      <c r="T86">
        <v>38</v>
      </c>
      <c r="U86">
        <v>48</v>
      </c>
      <c r="V86">
        <v>0.7</v>
      </c>
      <c r="W86">
        <v>0.65</v>
      </c>
      <c r="X86">
        <v>1.8</v>
      </c>
      <c r="Y86">
        <v>20.06371377</v>
      </c>
      <c r="Z86">
        <v>0.6</v>
      </c>
      <c r="BP86">
        <v>1695.48774</v>
      </c>
      <c r="BQ86">
        <v>177.87598059999999</v>
      </c>
      <c r="BR86">
        <v>100</v>
      </c>
      <c r="BV86">
        <v>8.6470099999999994E-2</v>
      </c>
      <c r="BW86">
        <v>0.45</v>
      </c>
      <c r="BX86">
        <v>0.3</v>
      </c>
    </row>
    <row r="87" spans="1:76" x14ac:dyDescent="0.25">
      <c r="A87">
        <v>62</v>
      </c>
      <c r="B87">
        <v>177</v>
      </c>
      <c r="C87" t="str">
        <f t="shared" si="71"/>
        <v>BainEtal_Reverse</v>
      </c>
      <c r="E87">
        <v>406</v>
      </c>
      <c r="G87">
        <v>9.5</v>
      </c>
      <c r="J87" t="s">
        <v>65</v>
      </c>
      <c r="K87">
        <v>3</v>
      </c>
      <c r="L87">
        <v>8</v>
      </c>
      <c r="M87">
        <v>241000</v>
      </c>
      <c r="P87">
        <v>300</v>
      </c>
      <c r="Q87" t="s">
        <v>42</v>
      </c>
      <c r="S87">
        <v>20</v>
      </c>
      <c r="T87">
        <v>44</v>
      </c>
      <c r="U87">
        <v>62.2</v>
      </c>
      <c r="V87">
        <v>0.8</v>
      </c>
      <c r="W87">
        <v>0.75</v>
      </c>
      <c r="X87">
        <v>2.4</v>
      </c>
      <c r="Y87">
        <v>39.758913329999999</v>
      </c>
      <c r="Z87">
        <v>1</v>
      </c>
      <c r="BP87">
        <v>3359.8341209999999</v>
      </c>
      <c r="BQ87">
        <v>106.4710864</v>
      </c>
      <c r="BR87">
        <v>106.4710864</v>
      </c>
      <c r="BV87">
        <v>1.5838037</v>
      </c>
      <c r="BW87">
        <v>0.45</v>
      </c>
      <c r="BX87">
        <v>0.3</v>
      </c>
    </row>
    <row r="88" spans="1:76" x14ac:dyDescent="0.25">
      <c r="A88">
        <v>63</v>
      </c>
      <c r="B88">
        <v>179</v>
      </c>
      <c r="C88" t="str">
        <f t="shared" si="71"/>
        <v>BainEtal_Reverse</v>
      </c>
      <c r="E88">
        <v>610</v>
      </c>
      <c r="G88">
        <v>10.199999999999999</v>
      </c>
      <c r="J88" t="s">
        <v>34</v>
      </c>
      <c r="K88">
        <v>8</v>
      </c>
      <c r="L88">
        <v>10</v>
      </c>
      <c r="M88">
        <v>359000</v>
      </c>
      <c r="P88">
        <v>100</v>
      </c>
      <c r="Q88" t="s">
        <v>35</v>
      </c>
      <c r="S88">
        <v>19</v>
      </c>
      <c r="T88">
        <v>38</v>
      </c>
      <c r="U88">
        <v>40</v>
      </c>
      <c r="V88">
        <v>0.75</v>
      </c>
      <c r="W88">
        <v>0.75</v>
      </c>
      <c r="X88">
        <v>1.2</v>
      </c>
      <c r="Y88">
        <v>57.49114556</v>
      </c>
      <c r="Z88">
        <v>0.5</v>
      </c>
      <c r="BP88">
        <v>2991.193143</v>
      </c>
      <c r="BQ88">
        <v>146.99126380000001</v>
      </c>
      <c r="BR88">
        <v>50</v>
      </c>
      <c r="BV88">
        <v>7.4788400000000005E-2</v>
      </c>
      <c r="BW88">
        <v>0.45</v>
      </c>
      <c r="BX88">
        <v>0.3</v>
      </c>
    </row>
    <row r="89" spans="1:76" x14ac:dyDescent="0.25">
      <c r="A89">
        <v>64</v>
      </c>
      <c r="B89">
        <v>177</v>
      </c>
      <c r="C89" t="str">
        <f t="shared" si="71"/>
        <v>BainEtal_Reverse</v>
      </c>
      <c r="E89">
        <v>560</v>
      </c>
      <c r="G89">
        <v>7.1</v>
      </c>
      <c r="J89" t="s">
        <v>37</v>
      </c>
      <c r="K89">
        <v>8</v>
      </c>
      <c r="L89">
        <v>12</v>
      </c>
      <c r="M89">
        <v>414000</v>
      </c>
      <c r="P89">
        <v>100</v>
      </c>
      <c r="Q89" t="s">
        <v>35</v>
      </c>
      <c r="S89">
        <v>18</v>
      </c>
      <c r="T89">
        <v>32</v>
      </c>
      <c r="U89">
        <v>33.5</v>
      </c>
      <c r="V89">
        <v>0.6</v>
      </c>
      <c r="W89">
        <v>0.55000000000000004</v>
      </c>
      <c r="X89">
        <v>1.2</v>
      </c>
      <c r="Y89">
        <v>35.36176691</v>
      </c>
      <c r="Z89">
        <v>0.3</v>
      </c>
      <c r="BP89">
        <v>2867.3396870000001</v>
      </c>
      <c r="BQ89">
        <v>161.1675936</v>
      </c>
      <c r="BR89">
        <v>50</v>
      </c>
      <c r="BV89">
        <v>7.16836E-2</v>
      </c>
      <c r="BW89">
        <v>0.45</v>
      </c>
      <c r="BX89">
        <v>0.3</v>
      </c>
    </row>
    <row r="90" spans="1:76" x14ac:dyDescent="0.25">
      <c r="A90">
        <v>65</v>
      </c>
      <c r="B90">
        <v>180</v>
      </c>
      <c r="C90" t="str">
        <f t="shared" si="71"/>
        <v>BainEtal_Reverse</v>
      </c>
      <c r="E90">
        <v>560</v>
      </c>
      <c r="G90">
        <v>7.1</v>
      </c>
      <c r="J90" t="s">
        <v>37</v>
      </c>
      <c r="K90">
        <v>8</v>
      </c>
      <c r="L90">
        <v>12</v>
      </c>
      <c r="M90">
        <v>414000</v>
      </c>
      <c r="P90">
        <v>200</v>
      </c>
      <c r="Q90" t="s">
        <v>35</v>
      </c>
      <c r="S90">
        <v>19</v>
      </c>
      <c r="T90">
        <v>38</v>
      </c>
      <c r="U90">
        <v>48</v>
      </c>
      <c r="V90">
        <v>0.7</v>
      </c>
      <c r="W90">
        <v>0.65</v>
      </c>
      <c r="X90">
        <v>1.8</v>
      </c>
      <c r="Y90">
        <v>59.11220737</v>
      </c>
      <c r="Z90">
        <v>0.6</v>
      </c>
      <c r="BP90">
        <v>4793.1648489999998</v>
      </c>
      <c r="BQ90">
        <v>110.58326479999999</v>
      </c>
      <c r="BR90">
        <v>100</v>
      </c>
      <c r="BV90">
        <v>1.0951253000000001</v>
      </c>
      <c r="BW90">
        <v>0.45</v>
      </c>
      <c r="BX90">
        <v>0.3</v>
      </c>
    </row>
    <row r="91" spans="1:76" x14ac:dyDescent="0.25">
      <c r="A91">
        <v>66</v>
      </c>
      <c r="B91">
        <v>179</v>
      </c>
      <c r="C91" t="str">
        <f t="shared" si="71"/>
        <v>BainEtal_Reverse</v>
      </c>
      <c r="E91">
        <v>560</v>
      </c>
      <c r="G91">
        <v>7.1</v>
      </c>
      <c r="J91" t="s">
        <v>64</v>
      </c>
      <c r="K91">
        <v>3</v>
      </c>
      <c r="L91">
        <v>9</v>
      </c>
      <c r="M91">
        <v>290000</v>
      </c>
      <c r="P91">
        <v>300</v>
      </c>
      <c r="Q91" t="s">
        <v>35</v>
      </c>
      <c r="S91">
        <v>20</v>
      </c>
      <c r="T91">
        <v>44</v>
      </c>
      <c r="U91">
        <v>62.2</v>
      </c>
      <c r="V91">
        <v>0.8</v>
      </c>
      <c r="W91">
        <v>0.75</v>
      </c>
      <c r="X91">
        <v>2.4</v>
      </c>
      <c r="Y91">
        <v>87.542364250000006</v>
      </c>
      <c r="Z91">
        <v>1</v>
      </c>
      <c r="BP91">
        <v>7098.4488959999999</v>
      </c>
      <c r="BQ91">
        <v>62.522269739999999</v>
      </c>
      <c r="BR91">
        <v>62.522269739999999</v>
      </c>
      <c r="BV91">
        <v>3.2873344000000002</v>
      </c>
      <c r="BW91">
        <v>0.45</v>
      </c>
      <c r="BX91">
        <v>0.3</v>
      </c>
    </row>
    <row r="92" spans="1:76" x14ac:dyDescent="0.25">
      <c r="A92">
        <v>67</v>
      </c>
      <c r="B92">
        <v>176</v>
      </c>
      <c r="C92" t="str">
        <f t="shared" si="71"/>
        <v>BainEtal_Reverse</v>
      </c>
      <c r="E92">
        <v>1257</v>
      </c>
      <c r="G92">
        <v>6.5</v>
      </c>
      <c r="J92" t="s">
        <v>65</v>
      </c>
      <c r="K92">
        <v>3</v>
      </c>
      <c r="L92">
        <v>8</v>
      </c>
      <c r="M92">
        <v>241000</v>
      </c>
      <c r="P92">
        <v>100</v>
      </c>
      <c r="Q92" t="s">
        <v>35</v>
      </c>
      <c r="S92">
        <v>18</v>
      </c>
      <c r="T92">
        <v>32</v>
      </c>
      <c r="U92">
        <v>33.5</v>
      </c>
      <c r="V92">
        <v>0.6</v>
      </c>
      <c r="W92">
        <v>0.55000000000000004</v>
      </c>
      <c r="X92">
        <v>1.2</v>
      </c>
      <c r="Y92">
        <v>79.374537509999996</v>
      </c>
      <c r="Z92">
        <v>0.3</v>
      </c>
      <c r="BP92">
        <v>3108.3812630000002</v>
      </c>
      <c r="BQ92">
        <v>97.444123289999993</v>
      </c>
      <c r="BR92">
        <v>50</v>
      </c>
      <c r="BV92">
        <v>7.8484399999999996E-2</v>
      </c>
      <c r="BW92">
        <v>0.45</v>
      </c>
      <c r="BX92">
        <v>0.3</v>
      </c>
    </row>
    <row r="93" spans="1:76" x14ac:dyDescent="0.25">
      <c r="A93">
        <v>68</v>
      </c>
      <c r="B93">
        <v>178</v>
      </c>
      <c r="C93" t="str">
        <f t="shared" si="71"/>
        <v>BainEtal_Reverse</v>
      </c>
      <c r="E93">
        <v>1257</v>
      </c>
      <c r="G93">
        <v>6.5</v>
      </c>
      <c r="J93" t="s">
        <v>34</v>
      </c>
      <c r="K93">
        <v>8</v>
      </c>
      <c r="L93">
        <v>10</v>
      </c>
      <c r="M93">
        <v>359000</v>
      </c>
      <c r="P93">
        <v>200</v>
      </c>
      <c r="Q93" t="s">
        <v>35</v>
      </c>
      <c r="S93">
        <v>19</v>
      </c>
      <c r="T93">
        <v>38</v>
      </c>
      <c r="U93">
        <v>48</v>
      </c>
      <c r="V93">
        <v>0.7</v>
      </c>
      <c r="W93">
        <v>0.65</v>
      </c>
      <c r="X93">
        <v>1.8</v>
      </c>
      <c r="Y93">
        <v>132.68579399999999</v>
      </c>
      <c r="Z93">
        <v>0.6</v>
      </c>
      <c r="BP93">
        <v>5196.1000219999996</v>
      </c>
      <c r="BQ93">
        <v>91.491185990000005</v>
      </c>
      <c r="BR93">
        <v>91.491185990000005</v>
      </c>
      <c r="BV93">
        <v>3.1041672</v>
      </c>
      <c r="BW93">
        <v>0.45</v>
      </c>
      <c r="BX93">
        <v>0.3</v>
      </c>
    </row>
    <row r="94" spans="1:76" x14ac:dyDescent="0.25">
      <c r="A94">
        <v>69</v>
      </c>
      <c r="B94">
        <v>180</v>
      </c>
      <c r="C94" t="str">
        <f t="shared" si="71"/>
        <v>BainEtal_Reverse</v>
      </c>
      <c r="E94">
        <v>1257</v>
      </c>
      <c r="G94">
        <v>6.5</v>
      </c>
      <c r="J94" t="s">
        <v>64</v>
      </c>
      <c r="K94">
        <v>3</v>
      </c>
      <c r="L94">
        <v>9</v>
      </c>
      <c r="M94">
        <v>290000</v>
      </c>
      <c r="P94">
        <v>300</v>
      </c>
      <c r="Q94" t="s">
        <v>35</v>
      </c>
      <c r="S94">
        <v>20</v>
      </c>
      <c r="T94">
        <v>44</v>
      </c>
      <c r="U94">
        <v>62.2</v>
      </c>
      <c r="V94">
        <v>0.8</v>
      </c>
      <c r="W94">
        <v>0.75</v>
      </c>
      <c r="X94">
        <v>2.4</v>
      </c>
      <c r="Y94">
        <v>196.50134259999999</v>
      </c>
      <c r="Z94">
        <v>1</v>
      </c>
      <c r="BP94">
        <v>7695.1766989999996</v>
      </c>
      <c r="BQ94">
        <v>57.868806139999997</v>
      </c>
      <c r="BR94">
        <v>57.868806139999997</v>
      </c>
      <c r="BV94">
        <v>3.3932481999999999</v>
      </c>
      <c r="BW94">
        <v>0.45</v>
      </c>
      <c r="BX94">
        <v>0.3</v>
      </c>
    </row>
    <row r="95" spans="1:76" x14ac:dyDescent="0.25">
      <c r="A95">
        <v>70</v>
      </c>
      <c r="B95">
        <v>176</v>
      </c>
      <c r="C95" t="str">
        <f t="shared" si="71"/>
        <v>BainEtal_Reverse</v>
      </c>
      <c r="E95">
        <v>1723</v>
      </c>
      <c r="G95">
        <v>9.5</v>
      </c>
      <c r="J95" t="s">
        <v>39</v>
      </c>
      <c r="K95">
        <v>14</v>
      </c>
      <c r="L95">
        <v>15</v>
      </c>
      <c r="M95">
        <v>483000</v>
      </c>
      <c r="P95">
        <v>100</v>
      </c>
      <c r="Q95" t="s">
        <v>35</v>
      </c>
      <c r="S95">
        <v>18</v>
      </c>
      <c r="T95">
        <v>32</v>
      </c>
      <c r="U95">
        <v>33.5</v>
      </c>
      <c r="V95">
        <v>0.6</v>
      </c>
      <c r="W95">
        <v>0.55000000000000004</v>
      </c>
      <c r="X95">
        <v>1.2</v>
      </c>
      <c r="Y95">
        <v>108.8005793</v>
      </c>
      <c r="Z95">
        <v>0.3</v>
      </c>
      <c r="BP95">
        <v>2127.5198500000001</v>
      </c>
      <c r="BQ95">
        <v>234.8272054</v>
      </c>
      <c r="BR95">
        <v>50</v>
      </c>
      <c r="BV95">
        <v>5.3187999999999999E-2</v>
      </c>
      <c r="BW95">
        <v>0.45</v>
      </c>
      <c r="BX95">
        <v>0.3</v>
      </c>
    </row>
    <row r="96" spans="1:76" x14ac:dyDescent="0.25">
      <c r="A96">
        <v>71</v>
      </c>
      <c r="B96">
        <v>176</v>
      </c>
      <c r="C96" t="str">
        <f t="shared" si="71"/>
        <v>BainEtal_Reverse</v>
      </c>
      <c r="E96">
        <v>1723</v>
      </c>
      <c r="G96">
        <v>9.5</v>
      </c>
      <c r="J96" t="s">
        <v>64</v>
      </c>
      <c r="K96">
        <v>3</v>
      </c>
      <c r="L96">
        <v>9</v>
      </c>
      <c r="M96">
        <v>290000</v>
      </c>
      <c r="P96">
        <v>200</v>
      </c>
      <c r="Q96" t="s">
        <v>35</v>
      </c>
      <c r="S96">
        <v>19</v>
      </c>
      <c r="T96">
        <v>38</v>
      </c>
      <c r="U96">
        <v>48</v>
      </c>
      <c r="V96">
        <v>0.7</v>
      </c>
      <c r="W96">
        <v>0.65</v>
      </c>
      <c r="X96">
        <v>1.8</v>
      </c>
      <c r="Y96">
        <v>181.87559519999999</v>
      </c>
      <c r="Z96">
        <v>0.6</v>
      </c>
      <c r="BP96">
        <v>3556.4510930000001</v>
      </c>
      <c r="BQ96">
        <v>107.8452269</v>
      </c>
      <c r="BR96">
        <v>100</v>
      </c>
      <c r="BV96">
        <v>0.51253950000000004</v>
      </c>
      <c r="BW96">
        <v>0.45</v>
      </c>
      <c r="BX96">
        <v>0.3</v>
      </c>
    </row>
    <row r="97" spans="1:76" x14ac:dyDescent="0.25">
      <c r="A97">
        <v>72</v>
      </c>
      <c r="B97">
        <v>176</v>
      </c>
      <c r="C97" t="str">
        <f t="shared" si="71"/>
        <v>BainEtal_Reverse</v>
      </c>
      <c r="E97">
        <v>1723</v>
      </c>
      <c r="G97">
        <v>9.5</v>
      </c>
      <c r="J97" t="s">
        <v>64</v>
      </c>
      <c r="K97">
        <v>3</v>
      </c>
      <c r="L97">
        <v>9</v>
      </c>
      <c r="M97">
        <v>290000</v>
      </c>
      <c r="P97">
        <v>300</v>
      </c>
      <c r="Q97" t="s">
        <v>35</v>
      </c>
      <c r="S97">
        <v>20</v>
      </c>
      <c r="T97">
        <v>44</v>
      </c>
      <c r="U97">
        <v>62.2</v>
      </c>
      <c r="V97">
        <v>0.8</v>
      </c>
      <c r="W97">
        <v>0.75</v>
      </c>
      <c r="X97">
        <v>2.4</v>
      </c>
      <c r="Y97">
        <v>269.34909570000002</v>
      </c>
      <c r="Z97">
        <v>1</v>
      </c>
      <c r="BP97">
        <v>5266.9347129999996</v>
      </c>
      <c r="BQ97">
        <v>80.689737109999996</v>
      </c>
      <c r="BR97">
        <v>80.689737109999996</v>
      </c>
      <c r="BV97">
        <v>2.1998313</v>
      </c>
      <c r="BW97">
        <v>0.45</v>
      </c>
      <c r="BX97">
        <v>0.3</v>
      </c>
    </row>
    <row r="98" spans="1:76" x14ac:dyDescent="0.25">
      <c r="A98">
        <v>73</v>
      </c>
      <c r="B98">
        <v>180</v>
      </c>
      <c r="C98" t="str">
        <f t="shared" si="71"/>
        <v>BainEtal_Reverse</v>
      </c>
      <c r="E98">
        <v>168</v>
      </c>
      <c r="G98">
        <v>4.8</v>
      </c>
      <c r="J98" t="s">
        <v>34</v>
      </c>
      <c r="K98">
        <v>8</v>
      </c>
      <c r="L98">
        <v>10</v>
      </c>
      <c r="M98">
        <v>359000</v>
      </c>
      <c r="P98">
        <v>100</v>
      </c>
      <c r="Q98" t="s">
        <v>35</v>
      </c>
      <c r="S98">
        <v>18</v>
      </c>
      <c r="T98">
        <v>32</v>
      </c>
      <c r="U98">
        <v>33.5</v>
      </c>
      <c r="V98">
        <v>0.6</v>
      </c>
      <c r="W98">
        <v>0.55000000000000004</v>
      </c>
      <c r="X98">
        <v>1.2</v>
      </c>
      <c r="Y98">
        <v>10.60853007</v>
      </c>
      <c r="Z98">
        <v>0.3</v>
      </c>
      <c r="BP98">
        <v>4310.6617649999998</v>
      </c>
      <c r="BQ98">
        <v>102.24046</v>
      </c>
      <c r="BR98">
        <v>50</v>
      </c>
      <c r="BV98">
        <v>0.1082434</v>
      </c>
      <c r="BW98">
        <v>0.45</v>
      </c>
      <c r="BX98">
        <v>0.3</v>
      </c>
    </row>
    <row r="99" spans="1:76" x14ac:dyDescent="0.25">
      <c r="A99">
        <v>74</v>
      </c>
      <c r="B99">
        <v>176</v>
      </c>
      <c r="C99" t="str">
        <f t="shared" si="71"/>
        <v>BainEtal_Reverse</v>
      </c>
      <c r="E99">
        <v>168</v>
      </c>
      <c r="G99">
        <v>4.8</v>
      </c>
      <c r="J99" t="s">
        <v>64</v>
      </c>
      <c r="K99">
        <v>3</v>
      </c>
      <c r="L99">
        <v>9</v>
      </c>
      <c r="M99">
        <v>290000</v>
      </c>
      <c r="P99">
        <v>200</v>
      </c>
      <c r="Q99" t="s">
        <v>35</v>
      </c>
      <c r="S99">
        <v>19</v>
      </c>
      <c r="T99">
        <v>38</v>
      </c>
      <c r="U99">
        <v>48</v>
      </c>
      <c r="V99">
        <v>0.7</v>
      </c>
      <c r="W99">
        <v>0.65</v>
      </c>
      <c r="X99">
        <v>1.8</v>
      </c>
      <c r="Y99">
        <v>17.733662209999999</v>
      </c>
      <c r="Z99">
        <v>0.6</v>
      </c>
      <c r="BP99">
        <v>7205.882353</v>
      </c>
      <c r="BQ99">
        <v>59.303779749999997</v>
      </c>
      <c r="BR99">
        <v>59.303779749999997</v>
      </c>
      <c r="BV99">
        <v>2.3135973999999999</v>
      </c>
      <c r="BW99">
        <v>0.45</v>
      </c>
      <c r="BX99">
        <v>0.3</v>
      </c>
    </row>
    <row r="100" spans="1:76" x14ac:dyDescent="0.25">
      <c r="A100">
        <v>75</v>
      </c>
      <c r="B100">
        <v>178</v>
      </c>
      <c r="C100" t="str">
        <f t="shared" si="71"/>
        <v>BainEtal_Reverse</v>
      </c>
      <c r="E100">
        <v>168</v>
      </c>
      <c r="G100">
        <v>4.8</v>
      </c>
      <c r="J100" t="s">
        <v>41</v>
      </c>
      <c r="K100">
        <v>15</v>
      </c>
      <c r="L100">
        <v>20</v>
      </c>
      <c r="M100">
        <v>552000</v>
      </c>
      <c r="P100">
        <v>300</v>
      </c>
      <c r="Q100" t="s">
        <v>35</v>
      </c>
      <c r="S100">
        <v>20</v>
      </c>
      <c r="T100">
        <v>44</v>
      </c>
      <c r="U100">
        <v>62.2</v>
      </c>
      <c r="V100">
        <v>0.8</v>
      </c>
      <c r="W100">
        <v>0.75</v>
      </c>
      <c r="X100">
        <v>2.4</v>
      </c>
      <c r="Y100">
        <v>26.262709269999998</v>
      </c>
      <c r="Z100">
        <v>1</v>
      </c>
      <c r="BP100">
        <v>10671.56863</v>
      </c>
      <c r="BQ100">
        <v>73.637422060000006</v>
      </c>
      <c r="BR100">
        <v>73.637422060000006</v>
      </c>
      <c r="BV100">
        <v>328.43080020000002</v>
      </c>
      <c r="BW100">
        <v>0.45</v>
      </c>
      <c r="BX100">
        <v>0.3</v>
      </c>
    </row>
    <row r="101" spans="1:76" x14ac:dyDescent="0.25">
      <c r="A101">
        <v>76</v>
      </c>
      <c r="B101">
        <v>180</v>
      </c>
      <c r="C101" t="str">
        <f t="shared" si="71"/>
        <v>BainEtal_Reverse</v>
      </c>
      <c r="E101">
        <v>762</v>
      </c>
      <c r="G101">
        <v>9.5</v>
      </c>
      <c r="J101" t="s">
        <v>41</v>
      </c>
      <c r="K101">
        <v>15</v>
      </c>
      <c r="L101">
        <v>20</v>
      </c>
      <c r="M101">
        <v>552000</v>
      </c>
      <c r="P101">
        <v>100</v>
      </c>
      <c r="Q101" t="s">
        <v>35</v>
      </c>
      <c r="S101">
        <v>18</v>
      </c>
      <c r="T101">
        <v>32</v>
      </c>
      <c r="U101">
        <v>33.5</v>
      </c>
      <c r="V101">
        <v>0.6</v>
      </c>
      <c r="W101">
        <v>0.55000000000000004</v>
      </c>
      <c r="X101">
        <v>1.2</v>
      </c>
      <c r="Y101">
        <v>48.117261399999997</v>
      </c>
      <c r="Z101">
        <v>0.3</v>
      </c>
      <c r="BP101">
        <v>2142.5004370000001</v>
      </c>
      <c r="BQ101">
        <v>260.84833689999999</v>
      </c>
      <c r="BR101">
        <v>50</v>
      </c>
      <c r="BV101">
        <v>5.3562499999999999E-2</v>
      </c>
      <c r="BW101">
        <v>0.45</v>
      </c>
      <c r="BX101">
        <v>0.3</v>
      </c>
    </row>
    <row r="102" spans="1:76" x14ac:dyDescent="0.25">
      <c r="A102">
        <v>77</v>
      </c>
      <c r="B102">
        <v>176</v>
      </c>
      <c r="C102" t="str">
        <f t="shared" si="71"/>
        <v>BainEtal_Reverse</v>
      </c>
      <c r="E102">
        <v>762</v>
      </c>
      <c r="G102">
        <v>9.5</v>
      </c>
      <c r="J102" t="s">
        <v>34</v>
      </c>
      <c r="K102">
        <v>8</v>
      </c>
      <c r="L102">
        <v>10</v>
      </c>
      <c r="M102">
        <v>359000</v>
      </c>
      <c r="P102">
        <v>200</v>
      </c>
      <c r="Q102" t="s">
        <v>35</v>
      </c>
      <c r="S102">
        <v>19</v>
      </c>
      <c r="T102">
        <v>38</v>
      </c>
      <c r="U102">
        <v>48</v>
      </c>
      <c r="V102">
        <v>0.7</v>
      </c>
      <c r="W102">
        <v>0.65</v>
      </c>
      <c r="X102">
        <v>1.8</v>
      </c>
      <c r="Y102">
        <v>80.434825029999999</v>
      </c>
      <c r="Z102">
        <v>0.6</v>
      </c>
      <c r="BP102">
        <v>3581.4932680000002</v>
      </c>
      <c r="BQ102">
        <v>127.5713159</v>
      </c>
      <c r="BR102">
        <v>100</v>
      </c>
      <c r="BV102">
        <v>0.30625750000000002</v>
      </c>
      <c r="BW102">
        <v>0.45</v>
      </c>
      <c r="BX102">
        <v>0.3</v>
      </c>
    </row>
    <row r="103" spans="1:76" x14ac:dyDescent="0.25">
      <c r="A103">
        <v>78</v>
      </c>
      <c r="B103">
        <v>178</v>
      </c>
      <c r="C103" t="str">
        <f t="shared" si="71"/>
        <v>BainEtal_Reverse</v>
      </c>
      <c r="E103">
        <v>762</v>
      </c>
      <c r="G103">
        <v>9.5</v>
      </c>
      <c r="J103" t="s">
        <v>41</v>
      </c>
      <c r="K103">
        <v>15</v>
      </c>
      <c r="L103">
        <v>20</v>
      </c>
      <c r="M103">
        <v>552000</v>
      </c>
      <c r="P103">
        <v>300</v>
      </c>
      <c r="Q103" t="s">
        <v>35</v>
      </c>
      <c r="S103">
        <v>20</v>
      </c>
      <c r="T103">
        <v>44</v>
      </c>
      <c r="U103">
        <v>62.2</v>
      </c>
      <c r="V103">
        <v>0.8</v>
      </c>
      <c r="W103">
        <v>0.75</v>
      </c>
      <c r="X103">
        <v>2.4</v>
      </c>
      <c r="Y103">
        <v>119.1201456</v>
      </c>
      <c r="Z103">
        <v>1</v>
      </c>
      <c r="BP103">
        <v>5304.0209830000003</v>
      </c>
      <c r="BQ103">
        <v>133.9112705</v>
      </c>
      <c r="BR103">
        <v>133.9112705</v>
      </c>
      <c r="BV103">
        <v>39.613304399999997</v>
      </c>
      <c r="BW103">
        <v>0.45</v>
      </c>
      <c r="BX103">
        <v>0.3</v>
      </c>
    </row>
    <row r="104" spans="1:76" x14ac:dyDescent="0.25">
      <c r="A104">
        <v>79</v>
      </c>
      <c r="B104">
        <v>175</v>
      </c>
      <c r="C104" t="str">
        <f t="shared" si="71"/>
        <v>BainEtal_Reverse</v>
      </c>
      <c r="E104">
        <v>610</v>
      </c>
      <c r="G104">
        <v>6.4</v>
      </c>
      <c r="J104" t="s">
        <v>34</v>
      </c>
      <c r="K104">
        <v>8</v>
      </c>
      <c r="L104">
        <v>10</v>
      </c>
      <c r="M104">
        <v>359000</v>
      </c>
      <c r="P104">
        <v>100</v>
      </c>
      <c r="Q104" t="s">
        <v>35</v>
      </c>
      <c r="S104">
        <v>18</v>
      </c>
      <c r="T104">
        <v>32</v>
      </c>
      <c r="U104">
        <v>33.5</v>
      </c>
      <c r="V104">
        <v>0.6</v>
      </c>
      <c r="W104">
        <v>0.55000000000000004</v>
      </c>
      <c r="X104">
        <v>1.2</v>
      </c>
      <c r="Y104">
        <v>38.519067530000001</v>
      </c>
      <c r="Z104">
        <v>0.3</v>
      </c>
      <c r="BP104">
        <v>3173.9251989999998</v>
      </c>
      <c r="BQ104">
        <v>131.54341969999999</v>
      </c>
      <c r="BR104">
        <v>50</v>
      </c>
      <c r="BV104">
        <v>7.9364599999999993E-2</v>
      </c>
      <c r="BW104">
        <v>0.45</v>
      </c>
      <c r="BX104">
        <v>0.3</v>
      </c>
    </row>
    <row r="105" spans="1:76" x14ac:dyDescent="0.25">
      <c r="A105">
        <v>80</v>
      </c>
      <c r="B105">
        <v>176</v>
      </c>
      <c r="C105" t="str">
        <f t="shared" si="71"/>
        <v>BainEtal_Reverse</v>
      </c>
      <c r="E105">
        <v>610</v>
      </c>
      <c r="G105">
        <v>6.4</v>
      </c>
      <c r="J105" t="s">
        <v>41</v>
      </c>
      <c r="K105">
        <v>15</v>
      </c>
      <c r="L105">
        <v>20</v>
      </c>
      <c r="M105">
        <v>552000</v>
      </c>
      <c r="P105">
        <v>200</v>
      </c>
      <c r="Q105" t="s">
        <v>35</v>
      </c>
      <c r="S105">
        <v>19</v>
      </c>
      <c r="T105">
        <v>38</v>
      </c>
      <c r="U105">
        <v>48</v>
      </c>
      <c r="V105">
        <v>0.7</v>
      </c>
      <c r="W105">
        <v>0.65</v>
      </c>
      <c r="X105">
        <v>1.8</v>
      </c>
      <c r="Y105">
        <v>64.39008303</v>
      </c>
      <c r="Z105">
        <v>0.6</v>
      </c>
      <c r="BP105">
        <v>5305.6660039999997</v>
      </c>
      <c r="BQ105">
        <v>126.62735549999999</v>
      </c>
      <c r="BR105">
        <v>100</v>
      </c>
      <c r="BV105">
        <v>0.35110530000000001</v>
      </c>
      <c r="BW105">
        <v>0.45</v>
      </c>
      <c r="BX105">
        <v>0.3</v>
      </c>
    </row>
    <row r="106" spans="1:76" x14ac:dyDescent="0.25">
      <c r="A106">
        <v>81</v>
      </c>
      <c r="B106">
        <v>179</v>
      </c>
      <c r="C106" t="str">
        <f t="shared" si="71"/>
        <v>BainEtal_Reverse</v>
      </c>
      <c r="E106">
        <v>610</v>
      </c>
      <c r="G106">
        <v>6.4</v>
      </c>
      <c r="J106" t="s">
        <v>64</v>
      </c>
      <c r="K106">
        <v>3</v>
      </c>
      <c r="L106">
        <v>9</v>
      </c>
      <c r="M106">
        <v>290000</v>
      </c>
      <c r="P106">
        <v>300</v>
      </c>
      <c r="Q106" t="s">
        <v>35</v>
      </c>
      <c r="S106">
        <v>20</v>
      </c>
      <c r="T106">
        <v>44</v>
      </c>
      <c r="U106">
        <v>62.2</v>
      </c>
      <c r="V106">
        <v>0.8</v>
      </c>
      <c r="W106">
        <v>0.75</v>
      </c>
      <c r="X106">
        <v>2.4</v>
      </c>
      <c r="Y106">
        <v>95.358646769999993</v>
      </c>
      <c r="Z106">
        <v>1</v>
      </c>
      <c r="BP106">
        <v>7857.438701</v>
      </c>
      <c r="BQ106">
        <v>57.088164460000002</v>
      </c>
      <c r="BR106">
        <v>57.088164460000002</v>
      </c>
      <c r="BV106">
        <v>3.6344853000000001</v>
      </c>
      <c r="BW106">
        <v>0.45</v>
      </c>
      <c r="BX106">
        <v>0.3</v>
      </c>
    </row>
    <row r="107" spans="1:76" x14ac:dyDescent="0.25">
      <c r="A107">
        <v>82</v>
      </c>
      <c r="B107">
        <v>179</v>
      </c>
      <c r="C107" t="str">
        <f t="shared" si="71"/>
        <v>BainEtal_Reverse</v>
      </c>
      <c r="E107">
        <v>406</v>
      </c>
      <c r="G107">
        <v>9.5</v>
      </c>
      <c r="J107" t="s">
        <v>34</v>
      </c>
      <c r="K107">
        <v>8</v>
      </c>
      <c r="L107">
        <v>10</v>
      </c>
      <c r="M107">
        <v>359000</v>
      </c>
      <c r="P107">
        <v>100</v>
      </c>
      <c r="Q107" t="s">
        <v>35</v>
      </c>
      <c r="S107">
        <v>18</v>
      </c>
      <c r="T107">
        <v>32</v>
      </c>
      <c r="U107">
        <v>33.5</v>
      </c>
      <c r="V107">
        <v>0.6</v>
      </c>
      <c r="W107">
        <v>0.55000000000000004</v>
      </c>
      <c r="X107">
        <v>1.2</v>
      </c>
      <c r="Y107">
        <v>25.637281009999999</v>
      </c>
      <c r="Z107">
        <v>0.3</v>
      </c>
      <c r="BP107">
        <v>2166.4830419999998</v>
      </c>
      <c r="BQ107">
        <v>185.9265235</v>
      </c>
      <c r="BR107">
        <v>50</v>
      </c>
      <c r="BV107">
        <v>5.4162299999999997E-2</v>
      </c>
      <c r="BW107">
        <v>0.45</v>
      </c>
      <c r="BX107">
        <v>0.3</v>
      </c>
    </row>
    <row r="108" spans="1:76" x14ac:dyDescent="0.25">
      <c r="A108">
        <v>83</v>
      </c>
      <c r="B108">
        <v>178</v>
      </c>
      <c r="C108" t="str">
        <f t="shared" si="71"/>
        <v>BainEtal_Reverse</v>
      </c>
      <c r="E108">
        <v>406</v>
      </c>
      <c r="G108">
        <v>9.5</v>
      </c>
      <c r="J108" t="s">
        <v>65</v>
      </c>
      <c r="K108">
        <v>3</v>
      </c>
      <c r="L108">
        <v>8</v>
      </c>
      <c r="M108">
        <v>241000</v>
      </c>
      <c r="P108">
        <v>200</v>
      </c>
      <c r="Q108" t="s">
        <v>35</v>
      </c>
      <c r="S108">
        <v>19</v>
      </c>
      <c r="T108">
        <v>38</v>
      </c>
      <c r="U108">
        <v>48</v>
      </c>
      <c r="V108">
        <v>0.7</v>
      </c>
      <c r="W108">
        <v>0.65</v>
      </c>
      <c r="X108">
        <v>1.8</v>
      </c>
      <c r="Y108">
        <v>42.856350339999999</v>
      </c>
      <c r="Z108">
        <v>0.6</v>
      </c>
      <c r="BP108">
        <v>3621.5835929999998</v>
      </c>
      <c r="BQ108">
        <v>93.226872830000005</v>
      </c>
      <c r="BR108">
        <v>93.226872830000005</v>
      </c>
      <c r="BV108">
        <v>1.003781</v>
      </c>
      <c r="BW108">
        <v>0.45</v>
      </c>
      <c r="BX108">
        <v>0.3</v>
      </c>
    </row>
    <row r="109" spans="1:76" x14ac:dyDescent="0.25">
      <c r="A109">
        <v>84</v>
      </c>
      <c r="B109">
        <v>178</v>
      </c>
      <c r="C109" t="str">
        <f t="shared" si="71"/>
        <v>BainEtal_Reverse</v>
      </c>
      <c r="E109">
        <v>406</v>
      </c>
      <c r="G109">
        <v>9.5</v>
      </c>
      <c r="J109" t="s">
        <v>65</v>
      </c>
      <c r="K109">
        <v>3</v>
      </c>
      <c r="L109">
        <v>8</v>
      </c>
      <c r="M109">
        <v>241000</v>
      </c>
      <c r="P109">
        <v>300</v>
      </c>
      <c r="Q109" t="s">
        <v>35</v>
      </c>
      <c r="S109">
        <v>20</v>
      </c>
      <c r="T109">
        <v>44</v>
      </c>
      <c r="U109">
        <v>62.2</v>
      </c>
      <c r="V109">
        <v>0.8</v>
      </c>
      <c r="W109">
        <v>0.75</v>
      </c>
      <c r="X109">
        <v>2.4</v>
      </c>
      <c r="Y109">
        <v>63.468214080000003</v>
      </c>
      <c r="Z109">
        <v>1</v>
      </c>
      <c r="BP109">
        <v>5363.3928450000003</v>
      </c>
      <c r="BQ109">
        <v>69.752292960000005</v>
      </c>
      <c r="BR109">
        <v>69.752292960000005</v>
      </c>
      <c r="BV109">
        <v>2.2893572999999998</v>
      </c>
      <c r="BW109">
        <v>0.45</v>
      </c>
      <c r="BX109">
        <v>0.3</v>
      </c>
    </row>
    <row r="111" spans="1:76" x14ac:dyDescent="0.25">
      <c r="E111" t="s">
        <v>2</v>
      </c>
      <c r="G111" t="s">
        <v>4</v>
      </c>
      <c r="J111" t="s">
        <v>7</v>
      </c>
      <c r="K111" t="s">
        <v>8</v>
      </c>
      <c r="L111" t="s">
        <v>9</v>
      </c>
      <c r="M111" t="s">
        <v>10</v>
      </c>
      <c r="P111" t="s">
        <v>72</v>
      </c>
      <c r="Q111" t="s">
        <v>13</v>
      </c>
      <c r="S111" t="s">
        <v>15</v>
      </c>
      <c r="T111" t="s">
        <v>16</v>
      </c>
      <c r="U111" t="s">
        <v>17</v>
      </c>
      <c r="V111" t="s">
        <v>18</v>
      </c>
      <c r="W111" t="s">
        <v>19</v>
      </c>
      <c r="X111" t="s">
        <v>20</v>
      </c>
      <c r="Y111" t="s">
        <v>21</v>
      </c>
      <c r="Z111" t="s">
        <v>29</v>
      </c>
      <c r="BP111" t="s">
        <v>73</v>
      </c>
      <c r="BQ111" t="s">
        <v>74</v>
      </c>
      <c r="BR111" t="s">
        <v>75</v>
      </c>
      <c r="BV111" t="s">
        <v>31</v>
      </c>
      <c r="BW111" t="s">
        <v>32</v>
      </c>
      <c r="BX111" t="s">
        <v>33</v>
      </c>
    </row>
    <row r="112" spans="1:76" x14ac:dyDescent="0.25">
      <c r="A112">
        <f>A109+1</f>
        <v>85</v>
      </c>
      <c r="B112">
        <v>3</v>
      </c>
      <c r="C112" t="str">
        <f t="shared" ref="C112:C155" si="72">IF(AND(B112&gt;=0,B112&lt;=5),"BainEtal_Normal",IF(AND(B112&gt;5,B112&lt;90),"SSTens",IF(AND(B112&gt;=90,B112&lt;175),"SSComp",IF(AND(B112&gt;=175,B112&lt;=180),"BainEtal_Reverse"))))</f>
        <v>BainEtal_Normal</v>
      </c>
      <c r="E112">
        <v>610</v>
      </c>
      <c r="G112">
        <v>10.199999999999999</v>
      </c>
      <c r="J112" t="s">
        <v>34</v>
      </c>
      <c r="K112">
        <v>8</v>
      </c>
      <c r="L112">
        <v>10</v>
      </c>
      <c r="M112">
        <v>359000</v>
      </c>
      <c r="P112">
        <v>100</v>
      </c>
      <c r="Q112" t="s">
        <v>42</v>
      </c>
      <c r="S112">
        <v>19</v>
      </c>
      <c r="T112">
        <v>38</v>
      </c>
      <c r="U112">
        <v>40</v>
      </c>
      <c r="V112">
        <v>0.75</v>
      </c>
      <c r="W112">
        <v>0.75</v>
      </c>
      <c r="X112">
        <v>1.2</v>
      </c>
      <c r="Y112">
        <v>23.723510319999999</v>
      </c>
      <c r="Z112">
        <v>0.5</v>
      </c>
      <c r="BP112">
        <v>1234.3048779999999</v>
      </c>
      <c r="BQ112">
        <v>307.95887750000003</v>
      </c>
      <c r="BR112">
        <v>50</v>
      </c>
      <c r="BV112">
        <v>3.0857599999999999E-2</v>
      </c>
      <c r="BW112">
        <v>0.45</v>
      </c>
      <c r="BX112">
        <v>0.3</v>
      </c>
    </row>
    <row r="113" spans="1:76" x14ac:dyDescent="0.25">
      <c r="A113">
        <f>A112+1</f>
        <v>86</v>
      </c>
      <c r="B113">
        <v>2</v>
      </c>
      <c r="C113" t="str">
        <f t="shared" si="72"/>
        <v>BainEtal_Normal</v>
      </c>
      <c r="E113">
        <v>560</v>
      </c>
      <c r="G113">
        <v>7.1</v>
      </c>
      <c r="J113" t="s">
        <v>37</v>
      </c>
      <c r="K113">
        <v>8</v>
      </c>
      <c r="L113">
        <v>12</v>
      </c>
      <c r="M113">
        <v>414000</v>
      </c>
      <c r="P113">
        <v>100</v>
      </c>
      <c r="Q113" t="s">
        <v>42</v>
      </c>
      <c r="S113">
        <v>18</v>
      </c>
      <c r="T113">
        <v>32</v>
      </c>
      <c r="U113">
        <v>33.5</v>
      </c>
      <c r="V113">
        <v>0.6</v>
      </c>
      <c r="W113">
        <v>0.55000000000000004</v>
      </c>
      <c r="X113">
        <v>1.2</v>
      </c>
      <c r="Y113">
        <v>12.05453361</v>
      </c>
      <c r="Z113">
        <v>0.3</v>
      </c>
      <c r="BP113">
        <v>977.45236279999995</v>
      </c>
      <c r="BQ113">
        <v>398.01646820000002</v>
      </c>
      <c r="BR113">
        <v>50</v>
      </c>
      <c r="BV113">
        <v>2.4436300000000001E-2</v>
      </c>
      <c r="BW113">
        <v>0.45</v>
      </c>
      <c r="BX113">
        <v>0.3</v>
      </c>
    </row>
    <row r="114" spans="1:76" x14ac:dyDescent="0.25">
      <c r="A114">
        <f t="shared" ref="A114:A155" si="73">A113+1</f>
        <v>87</v>
      </c>
      <c r="B114">
        <v>5</v>
      </c>
      <c r="C114" t="str">
        <f t="shared" si="72"/>
        <v>BainEtal_Normal</v>
      </c>
      <c r="E114">
        <v>560</v>
      </c>
      <c r="G114">
        <v>7.1</v>
      </c>
      <c r="J114" t="s">
        <v>37</v>
      </c>
      <c r="K114">
        <v>8</v>
      </c>
      <c r="L114">
        <v>12</v>
      </c>
      <c r="M114">
        <v>414000</v>
      </c>
      <c r="P114">
        <v>200</v>
      </c>
      <c r="Q114" t="s">
        <v>42</v>
      </c>
      <c r="S114">
        <v>19</v>
      </c>
      <c r="T114">
        <v>38</v>
      </c>
      <c r="U114">
        <v>48</v>
      </c>
      <c r="V114">
        <v>0.7</v>
      </c>
      <c r="W114">
        <v>0.65</v>
      </c>
      <c r="X114">
        <v>1.8</v>
      </c>
      <c r="Y114">
        <v>27.674087950000001</v>
      </c>
      <c r="Z114">
        <v>0.6</v>
      </c>
      <c r="BP114">
        <v>2243.977539</v>
      </c>
      <c r="BQ114">
        <v>209.52160710000001</v>
      </c>
      <c r="BR114">
        <v>100</v>
      </c>
      <c r="BV114">
        <v>0.1122433</v>
      </c>
      <c r="BW114">
        <v>0.45</v>
      </c>
      <c r="BX114">
        <v>0.3</v>
      </c>
    </row>
    <row r="115" spans="1:76" x14ac:dyDescent="0.25">
      <c r="A115">
        <f t="shared" si="73"/>
        <v>88</v>
      </c>
      <c r="B115">
        <v>0</v>
      </c>
      <c r="C115" t="str">
        <f t="shared" si="72"/>
        <v>BainEtal_Normal</v>
      </c>
      <c r="E115">
        <v>560</v>
      </c>
      <c r="G115">
        <v>7.1</v>
      </c>
      <c r="J115" t="s">
        <v>64</v>
      </c>
      <c r="K115">
        <v>3</v>
      </c>
      <c r="L115">
        <v>9</v>
      </c>
      <c r="M115">
        <v>290000</v>
      </c>
      <c r="P115">
        <v>300</v>
      </c>
      <c r="Q115" t="s">
        <v>42</v>
      </c>
      <c r="S115">
        <v>20</v>
      </c>
      <c r="T115">
        <v>44</v>
      </c>
      <c r="U115">
        <v>62.2</v>
      </c>
      <c r="V115">
        <v>0.8</v>
      </c>
      <c r="W115">
        <v>0.75</v>
      </c>
      <c r="X115">
        <v>2.4</v>
      </c>
      <c r="Y115">
        <v>54.839880450000003</v>
      </c>
      <c r="Z115">
        <v>1</v>
      </c>
      <c r="BP115">
        <v>4446.7394979999999</v>
      </c>
      <c r="BQ115">
        <v>95.9923967</v>
      </c>
      <c r="BR115">
        <v>95.9923967</v>
      </c>
      <c r="BV115">
        <v>2.2897476999999999</v>
      </c>
      <c r="BW115">
        <v>0.45</v>
      </c>
      <c r="BX115">
        <v>0.3</v>
      </c>
    </row>
    <row r="116" spans="1:76" x14ac:dyDescent="0.25">
      <c r="A116">
        <f t="shared" si="73"/>
        <v>89</v>
      </c>
      <c r="B116">
        <v>2</v>
      </c>
      <c r="C116" t="str">
        <f t="shared" si="72"/>
        <v>BainEtal_Normal</v>
      </c>
      <c r="E116">
        <v>1257</v>
      </c>
      <c r="G116">
        <v>6.5</v>
      </c>
      <c r="J116" t="s">
        <v>65</v>
      </c>
      <c r="K116">
        <v>3</v>
      </c>
      <c r="L116">
        <v>8</v>
      </c>
      <c r="M116">
        <v>241000</v>
      </c>
      <c r="P116">
        <v>100</v>
      </c>
      <c r="Q116" t="s">
        <v>42</v>
      </c>
      <c r="S116">
        <v>18</v>
      </c>
      <c r="T116">
        <v>32</v>
      </c>
      <c r="U116">
        <v>33.5</v>
      </c>
      <c r="V116">
        <v>0.6</v>
      </c>
      <c r="W116">
        <v>0.55000000000000004</v>
      </c>
      <c r="X116">
        <v>1.2</v>
      </c>
      <c r="Y116">
        <v>27.05812276</v>
      </c>
      <c r="Z116">
        <v>0.3</v>
      </c>
      <c r="BP116">
        <v>1059.621441</v>
      </c>
      <c r="BQ116">
        <v>249.48299940000001</v>
      </c>
      <c r="BR116">
        <v>50</v>
      </c>
      <c r="BV116">
        <v>2.64906E-2</v>
      </c>
      <c r="BW116">
        <v>0.45</v>
      </c>
      <c r="BX116">
        <v>0.3</v>
      </c>
    </row>
    <row r="117" spans="1:76" x14ac:dyDescent="0.25">
      <c r="A117">
        <f t="shared" si="73"/>
        <v>90</v>
      </c>
      <c r="B117">
        <v>4</v>
      </c>
      <c r="C117" t="str">
        <f t="shared" si="72"/>
        <v>BainEtal_Normal</v>
      </c>
      <c r="E117">
        <v>1257</v>
      </c>
      <c r="G117">
        <v>6.5</v>
      </c>
      <c r="J117" t="s">
        <v>34</v>
      </c>
      <c r="K117">
        <v>8</v>
      </c>
      <c r="L117">
        <v>10</v>
      </c>
      <c r="M117">
        <v>359000</v>
      </c>
      <c r="P117">
        <v>200</v>
      </c>
      <c r="Q117" t="s">
        <v>42</v>
      </c>
      <c r="S117">
        <v>19</v>
      </c>
      <c r="T117">
        <v>38</v>
      </c>
      <c r="U117">
        <v>48</v>
      </c>
      <c r="V117">
        <v>0.7</v>
      </c>
      <c r="W117">
        <v>0.65</v>
      </c>
      <c r="X117">
        <v>1.8</v>
      </c>
      <c r="Y117">
        <v>62.118443849999998</v>
      </c>
      <c r="Z117">
        <v>0.6</v>
      </c>
      <c r="BP117">
        <v>2432.6164659999999</v>
      </c>
      <c r="BQ117">
        <v>177.15355159999999</v>
      </c>
      <c r="BR117">
        <v>100</v>
      </c>
      <c r="BV117">
        <v>0.12343610000000001</v>
      </c>
      <c r="BW117">
        <v>0.45</v>
      </c>
      <c r="BX117">
        <v>0.3</v>
      </c>
    </row>
    <row r="118" spans="1:76" x14ac:dyDescent="0.25">
      <c r="A118">
        <f t="shared" si="73"/>
        <v>91</v>
      </c>
      <c r="B118">
        <v>1</v>
      </c>
      <c r="C118" t="str">
        <f t="shared" si="72"/>
        <v>BainEtal_Normal</v>
      </c>
      <c r="E118">
        <v>1257</v>
      </c>
      <c r="G118">
        <v>6.5</v>
      </c>
      <c r="J118" t="s">
        <v>64</v>
      </c>
      <c r="K118">
        <v>3</v>
      </c>
      <c r="L118">
        <v>9</v>
      </c>
      <c r="M118">
        <v>290000</v>
      </c>
      <c r="P118">
        <v>300</v>
      </c>
      <c r="Q118" t="s">
        <v>42</v>
      </c>
      <c r="S118">
        <v>20</v>
      </c>
      <c r="T118">
        <v>44</v>
      </c>
      <c r="U118">
        <v>62.2</v>
      </c>
      <c r="V118">
        <v>0.8</v>
      </c>
      <c r="W118">
        <v>0.75</v>
      </c>
      <c r="X118">
        <v>2.4</v>
      </c>
      <c r="Y118">
        <v>123.0959459</v>
      </c>
      <c r="Z118">
        <v>1</v>
      </c>
      <c r="BP118">
        <v>4820.552584</v>
      </c>
      <c r="BQ118">
        <v>90.33357694</v>
      </c>
      <c r="BR118">
        <v>90.33357694</v>
      </c>
      <c r="BV118">
        <v>2.7526799999999998</v>
      </c>
      <c r="BW118">
        <v>0.45</v>
      </c>
      <c r="BX118">
        <v>0.3</v>
      </c>
    </row>
    <row r="119" spans="1:76" x14ac:dyDescent="0.25">
      <c r="A119">
        <f t="shared" si="73"/>
        <v>92</v>
      </c>
      <c r="B119">
        <v>5</v>
      </c>
      <c r="C119" t="str">
        <f t="shared" si="72"/>
        <v>BainEtal_Normal</v>
      </c>
      <c r="E119">
        <v>1723</v>
      </c>
      <c r="G119">
        <v>9.5</v>
      </c>
      <c r="J119" t="s">
        <v>39</v>
      </c>
      <c r="K119">
        <v>14</v>
      </c>
      <c r="L119">
        <v>15</v>
      </c>
      <c r="M119">
        <v>483000</v>
      </c>
      <c r="P119">
        <v>100</v>
      </c>
      <c r="Q119" t="s">
        <v>42</v>
      </c>
      <c r="S119">
        <v>18</v>
      </c>
      <c r="T119">
        <v>32</v>
      </c>
      <c r="U119">
        <v>33.5</v>
      </c>
      <c r="V119">
        <v>0.6</v>
      </c>
      <c r="W119">
        <v>0.55000000000000004</v>
      </c>
      <c r="X119">
        <v>1.2</v>
      </c>
      <c r="Y119">
        <v>37.089216800000003</v>
      </c>
      <c r="Z119">
        <v>0.3</v>
      </c>
      <c r="BP119">
        <v>725.25390489999995</v>
      </c>
      <c r="BQ119">
        <v>584.57292270000005</v>
      </c>
      <c r="BR119">
        <v>50</v>
      </c>
      <c r="BV119">
        <v>1.81313E-2</v>
      </c>
      <c r="BW119">
        <v>0.45</v>
      </c>
      <c r="BX119">
        <v>0.3</v>
      </c>
    </row>
    <row r="120" spans="1:76" x14ac:dyDescent="0.25">
      <c r="A120">
        <f t="shared" si="73"/>
        <v>93</v>
      </c>
      <c r="B120">
        <v>3</v>
      </c>
      <c r="C120" t="str">
        <f t="shared" si="72"/>
        <v>BainEtal_Normal</v>
      </c>
      <c r="E120">
        <v>1723</v>
      </c>
      <c r="G120">
        <v>9.5</v>
      </c>
      <c r="J120" t="s">
        <v>64</v>
      </c>
      <c r="K120">
        <v>3</v>
      </c>
      <c r="L120">
        <v>9</v>
      </c>
      <c r="M120">
        <v>290000</v>
      </c>
      <c r="P120">
        <v>200</v>
      </c>
      <c r="Q120" t="s">
        <v>42</v>
      </c>
      <c r="S120">
        <v>19</v>
      </c>
      <c r="T120">
        <v>38</v>
      </c>
      <c r="U120">
        <v>48</v>
      </c>
      <c r="V120">
        <v>0.7</v>
      </c>
      <c r="W120">
        <v>0.65</v>
      </c>
      <c r="X120">
        <v>1.8</v>
      </c>
      <c r="Y120">
        <v>85.147238470000005</v>
      </c>
      <c r="Z120">
        <v>0.6</v>
      </c>
      <c r="BP120">
        <v>1664.9951799999999</v>
      </c>
      <c r="BQ120">
        <v>209.7891731</v>
      </c>
      <c r="BR120">
        <v>100</v>
      </c>
      <c r="BV120">
        <v>8.3419099999999996E-2</v>
      </c>
      <c r="BW120">
        <v>0.45</v>
      </c>
      <c r="BX120">
        <v>0.3</v>
      </c>
    </row>
    <row r="121" spans="1:76" x14ac:dyDescent="0.25">
      <c r="A121">
        <f t="shared" si="73"/>
        <v>94</v>
      </c>
      <c r="B121">
        <v>4</v>
      </c>
      <c r="C121" t="str">
        <f t="shared" si="72"/>
        <v>BainEtal_Normal</v>
      </c>
      <c r="E121">
        <v>1723</v>
      </c>
      <c r="G121">
        <v>9.5</v>
      </c>
      <c r="J121" t="s">
        <v>64</v>
      </c>
      <c r="K121">
        <v>3</v>
      </c>
      <c r="L121">
        <v>9</v>
      </c>
      <c r="M121">
        <v>290000</v>
      </c>
      <c r="P121">
        <v>300</v>
      </c>
      <c r="Q121" t="s">
        <v>42</v>
      </c>
      <c r="S121">
        <v>20</v>
      </c>
      <c r="T121">
        <v>44</v>
      </c>
      <c r="U121">
        <v>62.2</v>
      </c>
      <c r="V121">
        <v>0.8</v>
      </c>
      <c r="W121">
        <v>0.75</v>
      </c>
      <c r="X121">
        <v>2.4</v>
      </c>
      <c r="Y121">
        <v>168.73056070000001</v>
      </c>
      <c r="Z121">
        <v>1</v>
      </c>
      <c r="BP121">
        <v>3299.4090630000001</v>
      </c>
      <c r="BQ121">
        <v>125.57334109999999</v>
      </c>
      <c r="BR121">
        <v>125.57334109999999</v>
      </c>
      <c r="BV121">
        <v>1.7483107</v>
      </c>
      <c r="BW121">
        <v>0.45</v>
      </c>
      <c r="BX121">
        <v>0.3</v>
      </c>
    </row>
    <row r="122" spans="1:76" x14ac:dyDescent="0.25">
      <c r="A122">
        <f t="shared" si="73"/>
        <v>95</v>
      </c>
      <c r="B122">
        <v>3</v>
      </c>
      <c r="C122" t="str">
        <f t="shared" si="72"/>
        <v>BainEtal_Normal</v>
      </c>
      <c r="E122">
        <v>168</v>
      </c>
      <c r="G122">
        <v>4.8</v>
      </c>
      <c r="J122" t="s">
        <v>34</v>
      </c>
      <c r="K122">
        <v>8</v>
      </c>
      <c r="L122">
        <v>10</v>
      </c>
      <c r="M122">
        <v>359000</v>
      </c>
      <c r="P122">
        <v>100</v>
      </c>
      <c r="Q122" t="s">
        <v>42</v>
      </c>
      <c r="S122">
        <v>18</v>
      </c>
      <c r="T122">
        <v>32</v>
      </c>
      <c r="U122">
        <v>33.5</v>
      </c>
      <c r="V122">
        <v>0.6</v>
      </c>
      <c r="W122">
        <v>0.55000000000000004</v>
      </c>
      <c r="X122">
        <v>1.2</v>
      </c>
      <c r="Y122">
        <v>3.6163600819999999</v>
      </c>
      <c r="Z122">
        <v>0.3</v>
      </c>
      <c r="BP122">
        <v>1469.4689109999999</v>
      </c>
      <c r="BQ122">
        <v>250.59552020000001</v>
      </c>
      <c r="BR122">
        <v>50</v>
      </c>
      <c r="BV122">
        <v>3.6736699999999997E-2</v>
      </c>
      <c r="BW122">
        <v>0.45</v>
      </c>
      <c r="BX122">
        <v>0.3</v>
      </c>
    </row>
    <row r="123" spans="1:76" x14ac:dyDescent="0.25">
      <c r="A123">
        <f t="shared" si="73"/>
        <v>96</v>
      </c>
      <c r="B123">
        <v>5</v>
      </c>
      <c r="C123" t="str">
        <f t="shared" si="72"/>
        <v>BainEtal_Normal</v>
      </c>
      <c r="E123">
        <v>168</v>
      </c>
      <c r="G123">
        <v>4.8</v>
      </c>
      <c r="J123" t="s">
        <v>64</v>
      </c>
      <c r="K123">
        <v>3</v>
      </c>
      <c r="L123">
        <v>9</v>
      </c>
      <c r="M123">
        <v>290000</v>
      </c>
      <c r="P123">
        <v>200</v>
      </c>
      <c r="Q123" t="s">
        <v>42</v>
      </c>
      <c r="S123">
        <v>19</v>
      </c>
      <c r="T123">
        <v>38</v>
      </c>
      <c r="U123">
        <v>48</v>
      </c>
      <c r="V123">
        <v>0.7</v>
      </c>
      <c r="W123">
        <v>0.65</v>
      </c>
      <c r="X123">
        <v>1.8</v>
      </c>
      <c r="Y123">
        <v>8.3022263859999992</v>
      </c>
      <c r="Z123">
        <v>0.6</v>
      </c>
      <c r="BP123">
        <v>3373.5201390000002</v>
      </c>
      <c r="BQ123">
        <v>112.3792277</v>
      </c>
      <c r="BR123">
        <v>100</v>
      </c>
      <c r="BV123">
        <v>0.3660738</v>
      </c>
      <c r="BW123">
        <v>0.45</v>
      </c>
      <c r="BX123">
        <v>0.3</v>
      </c>
    </row>
    <row r="124" spans="1:76" x14ac:dyDescent="0.25">
      <c r="A124">
        <f t="shared" si="73"/>
        <v>97</v>
      </c>
      <c r="B124">
        <v>0</v>
      </c>
      <c r="C124" t="str">
        <f t="shared" si="72"/>
        <v>BainEtal_Normal</v>
      </c>
      <c r="E124">
        <v>168</v>
      </c>
      <c r="G124">
        <v>4.8</v>
      </c>
      <c r="J124" t="s">
        <v>41</v>
      </c>
      <c r="K124">
        <v>15</v>
      </c>
      <c r="L124">
        <v>20</v>
      </c>
      <c r="M124">
        <v>552000</v>
      </c>
      <c r="P124">
        <v>300</v>
      </c>
      <c r="Q124" t="s">
        <v>42</v>
      </c>
      <c r="S124">
        <v>20</v>
      </c>
      <c r="T124">
        <v>44</v>
      </c>
      <c r="U124">
        <v>62.2</v>
      </c>
      <c r="V124">
        <v>0.8</v>
      </c>
      <c r="W124">
        <v>0.75</v>
      </c>
      <c r="X124">
        <v>2.4</v>
      </c>
      <c r="Y124">
        <v>16.451964140000001</v>
      </c>
      <c r="Z124">
        <v>1</v>
      </c>
      <c r="BP124">
        <v>6685.0781649999999</v>
      </c>
      <c r="BQ124">
        <v>109.07765000000001</v>
      </c>
      <c r="BR124">
        <v>109.07765000000001</v>
      </c>
      <c r="BV124">
        <v>68.558872100000002</v>
      </c>
      <c r="BW124">
        <v>0.45</v>
      </c>
      <c r="BX124">
        <v>0.3</v>
      </c>
    </row>
    <row r="125" spans="1:76" x14ac:dyDescent="0.25">
      <c r="A125">
        <f t="shared" si="73"/>
        <v>98</v>
      </c>
      <c r="B125">
        <v>1</v>
      </c>
      <c r="C125" t="str">
        <f t="shared" si="72"/>
        <v>BainEtal_Normal</v>
      </c>
      <c r="E125">
        <v>762</v>
      </c>
      <c r="G125">
        <v>9.5</v>
      </c>
      <c r="J125" t="s">
        <v>41</v>
      </c>
      <c r="K125">
        <v>15</v>
      </c>
      <c r="L125">
        <v>20</v>
      </c>
      <c r="M125">
        <v>552000</v>
      </c>
      <c r="P125">
        <v>100</v>
      </c>
      <c r="Q125" t="s">
        <v>42</v>
      </c>
      <c r="S125">
        <v>18</v>
      </c>
      <c r="T125">
        <v>32</v>
      </c>
      <c r="U125">
        <v>33.5</v>
      </c>
      <c r="V125">
        <v>0.6</v>
      </c>
      <c r="W125">
        <v>0.55000000000000004</v>
      </c>
      <c r="X125">
        <v>1.2</v>
      </c>
      <c r="Y125">
        <v>16.40277609</v>
      </c>
      <c r="Z125">
        <v>0.3</v>
      </c>
      <c r="BP125">
        <v>730.36066300000005</v>
      </c>
      <c r="BQ125">
        <v>636.81414540000003</v>
      </c>
      <c r="BR125">
        <v>50</v>
      </c>
      <c r="BV125">
        <v>1.8259000000000001E-2</v>
      </c>
      <c r="BW125">
        <v>0.45</v>
      </c>
      <c r="BX125">
        <v>0.3</v>
      </c>
    </row>
    <row r="126" spans="1:76" x14ac:dyDescent="0.25">
      <c r="A126">
        <f t="shared" si="73"/>
        <v>99</v>
      </c>
      <c r="B126">
        <v>4</v>
      </c>
      <c r="C126" t="str">
        <f t="shared" si="72"/>
        <v>BainEtal_Normal</v>
      </c>
      <c r="E126">
        <v>762</v>
      </c>
      <c r="G126">
        <v>9.5</v>
      </c>
      <c r="J126" t="s">
        <v>34</v>
      </c>
      <c r="K126">
        <v>8</v>
      </c>
      <c r="L126">
        <v>10</v>
      </c>
      <c r="M126">
        <v>359000</v>
      </c>
      <c r="P126">
        <v>200</v>
      </c>
      <c r="Q126" t="s">
        <v>42</v>
      </c>
      <c r="S126">
        <v>19</v>
      </c>
      <c r="T126">
        <v>38</v>
      </c>
      <c r="U126">
        <v>48</v>
      </c>
      <c r="V126">
        <v>0.7</v>
      </c>
      <c r="W126">
        <v>0.65</v>
      </c>
      <c r="X126">
        <v>1.8</v>
      </c>
      <c r="Y126">
        <v>37.656526820000003</v>
      </c>
      <c r="Z126">
        <v>0.6</v>
      </c>
      <c r="BP126">
        <v>1676.7189739999999</v>
      </c>
      <c r="BQ126">
        <v>242.6722742</v>
      </c>
      <c r="BR126">
        <v>100</v>
      </c>
      <c r="BV126">
        <v>8.3866099999999999E-2</v>
      </c>
      <c r="BW126">
        <v>0.45</v>
      </c>
      <c r="BX126">
        <v>0.3</v>
      </c>
    </row>
    <row r="127" spans="1:76" x14ac:dyDescent="0.25">
      <c r="A127">
        <f t="shared" si="73"/>
        <v>100</v>
      </c>
      <c r="B127">
        <v>5</v>
      </c>
      <c r="C127" t="str">
        <f t="shared" si="72"/>
        <v>BainEtal_Normal</v>
      </c>
      <c r="E127">
        <v>762</v>
      </c>
      <c r="G127">
        <v>9.5</v>
      </c>
      <c r="J127" t="s">
        <v>41</v>
      </c>
      <c r="K127">
        <v>15</v>
      </c>
      <c r="L127">
        <v>20</v>
      </c>
      <c r="M127">
        <v>552000</v>
      </c>
      <c r="P127">
        <v>300</v>
      </c>
      <c r="Q127" t="s">
        <v>42</v>
      </c>
      <c r="S127">
        <v>20</v>
      </c>
      <c r="T127">
        <v>44</v>
      </c>
      <c r="U127">
        <v>62.2</v>
      </c>
      <c r="V127">
        <v>0.8</v>
      </c>
      <c r="W127">
        <v>0.75</v>
      </c>
      <c r="X127">
        <v>2.4</v>
      </c>
      <c r="Y127">
        <v>74.621408759999994</v>
      </c>
      <c r="Z127">
        <v>1</v>
      </c>
      <c r="BP127">
        <v>3322.6413189999998</v>
      </c>
      <c r="BQ127">
        <v>200.65724950000001</v>
      </c>
      <c r="BR127">
        <v>150</v>
      </c>
      <c r="BV127">
        <v>0.27227249999999997</v>
      </c>
      <c r="BW127">
        <v>0.45</v>
      </c>
      <c r="BX127">
        <v>0.3</v>
      </c>
    </row>
    <row r="128" spans="1:76" x14ac:dyDescent="0.25">
      <c r="A128">
        <f t="shared" si="73"/>
        <v>101</v>
      </c>
      <c r="B128">
        <v>5</v>
      </c>
      <c r="C128" t="str">
        <f t="shared" si="72"/>
        <v>BainEtal_Normal</v>
      </c>
      <c r="E128">
        <v>610</v>
      </c>
      <c r="G128">
        <v>6.4</v>
      </c>
      <c r="J128" t="s">
        <v>34</v>
      </c>
      <c r="K128">
        <v>8</v>
      </c>
      <c r="L128">
        <v>10</v>
      </c>
      <c r="M128">
        <v>359000</v>
      </c>
      <c r="P128">
        <v>100</v>
      </c>
      <c r="Q128" t="s">
        <v>42</v>
      </c>
      <c r="S128">
        <v>18</v>
      </c>
      <c r="T128">
        <v>32</v>
      </c>
      <c r="U128">
        <v>33.5</v>
      </c>
      <c r="V128">
        <v>0.6</v>
      </c>
      <c r="W128">
        <v>0.55000000000000004</v>
      </c>
      <c r="X128">
        <v>1.2</v>
      </c>
      <c r="Y128">
        <v>13.13083125</v>
      </c>
      <c r="Z128">
        <v>0.3</v>
      </c>
      <c r="BP128">
        <v>1081.9648259999999</v>
      </c>
      <c r="BQ128">
        <v>327.81318340000001</v>
      </c>
      <c r="BR128">
        <v>50</v>
      </c>
      <c r="BV128">
        <v>2.70491E-2</v>
      </c>
      <c r="BW128">
        <v>0.45</v>
      </c>
      <c r="BX128">
        <v>0.3</v>
      </c>
    </row>
    <row r="129" spans="1:76" x14ac:dyDescent="0.25">
      <c r="A129">
        <f t="shared" si="73"/>
        <v>102</v>
      </c>
      <c r="B129">
        <v>3</v>
      </c>
      <c r="C129" t="str">
        <f t="shared" si="72"/>
        <v>BainEtal_Normal</v>
      </c>
      <c r="E129">
        <v>610</v>
      </c>
      <c r="G129">
        <v>6.4</v>
      </c>
      <c r="J129" t="s">
        <v>41</v>
      </c>
      <c r="K129">
        <v>15</v>
      </c>
      <c r="L129">
        <v>20</v>
      </c>
      <c r="M129">
        <v>552000</v>
      </c>
      <c r="P129">
        <v>200</v>
      </c>
      <c r="Q129" t="s">
        <v>42</v>
      </c>
      <c r="S129">
        <v>19</v>
      </c>
      <c r="T129">
        <v>38</v>
      </c>
      <c r="U129">
        <v>48</v>
      </c>
      <c r="V129">
        <v>0.7</v>
      </c>
      <c r="W129">
        <v>0.65</v>
      </c>
      <c r="X129">
        <v>1.8</v>
      </c>
      <c r="Y129">
        <v>30.144988659999999</v>
      </c>
      <c r="Z129">
        <v>0.6</v>
      </c>
      <c r="BP129">
        <v>2483.9110930000002</v>
      </c>
      <c r="BQ129">
        <v>238.38257490000001</v>
      </c>
      <c r="BR129">
        <v>100</v>
      </c>
      <c r="BV129">
        <v>0.1241956</v>
      </c>
      <c r="BW129">
        <v>0.45</v>
      </c>
      <c r="BX129">
        <v>0.3</v>
      </c>
    </row>
    <row r="130" spans="1:76" x14ac:dyDescent="0.25">
      <c r="A130">
        <f t="shared" si="73"/>
        <v>103</v>
      </c>
      <c r="B130">
        <v>1</v>
      </c>
      <c r="C130" t="str">
        <f t="shared" si="72"/>
        <v>BainEtal_Normal</v>
      </c>
      <c r="E130">
        <v>610</v>
      </c>
      <c r="G130">
        <v>6.4</v>
      </c>
      <c r="J130" t="s">
        <v>64</v>
      </c>
      <c r="K130">
        <v>3</v>
      </c>
      <c r="L130">
        <v>9</v>
      </c>
      <c r="M130">
        <v>290000</v>
      </c>
      <c r="P130">
        <v>300</v>
      </c>
      <c r="Q130" t="s">
        <v>42</v>
      </c>
      <c r="S130">
        <v>20</v>
      </c>
      <c r="T130">
        <v>44</v>
      </c>
      <c r="U130">
        <v>62.2</v>
      </c>
      <c r="V130">
        <v>0.8</v>
      </c>
      <c r="W130">
        <v>0.75</v>
      </c>
      <c r="X130">
        <v>2.4</v>
      </c>
      <c r="Y130">
        <v>59.736298349999998</v>
      </c>
      <c r="Z130">
        <v>1</v>
      </c>
      <c r="BP130">
        <v>4922.1997000000001</v>
      </c>
      <c r="BQ130">
        <v>87.994095999999999</v>
      </c>
      <c r="BR130">
        <v>87.994095999999999</v>
      </c>
      <c r="BV130">
        <v>2.6189157999999999</v>
      </c>
      <c r="BW130">
        <v>0.45</v>
      </c>
      <c r="BX130">
        <v>0.3</v>
      </c>
    </row>
    <row r="131" spans="1:76" x14ac:dyDescent="0.25">
      <c r="A131">
        <f t="shared" si="73"/>
        <v>104</v>
      </c>
      <c r="B131">
        <v>4</v>
      </c>
      <c r="C131" t="str">
        <f t="shared" si="72"/>
        <v>BainEtal_Normal</v>
      </c>
      <c r="E131">
        <v>406</v>
      </c>
      <c r="G131">
        <v>9.5</v>
      </c>
      <c r="J131" t="s">
        <v>34</v>
      </c>
      <c r="K131">
        <v>8</v>
      </c>
      <c r="L131">
        <v>10</v>
      </c>
      <c r="M131">
        <v>359000</v>
      </c>
      <c r="P131">
        <v>100</v>
      </c>
      <c r="Q131" t="s">
        <v>42</v>
      </c>
      <c r="S131">
        <v>18</v>
      </c>
      <c r="T131">
        <v>32</v>
      </c>
      <c r="U131">
        <v>33.5</v>
      </c>
      <c r="V131">
        <v>0.6</v>
      </c>
      <c r="W131">
        <v>0.55000000000000004</v>
      </c>
      <c r="X131">
        <v>1.2</v>
      </c>
      <c r="Y131">
        <v>8.7395368659999999</v>
      </c>
      <c r="Z131">
        <v>0.3</v>
      </c>
      <c r="BP131">
        <v>738.53613459999997</v>
      </c>
      <c r="BQ131">
        <v>455.79616240000001</v>
      </c>
      <c r="BR131">
        <v>50</v>
      </c>
      <c r="BV131">
        <v>1.8463400000000001E-2</v>
      </c>
      <c r="BW131">
        <v>0.45</v>
      </c>
      <c r="BX131">
        <v>0.3</v>
      </c>
    </row>
    <row r="132" spans="1:76" x14ac:dyDescent="0.25">
      <c r="A132">
        <f t="shared" si="73"/>
        <v>105</v>
      </c>
      <c r="B132">
        <v>0</v>
      </c>
      <c r="C132" t="str">
        <f t="shared" si="72"/>
        <v>BainEtal_Normal</v>
      </c>
      <c r="E132">
        <v>406</v>
      </c>
      <c r="G132">
        <v>9.5</v>
      </c>
      <c r="J132" t="s">
        <v>65</v>
      </c>
      <c r="K132">
        <v>3</v>
      </c>
      <c r="L132">
        <v>8</v>
      </c>
      <c r="M132">
        <v>241000</v>
      </c>
      <c r="P132">
        <v>200</v>
      </c>
      <c r="Q132" t="s">
        <v>42</v>
      </c>
      <c r="S132">
        <v>19</v>
      </c>
      <c r="T132">
        <v>38</v>
      </c>
      <c r="U132">
        <v>48</v>
      </c>
      <c r="V132">
        <v>0.7</v>
      </c>
      <c r="W132">
        <v>0.65</v>
      </c>
      <c r="X132">
        <v>1.8</v>
      </c>
      <c r="Y132">
        <v>20.06371377</v>
      </c>
      <c r="Z132">
        <v>0.6</v>
      </c>
      <c r="BP132">
        <v>1695.48774</v>
      </c>
      <c r="BQ132">
        <v>177.87598059999999</v>
      </c>
      <c r="BR132">
        <v>100</v>
      </c>
      <c r="BV132">
        <v>8.6470099999999994E-2</v>
      </c>
      <c r="BW132">
        <v>0.45</v>
      </c>
      <c r="BX132">
        <v>0.3</v>
      </c>
    </row>
    <row r="133" spans="1:76" x14ac:dyDescent="0.25">
      <c r="A133">
        <f t="shared" si="73"/>
        <v>106</v>
      </c>
      <c r="B133">
        <v>4</v>
      </c>
      <c r="C133" t="str">
        <f t="shared" si="72"/>
        <v>BainEtal_Normal</v>
      </c>
      <c r="E133">
        <v>406</v>
      </c>
      <c r="G133">
        <v>9.5</v>
      </c>
      <c r="J133" t="s">
        <v>65</v>
      </c>
      <c r="K133">
        <v>3</v>
      </c>
      <c r="L133">
        <v>8</v>
      </c>
      <c r="M133">
        <v>241000</v>
      </c>
      <c r="P133">
        <v>300</v>
      </c>
      <c r="Q133" t="s">
        <v>42</v>
      </c>
      <c r="S133">
        <v>20</v>
      </c>
      <c r="T133">
        <v>44</v>
      </c>
      <c r="U133">
        <v>62.2</v>
      </c>
      <c r="V133">
        <v>0.8</v>
      </c>
      <c r="W133">
        <v>0.75</v>
      </c>
      <c r="X133">
        <v>2.4</v>
      </c>
      <c r="Y133">
        <v>39.758913329999999</v>
      </c>
      <c r="Z133">
        <v>1</v>
      </c>
      <c r="BP133">
        <v>3359.8341209999999</v>
      </c>
      <c r="BQ133">
        <v>106.4710864</v>
      </c>
      <c r="BR133">
        <v>106.4710864</v>
      </c>
      <c r="BV133">
        <v>1.5838037</v>
      </c>
      <c r="BW133">
        <v>0.45</v>
      </c>
      <c r="BX133">
        <v>0.3</v>
      </c>
    </row>
    <row r="134" spans="1:76" x14ac:dyDescent="0.25">
      <c r="A134">
        <f t="shared" si="73"/>
        <v>107</v>
      </c>
      <c r="B134">
        <v>1</v>
      </c>
      <c r="C134" t="str">
        <f t="shared" si="72"/>
        <v>BainEtal_Normal</v>
      </c>
      <c r="E134">
        <v>610</v>
      </c>
      <c r="G134">
        <v>10.199999999999999</v>
      </c>
      <c r="J134" t="s">
        <v>34</v>
      </c>
      <c r="K134">
        <v>8</v>
      </c>
      <c r="L134">
        <v>10</v>
      </c>
      <c r="M134">
        <v>359000</v>
      </c>
      <c r="P134">
        <v>100</v>
      </c>
      <c r="Q134" t="s">
        <v>35</v>
      </c>
      <c r="S134">
        <v>19</v>
      </c>
      <c r="T134">
        <v>38</v>
      </c>
      <c r="U134">
        <v>40</v>
      </c>
      <c r="V134">
        <v>0.75</v>
      </c>
      <c r="W134">
        <v>0.75</v>
      </c>
      <c r="X134">
        <v>1.2</v>
      </c>
      <c r="Y134">
        <v>57.49114556</v>
      </c>
      <c r="Z134">
        <v>0.5</v>
      </c>
      <c r="BP134">
        <v>2991.193143</v>
      </c>
      <c r="BQ134">
        <v>146.99126380000001</v>
      </c>
      <c r="BR134">
        <v>50</v>
      </c>
      <c r="BV134">
        <v>7.4788400000000005E-2</v>
      </c>
      <c r="BW134">
        <v>0.45</v>
      </c>
      <c r="BX134">
        <v>0.3</v>
      </c>
    </row>
    <row r="135" spans="1:76" x14ac:dyDescent="0.25">
      <c r="A135">
        <f t="shared" si="73"/>
        <v>108</v>
      </c>
      <c r="B135">
        <v>2</v>
      </c>
      <c r="C135" t="str">
        <f t="shared" si="72"/>
        <v>BainEtal_Normal</v>
      </c>
      <c r="E135">
        <v>560</v>
      </c>
      <c r="G135">
        <v>7.1</v>
      </c>
      <c r="J135" t="s">
        <v>37</v>
      </c>
      <c r="K135">
        <v>8</v>
      </c>
      <c r="L135">
        <v>12</v>
      </c>
      <c r="M135">
        <v>414000</v>
      </c>
      <c r="P135">
        <v>100</v>
      </c>
      <c r="Q135" t="s">
        <v>35</v>
      </c>
      <c r="S135">
        <v>18</v>
      </c>
      <c r="T135">
        <v>32</v>
      </c>
      <c r="U135">
        <v>33.5</v>
      </c>
      <c r="V135">
        <v>0.6</v>
      </c>
      <c r="W135">
        <v>0.55000000000000004</v>
      </c>
      <c r="X135">
        <v>1.2</v>
      </c>
      <c r="Y135">
        <v>35.36176691</v>
      </c>
      <c r="Z135">
        <v>0.3</v>
      </c>
      <c r="BP135">
        <v>2867.3396870000001</v>
      </c>
      <c r="BQ135">
        <v>161.1675936</v>
      </c>
      <c r="BR135">
        <v>50</v>
      </c>
      <c r="BV135">
        <v>7.16836E-2</v>
      </c>
      <c r="BW135">
        <v>0.45</v>
      </c>
      <c r="BX135">
        <v>0.3</v>
      </c>
    </row>
    <row r="136" spans="1:76" x14ac:dyDescent="0.25">
      <c r="A136">
        <f t="shared" si="73"/>
        <v>109</v>
      </c>
      <c r="B136">
        <v>0</v>
      </c>
      <c r="C136" t="str">
        <f t="shared" si="72"/>
        <v>BainEtal_Normal</v>
      </c>
      <c r="E136">
        <v>560</v>
      </c>
      <c r="G136">
        <v>7.1</v>
      </c>
      <c r="J136" t="s">
        <v>37</v>
      </c>
      <c r="K136">
        <v>8</v>
      </c>
      <c r="L136">
        <v>12</v>
      </c>
      <c r="M136">
        <v>414000</v>
      </c>
      <c r="P136">
        <v>200</v>
      </c>
      <c r="Q136" t="s">
        <v>35</v>
      </c>
      <c r="S136">
        <v>19</v>
      </c>
      <c r="T136">
        <v>38</v>
      </c>
      <c r="U136">
        <v>48</v>
      </c>
      <c r="V136">
        <v>0.7</v>
      </c>
      <c r="W136">
        <v>0.65</v>
      </c>
      <c r="X136">
        <v>1.8</v>
      </c>
      <c r="Y136">
        <v>59.11220737</v>
      </c>
      <c r="Z136">
        <v>0.6</v>
      </c>
      <c r="BP136">
        <v>4793.1648489999998</v>
      </c>
      <c r="BQ136">
        <v>110.58326479999999</v>
      </c>
      <c r="BR136">
        <v>100</v>
      </c>
      <c r="BV136">
        <v>1.0951253000000001</v>
      </c>
      <c r="BW136">
        <v>0.45</v>
      </c>
      <c r="BX136">
        <v>0.3</v>
      </c>
    </row>
    <row r="137" spans="1:76" x14ac:dyDescent="0.25">
      <c r="A137">
        <f t="shared" si="73"/>
        <v>110</v>
      </c>
      <c r="B137">
        <v>0</v>
      </c>
      <c r="C137" t="str">
        <f t="shared" si="72"/>
        <v>BainEtal_Normal</v>
      </c>
      <c r="E137">
        <v>560</v>
      </c>
      <c r="G137">
        <v>7.1</v>
      </c>
      <c r="J137" t="s">
        <v>64</v>
      </c>
      <c r="K137">
        <v>3</v>
      </c>
      <c r="L137">
        <v>9</v>
      </c>
      <c r="M137">
        <v>290000</v>
      </c>
      <c r="P137">
        <v>300</v>
      </c>
      <c r="Q137" t="s">
        <v>35</v>
      </c>
      <c r="S137">
        <v>20</v>
      </c>
      <c r="T137">
        <v>44</v>
      </c>
      <c r="U137">
        <v>62.2</v>
      </c>
      <c r="V137">
        <v>0.8</v>
      </c>
      <c r="W137">
        <v>0.75</v>
      </c>
      <c r="X137">
        <v>2.4</v>
      </c>
      <c r="Y137">
        <v>87.542364250000006</v>
      </c>
      <c r="Z137">
        <v>1</v>
      </c>
      <c r="BP137">
        <v>7098.4488959999999</v>
      </c>
      <c r="BQ137">
        <v>62.522269739999999</v>
      </c>
      <c r="BR137">
        <v>62.522269739999999</v>
      </c>
      <c r="BV137">
        <v>3.2873344000000002</v>
      </c>
      <c r="BW137">
        <v>0.45</v>
      </c>
      <c r="BX137">
        <v>0.3</v>
      </c>
    </row>
    <row r="138" spans="1:76" x14ac:dyDescent="0.25">
      <c r="A138">
        <f t="shared" si="73"/>
        <v>111</v>
      </c>
      <c r="B138">
        <v>5</v>
      </c>
      <c r="C138" t="str">
        <f t="shared" si="72"/>
        <v>BainEtal_Normal</v>
      </c>
      <c r="E138">
        <v>1257</v>
      </c>
      <c r="G138">
        <v>6.5</v>
      </c>
      <c r="J138" t="s">
        <v>65</v>
      </c>
      <c r="K138">
        <v>3</v>
      </c>
      <c r="L138">
        <v>8</v>
      </c>
      <c r="M138">
        <v>241000</v>
      </c>
      <c r="P138">
        <v>100</v>
      </c>
      <c r="Q138" t="s">
        <v>35</v>
      </c>
      <c r="S138">
        <v>18</v>
      </c>
      <c r="T138">
        <v>32</v>
      </c>
      <c r="U138">
        <v>33.5</v>
      </c>
      <c r="V138">
        <v>0.6</v>
      </c>
      <c r="W138">
        <v>0.55000000000000004</v>
      </c>
      <c r="X138">
        <v>1.2</v>
      </c>
      <c r="Y138">
        <v>79.374537509999996</v>
      </c>
      <c r="Z138">
        <v>0.3</v>
      </c>
      <c r="BP138">
        <v>3108.3812630000002</v>
      </c>
      <c r="BQ138">
        <v>97.444123289999993</v>
      </c>
      <c r="BR138">
        <v>50</v>
      </c>
      <c r="BV138">
        <v>7.8484399999999996E-2</v>
      </c>
      <c r="BW138">
        <v>0.45</v>
      </c>
      <c r="BX138">
        <v>0.3</v>
      </c>
    </row>
    <row r="139" spans="1:76" x14ac:dyDescent="0.25">
      <c r="A139">
        <f t="shared" si="73"/>
        <v>112</v>
      </c>
      <c r="B139">
        <v>1</v>
      </c>
      <c r="C139" t="str">
        <f t="shared" si="72"/>
        <v>BainEtal_Normal</v>
      </c>
      <c r="E139">
        <v>1257</v>
      </c>
      <c r="G139">
        <v>6.5</v>
      </c>
      <c r="J139" t="s">
        <v>34</v>
      </c>
      <c r="K139">
        <v>8</v>
      </c>
      <c r="L139">
        <v>10</v>
      </c>
      <c r="M139">
        <v>359000</v>
      </c>
      <c r="P139">
        <v>200</v>
      </c>
      <c r="Q139" t="s">
        <v>35</v>
      </c>
      <c r="S139">
        <v>19</v>
      </c>
      <c r="T139">
        <v>38</v>
      </c>
      <c r="U139">
        <v>48</v>
      </c>
      <c r="V139">
        <v>0.7</v>
      </c>
      <c r="W139">
        <v>0.65</v>
      </c>
      <c r="X139">
        <v>1.8</v>
      </c>
      <c r="Y139">
        <v>132.68579399999999</v>
      </c>
      <c r="Z139">
        <v>0.6</v>
      </c>
      <c r="BP139">
        <v>5196.1000219999996</v>
      </c>
      <c r="BQ139">
        <v>91.491185990000005</v>
      </c>
      <c r="BR139">
        <v>91.491185990000005</v>
      </c>
      <c r="BV139">
        <v>3.1041672</v>
      </c>
      <c r="BW139">
        <v>0.45</v>
      </c>
      <c r="BX139">
        <v>0.3</v>
      </c>
    </row>
    <row r="140" spans="1:76" x14ac:dyDescent="0.25">
      <c r="A140">
        <f t="shared" si="73"/>
        <v>113</v>
      </c>
      <c r="B140">
        <v>0</v>
      </c>
      <c r="C140" t="str">
        <f t="shared" si="72"/>
        <v>BainEtal_Normal</v>
      </c>
      <c r="E140">
        <v>1257</v>
      </c>
      <c r="G140">
        <v>6.5</v>
      </c>
      <c r="J140" t="s">
        <v>64</v>
      </c>
      <c r="K140">
        <v>3</v>
      </c>
      <c r="L140">
        <v>9</v>
      </c>
      <c r="M140">
        <v>290000</v>
      </c>
      <c r="P140">
        <v>300</v>
      </c>
      <c r="Q140" t="s">
        <v>35</v>
      </c>
      <c r="S140">
        <v>20</v>
      </c>
      <c r="T140">
        <v>44</v>
      </c>
      <c r="U140">
        <v>62.2</v>
      </c>
      <c r="V140">
        <v>0.8</v>
      </c>
      <c r="W140">
        <v>0.75</v>
      </c>
      <c r="X140">
        <v>2.4</v>
      </c>
      <c r="Y140">
        <v>196.50134259999999</v>
      </c>
      <c r="Z140">
        <v>1</v>
      </c>
      <c r="BP140">
        <v>7695.1766989999996</v>
      </c>
      <c r="BQ140">
        <v>57.868806139999997</v>
      </c>
      <c r="BR140">
        <v>57.868806139999997</v>
      </c>
      <c r="BV140">
        <v>3.3932481999999999</v>
      </c>
      <c r="BW140">
        <v>0.45</v>
      </c>
      <c r="BX140">
        <v>0.3</v>
      </c>
    </row>
    <row r="141" spans="1:76" x14ac:dyDescent="0.25">
      <c r="A141">
        <f t="shared" si="73"/>
        <v>114</v>
      </c>
      <c r="B141">
        <v>2</v>
      </c>
      <c r="C141" t="str">
        <f t="shared" si="72"/>
        <v>BainEtal_Normal</v>
      </c>
      <c r="E141">
        <v>1723</v>
      </c>
      <c r="G141">
        <v>9.5</v>
      </c>
      <c r="J141" t="s">
        <v>39</v>
      </c>
      <c r="K141">
        <v>14</v>
      </c>
      <c r="L141">
        <v>15</v>
      </c>
      <c r="M141">
        <v>483000</v>
      </c>
      <c r="P141">
        <v>100</v>
      </c>
      <c r="Q141" t="s">
        <v>35</v>
      </c>
      <c r="S141">
        <v>18</v>
      </c>
      <c r="T141">
        <v>32</v>
      </c>
      <c r="U141">
        <v>33.5</v>
      </c>
      <c r="V141">
        <v>0.6</v>
      </c>
      <c r="W141">
        <v>0.55000000000000004</v>
      </c>
      <c r="X141">
        <v>1.2</v>
      </c>
      <c r="Y141">
        <v>108.8005793</v>
      </c>
      <c r="Z141">
        <v>0.3</v>
      </c>
      <c r="BP141">
        <v>2127.5198500000001</v>
      </c>
      <c r="BQ141">
        <v>234.8272054</v>
      </c>
      <c r="BR141">
        <v>50</v>
      </c>
      <c r="BV141">
        <v>5.3187999999999999E-2</v>
      </c>
      <c r="BW141">
        <v>0.45</v>
      </c>
      <c r="BX141">
        <v>0.3</v>
      </c>
    </row>
    <row r="142" spans="1:76" x14ac:dyDescent="0.25">
      <c r="A142">
        <f t="shared" si="73"/>
        <v>115</v>
      </c>
      <c r="B142">
        <v>5</v>
      </c>
      <c r="C142" t="str">
        <f t="shared" si="72"/>
        <v>BainEtal_Normal</v>
      </c>
      <c r="E142">
        <v>1723</v>
      </c>
      <c r="G142">
        <v>9.5</v>
      </c>
      <c r="J142" t="s">
        <v>64</v>
      </c>
      <c r="K142">
        <v>3</v>
      </c>
      <c r="L142">
        <v>9</v>
      </c>
      <c r="M142">
        <v>290000</v>
      </c>
      <c r="P142">
        <v>200</v>
      </c>
      <c r="Q142" t="s">
        <v>35</v>
      </c>
      <c r="S142">
        <v>19</v>
      </c>
      <c r="T142">
        <v>38</v>
      </c>
      <c r="U142">
        <v>48</v>
      </c>
      <c r="V142">
        <v>0.7</v>
      </c>
      <c r="W142">
        <v>0.65</v>
      </c>
      <c r="X142">
        <v>1.8</v>
      </c>
      <c r="Y142">
        <v>181.87559519999999</v>
      </c>
      <c r="Z142">
        <v>0.6</v>
      </c>
      <c r="BP142">
        <v>3556.4510930000001</v>
      </c>
      <c r="BQ142">
        <v>107.8452269</v>
      </c>
      <c r="BR142">
        <v>100</v>
      </c>
      <c r="BV142">
        <v>0.51253950000000004</v>
      </c>
      <c r="BW142">
        <v>0.45</v>
      </c>
      <c r="BX142">
        <v>0.3</v>
      </c>
    </row>
    <row r="143" spans="1:76" x14ac:dyDescent="0.25">
      <c r="A143">
        <f t="shared" si="73"/>
        <v>116</v>
      </c>
      <c r="B143">
        <v>5</v>
      </c>
      <c r="C143" t="str">
        <f t="shared" si="72"/>
        <v>BainEtal_Normal</v>
      </c>
      <c r="E143">
        <v>1723</v>
      </c>
      <c r="G143">
        <v>9.5</v>
      </c>
      <c r="J143" t="s">
        <v>64</v>
      </c>
      <c r="K143">
        <v>3</v>
      </c>
      <c r="L143">
        <v>9</v>
      </c>
      <c r="M143">
        <v>290000</v>
      </c>
      <c r="P143">
        <v>300</v>
      </c>
      <c r="Q143" t="s">
        <v>35</v>
      </c>
      <c r="S143">
        <v>20</v>
      </c>
      <c r="T143">
        <v>44</v>
      </c>
      <c r="U143">
        <v>62.2</v>
      </c>
      <c r="V143">
        <v>0.8</v>
      </c>
      <c r="W143">
        <v>0.75</v>
      </c>
      <c r="X143">
        <v>2.4</v>
      </c>
      <c r="Y143">
        <v>269.34909570000002</v>
      </c>
      <c r="Z143">
        <v>1</v>
      </c>
      <c r="BP143">
        <v>5266.9347129999996</v>
      </c>
      <c r="BQ143">
        <v>80.689737109999996</v>
      </c>
      <c r="BR143">
        <v>80.689737109999996</v>
      </c>
      <c r="BV143">
        <v>2.1998313</v>
      </c>
      <c r="BW143">
        <v>0.45</v>
      </c>
      <c r="BX143">
        <v>0.3</v>
      </c>
    </row>
    <row r="144" spans="1:76" x14ac:dyDescent="0.25">
      <c r="A144">
        <f t="shared" si="73"/>
        <v>117</v>
      </c>
      <c r="B144">
        <v>1</v>
      </c>
      <c r="C144" t="str">
        <f t="shared" si="72"/>
        <v>BainEtal_Normal</v>
      </c>
      <c r="E144">
        <v>168</v>
      </c>
      <c r="G144">
        <v>4.8</v>
      </c>
      <c r="J144" t="s">
        <v>34</v>
      </c>
      <c r="K144">
        <v>8</v>
      </c>
      <c r="L144">
        <v>10</v>
      </c>
      <c r="M144">
        <v>359000</v>
      </c>
      <c r="P144">
        <v>100</v>
      </c>
      <c r="Q144" t="s">
        <v>35</v>
      </c>
      <c r="S144">
        <v>18</v>
      </c>
      <c r="T144">
        <v>32</v>
      </c>
      <c r="U144">
        <v>33.5</v>
      </c>
      <c r="V144">
        <v>0.6</v>
      </c>
      <c r="W144">
        <v>0.55000000000000004</v>
      </c>
      <c r="X144">
        <v>1.2</v>
      </c>
      <c r="Y144">
        <v>10.60853007</v>
      </c>
      <c r="Z144">
        <v>0.3</v>
      </c>
      <c r="BP144">
        <v>4310.6617649999998</v>
      </c>
      <c r="BQ144">
        <v>102.24046</v>
      </c>
      <c r="BR144">
        <v>50</v>
      </c>
      <c r="BV144">
        <v>0.1082434</v>
      </c>
      <c r="BW144">
        <v>0.45</v>
      </c>
      <c r="BX144">
        <v>0.3</v>
      </c>
    </row>
    <row r="145" spans="1:76" x14ac:dyDescent="0.25">
      <c r="A145">
        <f t="shared" si="73"/>
        <v>118</v>
      </c>
      <c r="B145">
        <v>3</v>
      </c>
      <c r="C145" t="str">
        <f t="shared" si="72"/>
        <v>BainEtal_Normal</v>
      </c>
      <c r="E145">
        <v>168</v>
      </c>
      <c r="G145">
        <v>4.8</v>
      </c>
      <c r="J145" t="s">
        <v>64</v>
      </c>
      <c r="K145">
        <v>3</v>
      </c>
      <c r="L145">
        <v>9</v>
      </c>
      <c r="M145">
        <v>290000</v>
      </c>
      <c r="P145">
        <v>200</v>
      </c>
      <c r="Q145" t="s">
        <v>35</v>
      </c>
      <c r="S145">
        <v>19</v>
      </c>
      <c r="T145">
        <v>38</v>
      </c>
      <c r="U145">
        <v>48</v>
      </c>
      <c r="V145">
        <v>0.7</v>
      </c>
      <c r="W145">
        <v>0.65</v>
      </c>
      <c r="X145">
        <v>1.8</v>
      </c>
      <c r="Y145">
        <v>17.733662209999999</v>
      </c>
      <c r="Z145">
        <v>0.6</v>
      </c>
      <c r="BP145">
        <v>7205.882353</v>
      </c>
      <c r="BQ145">
        <v>59.303779749999997</v>
      </c>
      <c r="BR145">
        <v>59.303779749999997</v>
      </c>
      <c r="BV145">
        <v>2.3135973999999999</v>
      </c>
      <c r="BW145">
        <v>0.45</v>
      </c>
      <c r="BX145">
        <v>0.3</v>
      </c>
    </row>
    <row r="146" spans="1:76" x14ac:dyDescent="0.25">
      <c r="A146">
        <f t="shared" si="73"/>
        <v>119</v>
      </c>
      <c r="B146">
        <v>2</v>
      </c>
      <c r="C146" t="str">
        <f t="shared" si="72"/>
        <v>BainEtal_Normal</v>
      </c>
      <c r="E146">
        <v>168</v>
      </c>
      <c r="G146">
        <v>4.8</v>
      </c>
      <c r="J146" t="s">
        <v>41</v>
      </c>
      <c r="K146">
        <v>15</v>
      </c>
      <c r="L146">
        <v>20</v>
      </c>
      <c r="M146">
        <v>552000</v>
      </c>
      <c r="P146">
        <v>300</v>
      </c>
      <c r="Q146" t="s">
        <v>35</v>
      </c>
      <c r="S146">
        <v>20</v>
      </c>
      <c r="T146">
        <v>44</v>
      </c>
      <c r="U146">
        <v>62.2</v>
      </c>
      <c r="V146">
        <v>0.8</v>
      </c>
      <c r="W146">
        <v>0.75</v>
      </c>
      <c r="X146">
        <v>2.4</v>
      </c>
      <c r="Y146">
        <v>26.262709269999998</v>
      </c>
      <c r="Z146">
        <v>1</v>
      </c>
      <c r="BP146">
        <v>10671.56863</v>
      </c>
      <c r="BQ146">
        <v>73.637422060000006</v>
      </c>
      <c r="BR146">
        <v>73.637422060000006</v>
      </c>
      <c r="BV146">
        <v>328.43080020000002</v>
      </c>
      <c r="BW146">
        <v>0.45</v>
      </c>
      <c r="BX146">
        <v>0.3</v>
      </c>
    </row>
    <row r="147" spans="1:76" x14ac:dyDescent="0.25">
      <c r="A147">
        <f t="shared" si="73"/>
        <v>120</v>
      </c>
      <c r="B147">
        <v>1</v>
      </c>
      <c r="C147" t="str">
        <f t="shared" si="72"/>
        <v>BainEtal_Normal</v>
      </c>
      <c r="E147">
        <v>762</v>
      </c>
      <c r="G147">
        <v>9.5</v>
      </c>
      <c r="J147" t="s">
        <v>41</v>
      </c>
      <c r="K147">
        <v>15</v>
      </c>
      <c r="L147">
        <v>20</v>
      </c>
      <c r="M147">
        <v>552000</v>
      </c>
      <c r="P147">
        <v>100</v>
      </c>
      <c r="Q147" t="s">
        <v>35</v>
      </c>
      <c r="S147">
        <v>18</v>
      </c>
      <c r="T147">
        <v>32</v>
      </c>
      <c r="U147">
        <v>33.5</v>
      </c>
      <c r="V147">
        <v>0.6</v>
      </c>
      <c r="W147">
        <v>0.55000000000000004</v>
      </c>
      <c r="X147">
        <v>1.2</v>
      </c>
      <c r="Y147">
        <v>48.117261399999997</v>
      </c>
      <c r="Z147">
        <v>0.3</v>
      </c>
      <c r="BP147">
        <v>2142.5004370000001</v>
      </c>
      <c r="BQ147">
        <v>260.84833689999999</v>
      </c>
      <c r="BR147">
        <v>50</v>
      </c>
      <c r="BV147">
        <v>5.3562499999999999E-2</v>
      </c>
      <c r="BW147">
        <v>0.45</v>
      </c>
      <c r="BX147">
        <v>0.3</v>
      </c>
    </row>
    <row r="148" spans="1:76" x14ac:dyDescent="0.25">
      <c r="A148">
        <f t="shared" si="73"/>
        <v>121</v>
      </c>
      <c r="B148">
        <v>0</v>
      </c>
      <c r="C148" t="str">
        <f t="shared" si="72"/>
        <v>BainEtal_Normal</v>
      </c>
      <c r="E148">
        <v>762</v>
      </c>
      <c r="G148">
        <v>9.5</v>
      </c>
      <c r="J148" t="s">
        <v>34</v>
      </c>
      <c r="K148">
        <v>8</v>
      </c>
      <c r="L148">
        <v>10</v>
      </c>
      <c r="M148">
        <v>359000</v>
      </c>
      <c r="P148">
        <v>200</v>
      </c>
      <c r="Q148" t="s">
        <v>35</v>
      </c>
      <c r="S148">
        <v>19</v>
      </c>
      <c r="T148">
        <v>38</v>
      </c>
      <c r="U148">
        <v>48</v>
      </c>
      <c r="V148">
        <v>0.7</v>
      </c>
      <c r="W148">
        <v>0.65</v>
      </c>
      <c r="X148">
        <v>1.8</v>
      </c>
      <c r="Y148">
        <v>80.434825029999999</v>
      </c>
      <c r="Z148">
        <v>0.6</v>
      </c>
      <c r="BP148">
        <v>3581.4932680000002</v>
      </c>
      <c r="BQ148">
        <v>127.5713159</v>
      </c>
      <c r="BR148">
        <v>100</v>
      </c>
      <c r="BV148">
        <v>0.30625750000000002</v>
      </c>
      <c r="BW148">
        <v>0.45</v>
      </c>
      <c r="BX148">
        <v>0.3</v>
      </c>
    </row>
    <row r="149" spans="1:76" x14ac:dyDescent="0.25">
      <c r="A149">
        <f t="shared" si="73"/>
        <v>122</v>
      </c>
      <c r="B149">
        <v>3</v>
      </c>
      <c r="C149" t="str">
        <f t="shared" si="72"/>
        <v>BainEtal_Normal</v>
      </c>
      <c r="E149">
        <v>762</v>
      </c>
      <c r="G149">
        <v>9.5</v>
      </c>
      <c r="J149" t="s">
        <v>41</v>
      </c>
      <c r="K149">
        <v>15</v>
      </c>
      <c r="L149">
        <v>20</v>
      </c>
      <c r="M149">
        <v>552000</v>
      </c>
      <c r="P149">
        <v>300</v>
      </c>
      <c r="Q149" t="s">
        <v>35</v>
      </c>
      <c r="S149">
        <v>20</v>
      </c>
      <c r="T149">
        <v>44</v>
      </c>
      <c r="U149">
        <v>62.2</v>
      </c>
      <c r="V149">
        <v>0.8</v>
      </c>
      <c r="W149">
        <v>0.75</v>
      </c>
      <c r="X149">
        <v>2.4</v>
      </c>
      <c r="Y149">
        <v>119.1201456</v>
      </c>
      <c r="Z149">
        <v>1</v>
      </c>
      <c r="BP149">
        <v>5304.0209830000003</v>
      </c>
      <c r="BQ149">
        <v>133.9112705</v>
      </c>
      <c r="BR149">
        <v>133.9112705</v>
      </c>
      <c r="BV149">
        <v>39.613304399999997</v>
      </c>
      <c r="BW149">
        <v>0.45</v>
      </c>
      <c r="BX149">
        <v>0.3</v>
      </c>
    </row>
    <row r="150" spans="1:76" x14ac:dyDescent="0.25">
      <c r="A150">
        <f t="shared" si="73"/>
        <v>123</v>
      </c>
      <c r="B150">
        <v>1</v>
      </c>
      <c r="C150" t="str">
        <f t="shared" si="72"/>
        <v>BainEtal_Normal</v>
      </c>
      <c r="E150">
        <v>610</v>
      </c>
      <c r="G150">
        <v>6.4</v>
      </c>
      <c r="J150" t="s">
        <v>34</v>
      </c>
      <c r="K150">
        <v>8</v>
      </c>
      <c r="L150">
        <v>10</v>
      </c>
      <c r="M150">
        <v>359000</v>
      </c>
      <c r="P150">
        <v>100</v>
      </c>
      <c r="Q150" t="s">
        <v>35</v>
      </c>
      <c r="S150">
        <v>18</v>
      </c>
      <c r="T150">
        <v>32</v>
      </c>
      <c r="U150">
        <v>33.5</v>
      </c>
      <c r="V150">
        <v>0.6</v>
      </c>
      <c r="W150">
        <v>0.55000000000000004</v>
      </c>
      <c r="X150">
        <v>1.2</v>
      </c>
      <c r="Y150">
        <v>38.519067530000001</v>
      </c>
      <c r="Z150">
        <v>0.3</v>
      </c>
      <c r="BP150">
        <v>3173.9251989999998</v>
      </c>
      <c r="BQ150">
        <v>131.54341969999999</v>
      </c>
      <c r="BR150">
        <v>50</v>
      </c>
      <c r="BV150">
        <v>7.9364599999999993E-2</v>
      </c>
      <c r="BW150">
        <v>0.45</v>
      </c>
      <c r="BX150">
        <v>0.3</v>
      </c>
    </row>
    <row r="151" spans="1:76" x14ac:dyDescent="0.25">
      <c r="A151">
        <f t="shared" si="73"/>
        <v>124</v>
      </c>
      <c r="B151">
        <v>2</v>
      </c>
      <c r="C151" t="str">
        <f t="shared" si="72"/>
        <v>BainEtal_Normal</v>
      </c>
      <c r="E151">
        <v>610</v>
      </c>
      <c r="G151">
        <v>6.4</v>
      </c>
      <c r="J151" t="s">
        <v>41</v>
      </c>
      <c r="K151">
        <v>15</v>
      </c>
      <c r="L151">
        <v>20</v>
      </c>
      <c r="M151">
        <v>552000</v>
      </c>
      <c r="P151">
        <v>200</v>
      </c>
      <c r="Q151" t="s">
        <v>35</v>
      </c>
      <c r="S151">
        <v>19</v>
      </c>
      <c r="T151">
        <v>38</v>
      </c>
      <c r="U151">
        <v>48</v>
      </c>
      <c r="V151">
        <v>0.7</v>
      </c>
      <c r="W151">
        <v>0.65</v>
      </c>
      <c r="X151">
        <v>1.8</v>
      </c>
      <c r="Y151">
        <v>64.39008303</v>
      </c>
      <c r="Z151">
        <v>0.6</v>
      </c>
      <c r="BP151">
        <v>5305.6660039999997</v>
      </c>
      <c r="BQ151">
        <v>126.62735549999999</v>
      </c>
      <c r="BR151">
        <v>100</v>
      </c>
      <c r="BV151">
        <v>0.35110530000000001</v>
      </c>
      <c r="BW151">
        <v>0.45</v>
      </c>
      <c r="BX151">
        <v>0.3</v>
      </c>
    </row>
    <row r="152" spans="1:76" x14ac:dyDescent="0.25">
      <c r="A152">
        <f t="shared" si="73"/>
        <v>125</v>
      </c>
      <c r="B152">
        <v>5</v>
      </c>
      <c r="C152" t="str">
        <f t="shared" si="72"/>
        <v>BainEtal_Normal</v>
      </c>
      <c r="E152">
        <v>610</v>
      </c>
      <c r="G152">
        <v>6.4</v>
      </c>
      <c r="J152" t="s">
        <v>64</v>
      </c>
      <c r="K152">
        <v>3</v>
      </c>
      <c r="L152">
        <v>9</v>
      </c>
      <c r="M152">
        <v>290000</v>
      </c>
      <c r="P152">
        <v>300</v>
      </c>
      <c r="Q152" t="s">
        <v>35</v>
      </c>
      <c r="S152">
        <v>20</v>
      </c>
      <c r="T152">
        <v>44</v>
      </c>
      <c r="U152">
        <v>62.2</v>
      </c>
      <c r="V152">
        <v>0.8</v>
      </c>
      <c r="W152">
        <v>0.75</v>
      </c>
      <c r="X152">
        <v>2.4</v>
      </c>
      <c r="Y152">
        <v>95.358646769999993</v>
      </c>
      <c r="Z152">
        <v>1</v>
      </c>
      <c r="BP152">
        <v>7857.438701</v>
      </c>
      <c r="BQ152">
        <v>57.088164460000002</v>
      </c>
      <c r="BR152">
        <v>57.088164460000002</v>
      </c>
      <c r="BV152">
        <v>3.6344853000000001</v>
      </c>
      <c r="BW152">
        <v>0.45</v>
      </c>
      <c r="BX152">
        <v>0.3</v>
      </c>
    </row>
    <row r="153" spans="1:76" x14ac:dyDescent="0.25">
      <c r="A153">
        <f t="shared" si="73"/>
        <v>126</v>
      </c>
      <c r="B153">
        <v>4</v>
      </c>
      <c r="C153" t="str">
        <f t="shared" si="72"/>
        <v>BainEtal_Normal</v>
      </c>
      <c r="E153">
        <v>406</v>
      </c>
      <c r="G153">
        <v>9.5</v>
      </c>
      <c r="J153" t="s">
        <v>34</v>
      </c>
      <c r="K153">
        <v>8</v>
      </c>
      <c r="L153">
        <v>10</v>
      </c>
      <c r="M153">
        <v>359000</v>
      </c>
      <c r="P153">
        <v>100</v>
      </c>
      <c r="Q153" t="s">
        <v>35</v>
      </c>
      <c r="S153">
        <v>18</v>
      </c>
      <c r="T153">
        <v>32</v>
      </c>
      <c r="U153">
        <v>33.5</v>
      </c>
      <c r="V153">
        <v>0.6</v>
      </c>
      <c r="W153">
        <v>0.55000000000000004</v>
      </c>
      <c r="X153">
        <v>1.2</v>
      </c>
      <c r="Y153">
        <v>25.637281009999999</v>
      </c>
      <c r="Z153">
        <v>0.3</v>
      </c>
      <c r="BP153">
        <v>2166.4830419999998</v>
      </c>
      <c r="BQ153">
        <v>185.9265235</v>
      </c>
      <c r="BR153">
        <v>50</v>
      </c>
      <c r="BV153">
        <v>5.4162299999999997E-2</v>
      </c>
      <c r="BW153">
        <v>0.45</v>
      </c>
      <c r="BX153">
        <v>0.3</v>
      </c>
    </row>
    <row r="154" spans="1:76" x14ac:dyDescent="0.25">
      <c r="A154">
        <f t="shared" si="73"/>
        <v>127</v>
      </c>
      <c r="B154">
        <v>4</v>
      </c>
      <c r="C154" t="str">
        <f t="shared" si="72"/>
        <v>BainEtal_Normal</v>
      </c>
      <c r="E154">
        <v>406</v>
      </c>
      <c r="G154">
        <v>9.5</v>
      </c>
      <c r="J154" t="s">
        <v>65</v>
      </c>
      <c r="K154">
        <v>3</v>
      </c>
      <c r="L154">
        <v>8</v>
      </c>
      <c r="M154">
        <v>241000</v>
      </c>
      <c r="P154">
        <v>200</v>
      </c>
      <c r="Q154" t="s">
        <v>35</v>
      </c>
      <c r="S154">
        <v>19</v>
      </c>
      <c r="T154">
        <v>38</v>
      </c>
      <c r="U154">
        <v>48</v>
      </c>
      <c r="V154">
        <v>0.7</v>
      </c>
      <c r="W154">
        <v>0.65</v>
      </c>
      <c r="X154">
        <v>1.8</v>
      </c>
      <c r="Y154">
        <v>42.856350339999999</v>
      </c>
      <c r="Z154">
        <v>0.6</v>
      </c>
      <c r="BP154">
        <v>3621.5835929999998</v>
      </c>
      <c r="BQ154">
        <v>93.226872830000005</v>
      </c>
      <c r="BR154">
        <v>93.226872830000005</v>
      </c>
      <c r="BV154">
        <v>1.003781</v>
      </c>
      <c r="BW154">
        <v>0.45</v>
      </c>
      <c r="BX154">
        <v>0.3</v>
      </c>
    </row>
    <row r="155" spans="1:76" x14ac:dyDescent="0.25">
      <c r="A155">
        <f t="shared" si="73"/>
        <v>128</v>
      </c>
      <c r="B155">
        <v>2</v>
      </c>
      <c r="C155" t="str">
        <f t="shared" si="72"/>
        <v>BainEtal_Normal</v>
      </c>
      <c r="E155">
        <v>406</v>
      </c>
      <c r="G155">
        <v>9.5</v>
      </c>
      <c r="J155" t="s">
        <v>65</v>
      </c>
      <c r="K155">
        <v>3</v>
      </c>
      <c r="L155">
        <v>8</v>
      </c>
      <c r="M155">
        <v>241000</v>
      </c>
      <c r="P155">
        <v>300</v>
      </c>
      <c r="Q155" t="s">
        <v>35</v>
      </c>
      <c r="S155">
        <v>20</v>
      </c>
      <c r="T155">
        <v>44</v>
      </c>
      <c r="U155">
        <v>62.2</v>
      </c>
      <c r="V155">
        <v>0.8</v>
      </c>
      <c r="W155">
        <v>0.75</v>
      </c>
      <c r="X155">
        <v>2.4</v>
      </c>
      <c r="Y155">
        <v>63.468214080000003</v>
      </c>
      <c r="Z155">
        <v>1</v>
      </c>
      <c r="BP155">
        <v>5363.3928450000003</v>
      </c>
      <c r="BQ155">
        <v>69.752292960000005</v>
      </c>
      <c r="BR155">
        <v>69.752292960000005</v>
      </c>
      <c r="BV155">
        <v>2.2893572999999998</v>
      </c>
      <c r="BW155">
        <v>0.45</v>
      </c>
      <c r="BX155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55"/>
  <sheetViews>
    <sheetView topLeftCell="AB64" zoomScale="70" zoomScaleNormal="70" workbookViewId="0">
      <selection activeCell="AG141" sqref="AG141"/>
    </sheetView>
  </sheetViews>
  <sheetFormatPr defaultRowHeight="15" x14ac:dyDescent="0.25"/>
  <cols>
    <col min="3" max="3" width="17.5703125" customWidth="1"/>
  </cols>
  <sheetData>
    <row r="1" spans="1:82" x14ac:dyDescent="0.25">
      <c r="A1" t="s">
        <v>0</v>
      </c>
      <c r="B1" t="s">
        <v>46</v>
      </c>
      <c r="C1" t="s">
        <v>47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29</v>
      </c>
      <c r="AA1" t="s">
        <v>76</v>
      </c>
      <c r="AB1" t="s">
        <v>77</v>
      </c>
      <c r="AC1" t="s">
        <v>78</v>
      </c>
      <c r="AD1" t="s">
        <v>22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51</v>
      </c>
      <c r="AL1" t="s">
        <v>23</v>
      </c>
      <c r="AM1" t="s">
        <v>24</v>
      </c>
      <c r="AN1" t="s">
        <v>25</v>
      </c>
      <c r="AO1" t="s">
        <v>26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48</v>
      </c>
      <c r="BH1" t="s">
        <v>52</v>
      </c>
      <c r="BI1" t="s">
        <v>53</v>
      </c>
      <c r="BJ1" t="s">
        <v>27</v>
      </c>
      <c r="BK1" t="s">
        <v>94</v>
      </c>
      <c r="BL1" t="s">
        <v>95</v>
      </c>
      <c r="BM1" t="s">
        <v>28</v>
      </c>
      <c r="BN1" t="s">
        <v>49</v>
      </c>
      <c r="BO1" t="s">
        <v>50</v>
      </c>
      <c r="BP1" t="s">
        <v>73</v>
      </c>
      <c r="BQ1" t="s">
        <v>74</v>
      </c>
      <c r="BR1" t="s">
        <v>75</v>
      </c>
      <c r="BS1" t="s">
        <v>62</v>
      </c>
      <c r="BT1" t="s">
        <v>63</v>
      </c>
      <c r="BU1" t="s">
        <v>30</v>
      </c>
      <c r="BV1" t="s">
        <v>31</v>
      </c>
      <c r="BW1" t="s">
        <v>66</v>
      </c>
      <c r="BX1" t="s">
        <v>67</v>
      </c>
      <c r="BY1" t="s">
        <v>32</v>
      </c>
      <c r="BZ1" t="s">
        <v>68</v>
      </c>
      <c r="CA1" t="s">
        <v>69</v>
      </c>
      <c r="CB1" t="s">
        <v>33</v>
      </c>
      <c r="CC1" t="s">
        <v>70</v>
      </c>
      <c r="CD1" t="s">
        <v>71</v>
      </c>
    </row>
    <row r="2" spans="1:82" x14ac:dyDescent="0.25">
      <c r="A2">
        <v>1</v>
      </c>
      <c r="B2">
        <v>105</v>
      </c>
      <c r="C2" t="str">
        <f>IF(AND(B2&gt;=0,B2&lt;=5),"BainEtal_Normal",IF(AND(B2&gt;5,B2&lt;90),"SSTens",IF(AND(B2&gt;=90,B2&lt;175),"SSComp",IF(AND(B2&gt;=175,B2&lt;=180),"BainEtal_Reverse"))))</f>
        <v>SSComp</v>
      </c>
      <c r="D2">
        <v>0.20319999999999999</v>
      </c>
      <c r="E2">
        <f>D2*1000</f>
        <v>203.2</v>
      </c>
      <c r="I2">
        <v>15</v>
      </c>
      <c r="Z2">
        <v>0.2</v>
      </c>
      <c r="AM2">
        <f t="shared" ref="AM2:AM21" si="0">-6.50785 + 0.98692*D2 + 0.01601*I2 + (-0.04575 * BG2)</f>
        <v>-5.3809078560000003</v>
      </c>
      <c r="AN2">
        <f t="shared" ref="AN2:AN21" si="1">0.34262 + (-0.10918 * D2) + 0.00197 * I2+ 0.0027*BG2</f>
        <v>0.30948462400000004</v>
      </c>
      <c r="BG2">
        <f t="shared" ref="BG2:BG21" si="2">IF(AND(B2&gt;95,B2&lt;=120),B2-120,0)</f>
        <v>-15</v>
      </c>
      <c r="BM2">
        <f t="shared" ref="BM2:BM21" si="3" xml:space="preserve"> 4.54097 - 0.01093*I2</f>
        <v>4.3770199999999999</v>
      </c>
      <c r="BN2">
        <f t="shared" ref="BN2:BN21" si="4">(LN(Z2) - AM2) / BM2</f>
        <v>0.86165243557623683</v>
      </c>
      <c r="BO2">
        <f t="shared" ref="BO2:BO21" si="5">IF(BN2&gt;=1,5,ATANH(BN2))</f>
        <v>1.2997253384540037</v>
      </c>
      <c r="BU2">
        <f t="shared" ref="BU2:BU21" si="6">(BO2 / AN2) - 4</f>
        <v>0.19964430431284885</v>
      </c>
      <c r="BV2">
        <f>MIN(EXP(BU2),100)</f>
        <v>1.2209683877232429</v>
      </c>
      <c r="BW2">
        <f>IF(OR($C2="SSComp",$C2="BainEtal_Reverse"),BV2,0.00001)</f>
        <v>1.2209683877232429</v>
      </c>
      <c r="BX2">
        <f>IF(OR($C2="SSTens",$C2="BainEtal_Normal"),BV2,0.00001)</f>
        <v>1.0000000000000001E-5</v>
      </c>
      <c r="BY2">
        <v>0.57099999999999995</v>
      </c>
      <c r="BZ2">
        <f>IF(OR($C2="SSComp",$C2="BainEtal_Reverse"),BY2,0.01)</f>
        <v>0.57099999999999995</v>
      </c>
      <c r="CA2">
        <f>IF(OR($C2="SSTens",$C2="BainEtal_Normal"),BY2,0.01)</f>
        <v>0.01</v>
      </c>
      <c r="CB2">
        <v>0.3</v>
      </c>
      <c r="CC2">
        <v>0.3</v>
      </c>
      <c r="CD2">
        <v>0.3</v>
      </c>
    </row>
    <row r="3" spans="1:82" x14ac:dyDescent="0.25">
      <c r="A3">
        <v>2</v>
      </c>
      <c r="B3">
        <v>145</v>
      </c>
      <c r="C3" t="str">
        <f t="shared" ref="C3:C21" si="7">IF(AND(B3&gt;=0,B3&lt;=5),"BainEtal_Normal",IF(AND(B3&gt;5,B3&lt;90),"SSTens",IF(AND(B3&gt;=90,B3&lt;175),"SSComp",IF(AND(B3&gt;=175,B3&lt;=180),"BainEtal_Reverse"))))</f>
        <v>SSComp</v>
      </c>
      <c r="D3">
        <v>0.30480000000000002</v>
      </c>
      <c r="E3">
        <f t="shared" ref="E3:E21" si="8">D3*1000</f>
        <v>304.8</v>
      </c>
      <c r="I3">
        <v>30</v>
      </c>
      <c r="Z3">
        <v>0.1</v>
      </c>
      <c r="AM3">
        <f t="shared" si="0"/>
        <v>-5.7267367840000007</v>
      </c>
      <c r="AN3">
        <f t="shared" si="1"/>
        <v>0.36844193599999997</v>
      </c>
      <c r="BG3">
        <f t="shared" si="2"/>
        <v>0</v>
      </c>
      <c r="BM3">
        <f t="shared" si="3"/>
        <v>4.2130700000000001</v>
      </c>
      <c r="BN3">
        <f t="shared" si="4"/>
        <v>0.81274502702446316</v>
      </c>
      <c r="BO3">
        <f t="shared" si="5"/>
        <v>1.135063192462112</v>
      </c>
      <c r="BU3">
        <f t="shared" si="6"/>
        <v>-0.91928881716083488</v>
      </c>
      <c r="BV3">
        <f t="shared" ref="BV3:BV21" si="9">MIN(EXP(BU3),100)</f>
        <v>0.39880256179319534</v>
      </c>
      <c r="BW3">
        <f t="shared" ref="BW3:BW21" si="10">IF(OR($C3="SSComp",$C3="BainEtal_Reverse"),BV3,0.00001)</f>
        <v>0.39880256179319534</v>
      </c>
      <c r="BX3">
        <f t="shared" ref="BX3:BX21" si="11">IF(OR($C3="SSTens",$C3="BainEtal_Normal"),BV3,0.00001)</f>
        <v>1.0000000000000001E-5</v>
      </c>
      <c r="BY3">
        <v>0.57099999999999995</v>
      </c>
      <c r="BZ3">
        <f t="shared" ref="BZ3:BZ21" si="12">IF(OR($C3="SSComp",$C3="BainEtal_Reverse"),BY3,0.01)</f>
        <v>0.57099999999999995</v>
      </c>
      <c r="CA3">
        <f t="shared" ref="CA3:CA21" si="13">IF(OR($C3="SSTens",$C3="BainEtal_Normal"),BY3,0.01)</f>
        <v>0.01</v>
      </c>
      <c r="CB3">
        <v>0.3</v>
      </c>
      <c r="CC3">
        <v>0.3</v>
      </c>
      <c r="CD3">
        <v>0.3</v>
      </c>
    </row>
    <row r="4" spans="1:82" x14ac:dyDescent="0.25">
      <c r="A4">
        <v>3</v>
      </c>
      <c r="B4">
        <v>165</v>
      </c>
      <c r="C4" t="str">
        <f t="shared" si="7"/>
        <v>SSComp</v>
      </c>
      <c r="D4">
        <v>0.40639999999999998</v>
      </c>
      <c r="E4">
        <f t="shared" si="8"/>
        <v>406.4</v>
      </c>
      <c r="I4">
        <v>50</v>
      </c>
      <c r="Z4">
        <v>0.2</v>
      </c>
      <c r="AM4">
        <f t="shared" si="0"/>
        <v>-5.3062657120000001</v>
      </c>
      <c r="AN4">
        <f t="shared" si="1"/>
        <v>0.396749248</v>
      </c>
      <c r="BG4">
        <f t="shared" si="2"/>
        <v>0</v>
      </c>
      <c r="BM4">
        <f t="shared" si="3"/>
        <v>3.9944699999999997</v>
      </c>
      <c r="BN4">
        <f t="shared" si="4"/>
        <v>0.92548643488770721</v>
      </c>
      <c r="BO4">
        <f t="shared" si="5"/>
        <v>1.6259763586968217</v>
      </c>
      <c r="BU4">
        <f t="shared" si="6"/>
        <v>9.8246857160575018E-2</v>
      </c>
      <c r="BV4">
        <f t="shared" si="9"/>
        <v>1.1032350929790506</v>
      </c>
      <c r="BW4">
        <f t="shared" si="10"/>
        <v>1.1032350929790506</v>
      </c>
      <c r="BX4">
        <f t="shared" si="11"/>
        <v>1.0000000000000001E-5</v>
      </c>
      <c r="BY4">
        <v>0.57099999999999995</v>
      </c>
      <c r="BZ4">
        <f t="shared" si="12"/>
        <v>0.57099999999999995</v>
      </c>
      <c r="CA4">
        <f t="shared" si="13"/>
        <v>0.01</v>
      </c>
      <c r="CB4">
        <v>0.3</v>
      </c>
      <c r="CC4">
        <v>0.3</v>
      </c>
      <c r="CD4">
        <v>0.3</v>
      </c>
    </row>
    <row r="5" spans="1:82" x14ac:dyDescent="0.25">
      <c r="A5">
        <v>4</v>
      </c>
      <c r="B5">
        <v>105</v>
      </c>
      <c r="C5" t="str">
        <f t="shared" si="7"/>
        <v>SSComp</v>
      </c>
      <c r="D5">
        <v>0.50800000000000001</v>
      </c>
      <c r="E5">
        <f t="shared" si="8"/>
        <v>508</v>
      </c>
      <c r="I5">
        <v>100</v>
      </c>
      <c r="Z5">
        <v>0.7</v>
      </c>
      <c r="AM5">
        <f t="shared" si="0"/>
        <v>-3.7192446400000003</v>
      </c>
      <c r="AN5">
        <f t="shared" si="1"/>
        <v>0.44365656000000003</v>
      </c>
      <c r="BG5">
        <f t="shared" si="2"/>
        <v>-15</v>
      </c>
      <c r="BM5">
        <f t="shared" si="3"/>
        <v>3.4479699999999998</v>
      </c>
      <c r="BN5">
        <f t="shared" si="4"/>
        <v>0.97523171491088034</v>
      </c>
      <c r="BO5">
        <f t="shared" si="5"/>
        <v>2.1894384933683062</v>
      </c>
      <c r="BU5">
        <f t="shared" si="6"/>
        <v>0.93498505548595112</v>
      </c>
      <c r="BV5">
        <f t="shared" si="9"/>
        <v>2.5471753911561468</v>
      </c>
      <c r="BW5">
        <f t="shared" si="10"/>
        <v>2.5471753911561468</v>
      </c>
      <c r="BX5">
        <f t="shared" si="11"/>
        <v>1.0000000000000001E-5</v>
      </c>
      <c r="BY5">
        <v>0.57099999999999995</v>
      </c>
      <c r="BZ5">
        <f t="shared" si="12"/>
        <v>0.57099999999999995</v>
      </c>
      <c r="CA5">
        <f t="shared" si="13"/>
        <v>0.01</v>
      </c>
      <c r="CB5">
        <v>0.3</v>
      </c>
      <c r="CC5">
        <v>0.3</v>
      </c>
      <c r="CD5">
        <v>0.3</v>
      </c>
    </row>
    <row r="6" spans="1:82" x14ac:dyDescent="0.25">
      <c r="A6">
        <v>5</v>
      </c>
      <c r="B6">
        <v>145</v>
      </c>
      <c r="C6" t="str">
        <f t="shared" si="7"/>
        <v>SSComp</v>
      </c>
      <c r="D6">
        <v>0.60960000000000003</v>
      </c>
      <c r="E6">
        <f t="shared" si="8"/>
        <v>609.6</v>
      </c>
      <c r="I6">
        <v>15</v>
      </c>
      <c r="Z6">
        <v>0.2</v>
      </c>
      <c r="AM6">
        <f t="shared" si="0"/>
        <v>-5.6660735680000007</v>
      </c>
      <c r="AN6">
        <f t="shared" si="1"/>
        <v>0.30561387200000001</v>
      </c>
      <c r="BG6">
        <f t="shared" si="2"/>
        <v>0</v>
      </c>
      <c r="BM6">
        <f t="shared" si="3"/>
        <v>4.3770199999999999</v>
      </c>
      <c r="BN6">
        <f t="shared" si="4"/>
        <v>0.92680308876036677</v>
      </c>
      <c r="BO6">
        <f t="shared" si="5"/>
        <v>1.6352321269547774</v>
      </c>
      <c r="BU6">
        <f t="shared" si="6"/>
        <v>1.3506475876028867</v>
      </c>
      <c r="BV6">
        <f t="shared" si="9"/>
        <v>3.8599243606680402</v>
      </c>
      <c r="BW6">
        <f t="shared" si="10"/>
        <v>3.8599243606680402</v>
      </c>
      <c r="BX6">
        <f t="shared" si="11"/>
        <v>1.0000000000000001E-5</v>
      </c>
      <c r="BY6">
        <v>0.57099999999999995</v>
      </c>
      <c r="BZ6">
        <f t="shared" si="12"/>
        <v>0.57099999999999995</v>
      </c>
      <c r="CA6">
        <f t="shared" si="13"/>
        <v>0.01</v>
      </c>
      <c r="CB6">
        <v>0.3</v>
      </c>
      <c r="CC6">
        <v>0.3</v>
      </c>
      <c r="CD6">
        <v>0.3</v>
      </c>
    </row>
    <row r="7" spans="1:82" x14ac:dyDescent="0.25">
      <c r="A7">
        <v>6</v>
      </c>
      <c r="B7">
        <v>165</v>
      </c>
      <c r="C7" t="str">
        <f t="shared" si="7"/>
        <v>SSComp</v>
      </c>
      <c r="D7">
        <v>0.76200000000000001</v>
      </c>
      <c r="E7">
        <f t="shared" si="8"/>
        <v>762</v>
      </c>
      <c r="I7">
        <v>30</v>
      </c>
      <c r="Z7">
        <v>0.3</v>
      </c>
      <c r="AM7">
        <f t="shared" si="0"/>
        <v>-5.2755169600000009</v>
      </c>
      <c r="AN7">
        <f t="shared" si="1"/>
        <v>0.31852483999999998</v>
      </c>
      <c r="BG7">
        <f t="shared" si="2"/>
        <v>0</v>
      </c>
      <c r="BM7">
        <f t="shared" si="3"/>
        <v>4.2130700000000001</v>
      </c>
      <c r="BN7">
        <f t="shared" si="4"/>
        <v>0.96640790579650115</v>
      </c>
      <c r="BO7">
        <f t="shared" si="5"/>
        <v>2.0348365057620685</v>
      </c>
      <c r="BU7">
        <f t="shared" si="6"/>
        <v>2.38831340677251</v>
      </c>
      <c r="BV7">
        <f t="shared" si="9"/>
        <v>10.895102831591004</v>
      </c>
      <c r="BW7">
        <f t="shared" si="10"/>
        <v>10.895102831591004</v>
      </c>
      <c r="BX7">
        <f t="shared" si="11"/>
        <v>1.0000000000000001E-5</v>
      </c>
      <c r="BY7">
        <v>0.57099999999999995</v>
      </c>
      <c r="BZ7">
        <f t="shared" si="12"/>
        <v>0.57099999999999995</v>
      </c>
      <c r="CA7">
        <f t="shared" si="13"/>
        <v>0.01</v>
      </c>
      <c r="CB7">
        <v>0.3</v>
      </c>
      <c r="CC7">
        <v>0.3</v>
      </c>
      <c r="CD7">
        <v>0.3</v>
      </c>
    </row>
    <row r="8" spans="1:82" x14ac:dyDescent="0.25">
      <c r="A8">
        <v>7</v>
      </c>
      <c r="B8">
        <v>105</v>
      </c>
      <c r="C8" t="str">
        <f t="shared" si="7"/>
        <v>SSComp</v>
      </c>
      <c r="D8">
        <v>0.86360000000000003</v>
      </c>
      <c r="E8">
        <f t="shared" si="8"/>
        <v>863.6</v>
      </c>
      <c r="I8">
        <v>50</v>
      </c>
      <c r="Z8">
        <v>0.5</v>
      </c>
      <c r="AM8">
        <f t="shared" si="0"/>
        <v>-4.1687958880000009</v>
      </c>
      <c r="AN8">
        <f t="shared" si="1"/>
        <v>0.30633215199999997</v>
      </c>
      <c r="BG8">
        <f t="shared" si="2"/>
        <v>-15</v>
      </c>
      <c r="BM8">
        <f t="shared" si="3"/>
        <v>3.9944699999999997</v>
      </c>
      <c r="BN8">
        <f t="shared" si="4"/>
        <v>0.87011511100097283</v>
      </c>
      <c r="BO8">
        <f t="shared" si="5"/>
        <v>1.3335533378406192</v>
      </c>
      <c r="BU8">
        <f t="shared" si="6"/>
        <v>0.35329210183794046</v>
      </c>
      <c r="BV8">
        <f t="shared" si="9"/>
        <v>1.4237469618042953</v>
      </c>
      <c r="BW8">
        <f t="shared" si="10"/>
        <v>1.4237469618042953</v>
      </c>
      <c r="BX8">
        <f t="shared" si="11"/>
        <v>1.0000000000000001E-5</v>
      </c>
      <c r="BY8">
        <v>0.57099999999999995</v>
      </c>
      <c r="BZ8">
        <f t="shared" si="12"/>
        <v>0.57099999999999995</v>
      </c>
      <c r="CA8">
        <f t="shared" si="13"/>
        <v>0.01</v>
      </c>
      <c r="CB8">
        <v>0.3</v>
      </c>
      <c r="CC8">
        <v>0.3</v>
      </c>
      <c r="CD8">
        <v>0.3</v>
      </c>
    </row>
    <row r="9" spans="1:82" x14ac:dyDescent="0.25">
      <c r="A9">
        <v>8</v>
      </c>
      <c r="B9">
        <v>145</v>
      </c>
      <c r="C9" t="str">
        <f t="shared" si="7"/>
        <v>SSComp</v>
      </c>
      <c r="D9">
        <v>1.0668</v>
      </c>
      <c r="E9">
        <f t="shared" si="8"/>
        <v>1066.8</v>
      </c>
      <c r="I9">
        <v>100</v>
      </c>
      <c r="Z9">
        <v>0.65</v>
      </c>
      <c r="AM9">
        <f t="shared" si="0"/>
        <v>-3.8540037440000008</v>
      </c>
      <c r="AN9">
        <f t="shared" si="1"/>
        <v>0.423146776</v>
      </c>
      <c r="BG9">
        <f t="shared" si="2"/>
        <v>0</v>
      </c>
      <c r="BM9">
        <f t="shared" si="3"/>
        <v>3.4479699999999998</v>
      </c>
      <c r="BN9">
        <f t="shared" si="4"/>
        <v>0.99282210341376143</v>
      </c>
      <c r="BO9">
        <f t="shared" si="5"/>
        <v>2.8131503349727711</v>
      </c>
      <c r="BU9">
        <f t="shared" si="6"/>
        <v>2.6481667698509677</v>
      </c>
      <c r="BV9">
        <f t="shared" si="9"/>
        <v>14.128114804444175</v>
      </c>
      <c r="BW9">
        <f t="shared" si="10"/>
        <v>14.128114804444175</v>
      </c>
      <c r="BX9">
        <f t="shared" si="11"/>
        <v>1.0000000000000001E-5</v>
      </c>
      <c r="BY9">
        <v>0.57099999999999995</v>
      </c>
      <c r="BZ9">
        <f t="shared" si="12"/>
        <v>0.57099999999999995</v>
      </c>
      <c r="CA9">
        <f t="shared" si="13"/>
        <v>0.01</v>
      </c>
      <c r="CB9">
        <v>0.3</v>
      </c>
      <c r="CC9">
        <v>0.3</v>
      </c>
      <c r="CD9">
        <v>0.3</v>
      </c>
    </row>
    <row r="10" spans="1:82" x14ac:dyDescent="0.25">
      <c r="A10">
        <v>9</v>
      </c>
      <c r="B10">
        <v>165</v>
      </c>
      <c r="C10" t="str">
        <f t="shared" si="7"/>
        <v>SSComp</v>
      </c>
      <c r="D10">
        <v>0.60960000000000003</v>
      </c>
      <c r="E10">
        <f t="shared" si="8"/>
        <v>609.6</v>
      </c>
      <c r="I10">
        <v>150</v>
      </c>
      <c r="Z10">
        <v>0.54</v>
      </c>
      <c r="AM10">
        <f t="shared" si="0"/>
        <v>-3.5047235680000006</v>
      </c>
      <c r="AN10">
        <f t="shared" si="1"/>
        <v>0.57156387200000003</v>
      </c>
      <c r="BG10">
        <f t="shared" si="2"/>
        <v>0</v>
      </c>
      <c r="BM10">
        <f t="shared" si="3"/>
        <v>2.9014699999999998</v>
      </c>
      <c r="BN10">
        <f t="shared" si="4"/>
        <v>0.99554275197613074</v>
      </c>
      <c r="BO10">
        <f t="shared" si="5"/>
        <v>3.0520699039355779</v>
      </c>
      <c r="BU10">
        <f t="shared" si="6"/>
        <v>1.3398579816737923</v>
      </c>
      <c r="BV10">
        <f t="shared" si="9"/>
        <v>3.8185011697117019</v>
      </c>
      <c r="BW10">
        <f t="shared" si="10"/>
        <v>3.8185011697117019</v>
      </c>
      <c r="BX10">
        <f t="shared" si="11"/>
        <v>1.0000000000000001E-5</v>
      </c>
      <c r="BY10">
        <v>0.57099999999999995</v>
      </c>
      <c r="BZ10">
        <f t="shared" si="12"/>
        <v>0.57099999999999995</v>
      </c>
      <c r="CA10">
        <f t="shared" si="13"/>
        <v>0.01</v>
      </c>
      <c r="CB10">
        <v>0.3</v>
      </c>
      <c r="CC10">
        <v>0.3</v>
      </c>
      <c r="CD10">
        <v>0.3</v>
      </c>
    </row>
    <row r="11" spans="1:82" x14ac:dyDescent="0.25">
      <c r="A11">
        <v>10</v>
      </c>
      <c r="B11">
        <v>105</v>
      </c>
      <c r="C11" t="str">
        <f t="shared" si="7"/>
        <v>SSComp</v>
      </c>
      <c r="D11">
        <v>0.60960000000000003</v>
      </c>
      <c r="E11">
        <f t="shared" si="8"/>
        <v>609.6</v>
      </c>
      <c r="I11">
        <v>200</v>
      </c>
      <c r="Z11">
        <v>0.5</v>
      </c>
      <c r="AM11">
        <f t="shared" si="0"/>
        <v>-2.0179735680000004</v>
      </c>
      <c r="AN11">
        <f t="shared" si="1"/>
        <v>0.62956387200000008</v>
      </c>
      <c r="BG11">
        <f t="shared" si="2"/>
        <v>-15</v>
      </c>
      <c r="BM11">
        <f t="shared" si="3"/>
        <v>2.3549699999999998</v>
      </c>
      <c r="BN11">
        <f t="shared" si="4"/>
        <v>0.56256614200607868</v>
      </c>
      <c r="BO11">
        <f t="shared" si="5"/>
        <v>0.63657959947907028</v>
      </c>
      <c r="BU11">
        <f t="shared" si="6"/>
        <v>-2.9888562101621514</v>
      </c>
      <c r="BV11">
        <f t="shared" si="9"/>
        <v>5.034498788963291E-2</v>
      </c>
      <c r="BW11">
        <f t="shared" si="10"/>
        <v>5.034498788963291E-2</v>
      </c>
      <c r="BX11">
        <f t="shared" si="11"/>
        <v>1.0000000000000001E-5</v>
      </c>
      <c r="BY11">
        <v>0.57099999999999995</v>
      </c>
      <c r="BZ11">
        <f t="shared" si="12"/>
        <v>0.57099999999999995</v>
      </c>
      <c r="CA11">
        <f t="shared" si="13"/>
        <v>0.01</v>
      </c>
      <c r="CB11">
        <v>0.3</v>
      </c>
      <c r="CC11">
        <v>0.3</v>
      </c>
      <c r="CD11">
        <v>0.3</v>
      </c>
    </row>
    <row r="12" spans="1:82" x14ac:dyDescent="0.25">
      <c r="A12">
        <v>11</v>
      </c>
      <c r="B12">
        <v>145</v>
      </c>
      <c r="C12" t="str">
        <f t="shared" si="7"/>
        <v>SSComp</v>
      </c>
      <c r="D12">
        <v>0.20319999999999999</v>
      </c>
      <c r="E12">
        <f t="shared" si="8"/>
        <v>203.2</v>
      </c>
      <c r="I12">
        <v>15</v>
      </c>
      <c r="Z12">
        <v>0.7</v>
      </c>
      <c r="AM12">
        <f t="shared" si="0"/>
        <v>-6.0671578560000006</v>
      </c>
      <c r="AN12">
        <f t="shared" si="1"/>
        <v>0.34998462400000002</v>
      </c>
      <c r="BG12">
        <f t="shared" si="2"/>
        <v>0</v>
      </c>
      <c r="BM12">
        <f t="shared" si="3"/>
        <v>4.3770199999999999</v>
      </c>
      <c r="BN12">
        <f t="shared" si="4"/>
        <v>1.3046508611021352</v>
      </c>
      <c r="BO12">
        <f t="shared" si="5"/>
        <v>5</v>
      </c>
      <c r="BU12">
        <f t="shared" si="6"/>
        <v>10.286341905123237</v>
      </c>
      <c r="BV12">
        <f t="shared" si="9"/>
        <v>100</v>
      </c>
      <c r="BW12">
        <f t="shared" si="10"/>
        <v>100</v>
      </c>
      <c r="BX12">
        <f t="shared" si="11"/>
        <v>1.0000000000000001E-5</v>
      </c>
      <c r="BY12">
        <v>0.57099999999999995</v>
      </c>
      <c r="BZ12">
        <f t="shared" si="12"/>
        <v>0.57099999999999995</v>
      </c>
      <c r="CA12">
        <f t="shared" si="13"/>
        <v>0.01</v>
      </c>
      <c r="CB12">
        <v>0.3</v>
      </c>
      <c r="CC12">
        <v>0.3</v>
      </c>
      <c r="CD12">
        <v>0.3</v>
      </c>
    </row>
    <row r="13" spans="1:82" x14ac:dyDescent="0.25">
      <c r="A13">
        <v>12</v>
      </c>
      <c r="B13">
        <v>165</v>
      </c>
      <c r="C13" t="str">
        <f t="shared" si="7"/>
        <v>SSComp</v>
      </c>
      <c r="D13">
        <v>0.30480000000000002</v>
      </c>
      <c r="E13">
        <f t="shared" si="8"/>
        <v>304.8</v>
      </c>
      <c r="I13">
        <v>30</v>
      </c>
      <c r="Z13">
        <v>0.6</v>
      </c>
      <c r="AM13">
        <f t="shared" si="0"/>
        <v>-5.7267367840000007</v>
      </c>
      <c r="AN13">
        <f t="shared" si="1"/>
        <v>0.36844193599999997</v>
      </c>
      <c r="BG13">
        <f t="shared" si="2"/>
        <v>0</v>
      </c>
      <c r="BM13">
        <f t="shared" si="3"/>
        <v>4.2130700000000001</v>
      </c>
      <c r="BN13">
        <f t="shared" si="4"/>
        <v>1.2380309750927494</v>
      </c>
      <c r="BO13">
        <f t="shared" si="5"/>
        <v>5</v>
      </c>
      <c r="BU13">
        <f t="shared" si="6"/>
        <v>9.570659339929211</v>
      </c>
      <c r="BV13">
        <f t="shared" si="9"/>
        <v>100</v>
      </c>
      <c r="BW13">
        <f t="shared" si="10"/>
        <v>100</v>
      </c>
      <c r="BX13">
        <f t="shared" si="11"/>
        <v>1.0000000000000001E-5</v>
      </c>
      <c r="BY13">
        <v>0.57099999999999995</v>
      </c>
      <c r="BZ13">
        <f t="shared" si="12"/>
        <v>0.57099999999999995</v>
      </c>
      <c r="CA13">
        <f t="shared" si="13"/>
        <v>0.01</v>
      </c>
      <c r="CB13">
        <v>0.3</v>
      </c>
      <c r="CC13">
        <v>0.3</v>
      </c>
      <c r="CD13">
        <v>0.3</v>
      </c>
    </row>
    <row r="14" spans="1:82" x14ac:dyDescent="0.25">
      <c r="A14">
        <v>13</v>
      </c>
      <c r="B14">
        <v>105</v>
      </c>
      <c r="C14" t="str">
        <f t="shared" si="7"/>
        <v>SSComp</v>
      </c>
      <c r="D14">
        <v>0.40639999999999998</v>
      </c>
      <c r="E14">
        <f t="shared" si="8"/>
        <v>406.4</v>
      </c>
      <c r="I14">
        <v>50</v>
      </c>
      <c r="Z14">
        <v>0.5</v>
      </c>
      <c r="AM14">
        <f t="shared" si="0"/>
        <v>-4.6200157119999998</v>
      </c>
      <c r="AN14">
        <f t="shared" si="1"/>
        <v>0.35624924800000002</v>
      </c>
      <c r="BG14">
        <f t="shared" si="2"/>
        <v>-15</v>
      </c>
      <c r="BM14">
        <f t="shared" si="3"/>
        <v>3.9944699999999997</v>
      </c>
      <c r="BN14">
        <f t="shared" si="4"/>
        <v>0.98307623575594627</v>
      </c>
      <c r="BO14">
        <f t="shared" si="5"/>
        <v>2.3818428849754718</v>
      </c>
      <c r="BU14">
        <f t="shared" si="6"/>
        <v>2.6858888779337766</v>
      </c>
      <c r="BV14">
        <f t="shared" si="9"/>
        <v>14.671236524486245</v>
      </c>
      <c r="BW14">
        <f t="shared" si="10"/>
        <v>14.671236524486245</v>
      </c>
      <c r="BX14">
        <f t="shared" si="11"/>
        <v>1.0000000000000001E-5</v>
      </c>
      <c r="BY14">
        <v>0.57099999999999995</v>
      </c>
      <c r="BZ14">
        <f t="shared" si="12"/>
        <v>0.57099999999999995</v>
      </c>
      <c r="CA14">
        <f t="shared" si="13"/>
        <v>0.01</v>
      </c>
      <c r="CB14">
        <v>0.3</v>
      </c>
      <c r="CC14">
        <v>0.3</v>
      </c>
      <c r="CD14">
        <v>0.3</v>
      </c>
    </row>
    <row r="15" spans="1:82" x14ac:dyDescent="0.25">
      <c r="A15">
        <v>14</v>
      </c>
      <c r="B15">
        <v>145</v>
      </c>
      <c r="C15" t="str">
        <f t="shared" si="7"/>
        <v>SSComp</v>
      </c>
      <c r="D15">
        <v>0.50800000000000001</v>
      </c>
      <c r="E15">
        <f t="shared" si="8"/>
        <v>508</v>
      </c>
      <c r="I15">
        <v>100</v>
      </c>
      <c r="Z15">
        <v>0.2</v>
      </c>
      <c r="AM15">
        <f t="shared" si="0"/>
        <v>-4.4054946400000006</v>
      </c>
      <c r="AN15">
        <f t="shared" si="1"/>
        <v>0.48415656000000001</v>
      </c>
      <c r="BG15">
        <f t="shared" si="2"/>
        <v>0</v>
      </c>
      <c r="BM15">
        <f t="shared" si="3"/>
        <v>3.4479699999999998</v>
      </c>
      <c r="BN15">
        <f t="shared" si="4"/>
        <v>0.81092838034144732</v>
      </c>
      <c r="BO15">
        <f t="shared" si="5"/>
        <v>1.129734513403053</v>
      </c>
      <c r="BU15">
        <f t="shared" si="6"/>
        <v>-1.6665925720327883</v>
      </c>
      <c r="BV15">
        <f t="shared" si="9"/>
        <v>0.18888959802468036</v>
      </c>
      <c r="BW15">
        <f t="shared" si="10"/>
        <v>0.18888959802468036</v>
      </c>
      <c r="BX15">
        <f t="shared" si="11"/>
        <v>1.0000000000000001E-5</v>
      </c>
      <c r="BY15">
        <v>0.57099999999999995</v>
      </c>
      <c r="BZ15">
        <f t="shared" si="12"/>
        <v>0.57099999999999995</v>
      </c>
      <c r="CA15">
        <f t="shared" si="13"/>
        <v>0.01</v>
      </c>
      <c r="CB15">
        <v>0.3</v>
      </c>
      <c r="CC15">
        <v>0.3</v>
      </c>
      <c r="CD15">
        <v>0.3</v>
      </c>
    </row>
    <row r="16" spans="1:82" x14ac:dyDescent="0.25">
      <c r="A16">
        <v>15</v>
      </c>
      <c r="B16">
        <v>165</v>
      </c>
      <c r="C16" t="str">
        <f t="shared" si="7"/>
        <v>SSComp</v>
      </c>
      <c r="D16">
        <v>0.60960000000000003</v>
      </c>
      <c r="E16">
        <f t="shared" si="8"/>
        <v>609.6</v>
      </c>
      <c r="I16">
        <v>15</v>
      </c>
      <c r="Z16">
        <v>0.4</v>
      </c>
      <c r="AM16">
        <f t="shared" si="0"/>
        <v>-5.6660735680000007</v>
      </c>
      <c r="AN16">
        <f t="shared" si="1"/>
        <v>0.30561387200000001</v>
      </c>
      <c r="BG16">
        <f t="shared" si="2"/>
        <v>0</v>
      </c>
      <c r="BM16">
        <f t="shared" si="3"/>
        <v>4.3770199999999999</v>
      </c>
      <c r="BN16">
        <f t="shared" si="4"/>
        <v>1.0851636127150084</v>
      </c>
      <c r="BO16">
        <f t="shared" si="5"/>
        <v>5</v>
      </c>
      <c r="BU16">
        <f t="shared" si="6"/>
        <v>12.360513897091685</v>
      </c>
      <c r="BV16">
        <f t="shared" si="9"/>
        <v>100</v>
      </c>
      <c r="BW16">
        <f t="shared" si="10"/>
        <v>100</v>
      </c>
      <c r="BX16">
        <f t="shared" si="11"/>
        <v>1.0000000000000001E-5</v>
      </c>
      <c r="BY16">
        <v>0.57099999999999995</v>
      </c>
      <c r="BZ16">
        <f t="shared" si="12"/>
        <v>0.57099999999999995</v>
      </c>
      <c r="CA16">
        <f t="shared" si="13"/>
        <v>0.01</v>
      </c>
      <c r="CB16">
        <v>0.3</v>
      </c>
      <c r="CC16">
        <v>0.3</v>
      </c>
      <c r="CD16">
        <v>0.3</v>
      </c>
    </row>
    <row r="17" spans="1:82" x14ac:dyDescent="0.25">
      <c r="A17">
        <v>16</v>
      </c>
      <c r="B17">
        <v>105</v>
      </c>
      <c r="C17" t="str">
        <f t="shared" si="7"/>
        <v>SSComp</v>
      </c>
      <c r="D17">
        <v>0.76200000000000001</v>
      </c>
      <c r="E17">
        <f t="shared" si="8"/>
        <v>762</v>
      </c>
      <c r="I17">
        <v>30</v>
      </c>
      <c r="Z17">
        <v>0.3</v>
      </c>
      <c r="AM17">
        <f t="shared" si="0"/>
        <v>-4.5892669600000007</v>
      </c>
      <c r="AN17">
        <f t="shared" si="1"/>
        <v>0.27802484</v>
      </c>
      <c r="BG17">
        <f t="shared" si="2"/>
        <v>-15</v>
      </c>
      <c r="BM17">
        <f t="shared" si="3"/>
        <v>4.2130700000000001</v>
      </c>
      <c r="BN17">
        <f t="shared" si="4"/>
        <v>0.80352193428404106</v>
      </c>
      <c r="BO17">
        <f t="shared" si="5"/>
        <v>1.1084729310554529</v>
      </c>
      <c r="BU17">
        <f t="shared" si="6"/>
        <v>-1.3043542960215593E-2</v>
      </c>
      <c r="BV17">
        <f t="shared" si="9"/>
        <v>0.98704115539080384</v>
      </c>
      <c r="BW17">
        <f t="shared" si="10"/>
        <v>0.98704115539080384</v>
      </c>
      <c r="BX17">
        <f t="shared" si="11"/>
        <v>1.0000000000000001E-5</v>
      </c>
      <c r="BY17">
        <v>0.57099999999999995</v>
      </c>
      <c r="BZ17">
        <f t="shared" si="12"/>
        <v>0.57099999999999995</v>
      </c>
      <c r="CA17">
        <f t="shared" si="13"/>
        <v>0.01</v>
      </c>
      <c r="CB17">
        <v>0.3</v>
      </c>
      <c r="CC17">
        <v>0.3</v>
      </c>
      <c r="CD17">
        <v>0.3</v>
      </c>
    </row>
    <row r="18" spans="1:82" x14ac:dyDescent="0.25">
      <c r="A18">
        <v>17</v>
      </c>
      <c r="B18">
        <v>145</v>
      </c>
      <c r="C18" t="str">
        <f t="shared" si="7"/>
        <v>SSComp</v>
      </c>
      <c r="D18">
        <v>0.86360000000000003</v>
      </c>
      <c r="E18">
        <f t="shared" si="8"/>
        <v>863.6</v>
      </c>
      <c r="I18">
        <v>50</v>
      </c>
      <c r="Z18">
        <v>0.5</v>
      </c>
      <c r="AM18">
        <f t="shared" si="0"/>
        <v>-4.8550458880000011</v>
      </c>
      <c r="AN18">
        <f t="shared" si="1"/>
        <v>0.34683215199999995</v>
      </c>
      <c r="BG18">
        <f t="shared" si="2"/>
        <v>0</v>
      </c>
      <c r="BM18">
        <f t="shared" si="3"/>
        <v>3.9944699999999997</v>
      </c>
      <c r="BN18">
        <f t="shared" si="4"/>
        <v>1.0419151245196625</v>
      </c>
      <c r="BO18">
        <f t="shared" si="5"/>
        <v>5</v>
      </c>
      <c r="BU18">
        <f t="shared" si="6"/>
        <v>10.416195185964192</v>
      </c>
      <c r="BV18">
        <f t="shared" si="9"/>
        <v>100</v>
      </c>
      <c r="BW18">
        <f t="shared" si="10"/>
        <v>100</v>
      </c>
      <c r="BX18">
        <f t="shared" si="11"/>
        <v>1.0000000000000001E-5</v>
      </c>
      <c r="BY18">
        <v>0.57099999999999995</v>
      </c>
      <c r="BZ18">
        <f t="shared" si="12"/>
        <v>0.57099999999999995</v>
      </c>
      <c r="CA18">
        <f t="shared" si="13"/>
        <v>0.01</v>
      </c>
      <c r="CB18">
        <v>0.3</v>
      </c>
      <c r="CC18">
        <v>0.3</v>
      </c>
      <c r="CD18">
        <v>0.3</v>
      </c>
    </row>
    <row r="19" spans="1:82" x14ac:dyDescent="0.25">
      <c r="A19">
        <v>18</v>
      </c>
      <c r="B19">
        <v>165</v>
      </c>
      <c r="C19" t="str">
        <f t="shared" si="7"/>
        <v>SSComp</v>
      </c>
      <c r="D19">
        <v>1.0668</v>
      </c>
      <c r="E19">
        <f t="shared" si="8"/>
        <v>1066.8</v>
      </c>
      <c r="I19">
        <v>100</v>
      </c>
      <c r="Z19">
        <v>0.7</v>
      </c>
      <c r="AM19">
        <f t="shared" si="0"/>
        <v>-3.8540037440000008</v>
      </c>
      <c r="AN19">
        <f t="shared" si="1"/>
        <v>0.423146776</v>
      </c>
      <c r="BG19">
        <f t="shared" si="2"/>
        <v>0</v>
      </c>
      <c r="BM19">
        <f t="shared" si="3"/>
        <v>3.4479699999999998</v>
      </c>
      <c r="BN19">
        <f t="shared" si="4"/>
        <v>1.0143153217868104</v>
      </c>
      <c r="BO19">
        <f t="shared" si="5"/>
        <v>5</v>
      </c>
      <c r="BU19">
        <f t="shared" si="6"/>
        <v>7.8162308768246405</v>
      </c>
      <c r="BV19">
        <f t="shared" si="9"/>
        <v>100</v>
      </c>
      <c r="BW19">
        <f t="shared" si="10"/>
        <v>100</v>
      </c>
      <c r="BX19">
        <f t="shared" si="11"/>
        <v>1.0000000000000001E-5</v>
      </c>
      <c r="BY19">
        <v>0.57099999999999995</v>
      </c>
      <c r="BZ19">
        <f t="shared" si="12"/>
        <v>0.57099999999999995</v>
      </c>
      <c r="CA19">
        <f t="shared" si="13"/>
        <v>0.01</v>
      </c>
      <c r="CB19">
        <v>0.3</v>
      </c>
      <c r="CC19">
        <v>0.3</v>
      </c>
      <c r="CD19">
        <v>0.3</v>
      </c>
    </row>
    <row r="20" spans="1:82" x14ac:dyDescent="0.25">
      <c r="A20">
        <v>19</v>
      </c>
      <c r="B20">
        <v>115</v>
      </c>
      <c r="C20" t="str">
        <f t="shared" si="7"/>
        <v>SSComp</v>
      </c>
      <c r="D20">
        <v>0.60960000000000003</v>
      </c>
      <c r="E20">
        <f t="shared" si="8"/>
        <v>609.6</v>
      </c>
      <c r="I20">
        <v>150</v>
      </c>
      <c r="Z20">
        <v>0.6</v>
      </c>
      <c r="AM20">
        <f t="shared" si="0"/>
        <v>-3.2759735680000004</v>
      </c>
      <c r="AN20">
        <f t="shared" si="1"/>
        <v>0.55806387200000007</v>
      </c>
      <c r="BG20">
        <f t="shared" si="2"/>
        <v>-5</v>
      </c>
      <c r="BM20">
        <f t="shared" si="3"/>
        <v>2.9014699999999998</v>
      </c>
      <c r="BN20">
        <f t="shared" si="4"/>
        <v>0.95301621048434415</v>
      </c>
      <c r="BO20">
        <f t="shared" si="5"/>
        <v>1.8636637964233149</v>
      </c>
      <c r="BU20">
        <f t="shared" si="6"/>
        <v>-0.66048298424285967</v>
      </c>
      <c r="BV20">
        <f t="shared" si="9"/>
        <v>0.51660176371546651</v>
      </c>
      <c r="BW20">
        <f t="shared" si="10"/>
        <v>0.51660176371546651</v>
      </c>
      <c r="BX20">
        <f t="shared" si="11"/>
        <v>1.0000000000000001E-5</v>
      </c>
      <c r="BY20">
        <v>0.57099999999999995</v>
      </c>
      <c r="BZ20">
        <f t="shared" si="12"/>
        <v>0.57099999999999995</v>
      </c>
      <c r="CA20">
        <f t="shared" si="13"/>
        <v>0.01</v>
      </c>
      <c r="CB20">
        <v>0.3</v>
      </c>
      <c r="CC20">
        <v>0.3</v>
      </c>
      <c r="CD20">
        <v>0.3</v>
      </c>
    </row>
    <row r="21" spans="1:82" x14ac:dyDescent="0.25">
      <c r="A21">
        <v>20</v>
      </c>
      <c r="B21">
        <v>135</v>
      </c>
      <c r="C21" t="str">
        <f t="shared" si="7"/>
        <v>SSComp</v>
      </c>
      <c r="D21">
        <v>0.60960000000000003</v>
      </c>
      <c r="E21">
        <f t="shared" si="8"/>
        <v>609.6</v>
      </c>
      <c r="I21">
        <v>200</v>
      </c>
      <c r="Z21">
        <v>1.5</v>
      </c>
      <c r="AM21">
        <f t="shared" si="0"/>
        <v>-2.7042235680000006</v>
      </c>
      <c r="AN21">
        <f t="shared" si="1"/>
        <v>0.67006387200000006</v>
      </c>
      <c r="BG21">
        <f t="shared" si="2"/>
        <v>0</v>
      </c>
      <c r="BM21">
        <f t="shared" si="3"/>
        <v>2.3549699999999998</v>
      </c>
      <c r="BN21">
        <f t="shared" si="4"/>
        <v>1.3204791042383408</v>
      </c>
      <c r="BO21">
        <f t="shared" si="5"/>
        <v>5</v>
      </c>
      <c r="BU21">
        <f t="shared" si="6"/>
        <v>3.4619752070441425</v>
      </c>
      <c r="BV21">
        <f t="shared" si="9"/>
        <v>31.879883737745445</v>
      </c>
      <c r="BW21">
        <f t="shared" si="10"/>
        <v>31.879883737745445</v>
      </c>
      <c r="BX21">
        <f t="shared" si="11"/>
        <v>1.0000000000000001E-5</v>
      </c>
      <c r="BY21">
        <v>0.57099999999999995</v>
      </c>
      <c r="BZ21">
        <f t="shared" si="12"/>
        <v>0.57099999999999995</v>
      </c>
      <c r="CA21">
        <f t="shared" si="13"/>
        <v>0.01</v>
      </c>
      <c r="CB21">
        <v>0.3</v>
      </c>
      <c r="CC21">
        <v>0.3</v>
      </c>
      <c r="CD21">
        <v>0.3</v>
      </c>
    </row>
    <row r="23" spans="1:82" x14ac:dyDescent="0.25">
      <c r="A23" t="s">
        <v>0</v>
      </c>
      <c r="B23" t="s">
        <v>46</v>
      </c>
      <c r="C23" t="s">
        <v>47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  <c r="O23" t="s">
        <v>12</v>
      </c>
      <c r="Q23" t="s">
        <v>13</v>
      </c>
      <c r="R23" t="s">
        <v>14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29</v>
      </c>
      <c r="AA23" t="s">
        <v>76</v>
      </c>
      <c r="AB23" t="s">
        <v>77</v>
      </c>
      <c r="AC23" t="s">
        <v>78</v>
      </c>
      <c r="AD23" t="s">
        <v>22</v>
      </c>
      <c r="AE23" t="s">
        <v>79</v>
      </c>
      <c r="AF23" t="s">
        <v>80</v>
      </c>
      <c r="AG23" t="s">
        <v>81</v>
      </c>
      <c r="AH23" t="s">
        <v>82</v>
      </c>
      <c r="AI23" t="s">
        <v>83</v>
      </c>
      <c r="AJ23" t="s">
        <v>84</v>
      </c>
      <c r="AK23" t="s">
        <v>51</v>
      </c>
      <c r="AL23" t="s">
        <v>23</v>
      </c>
      <c r="AM23" t="s">
        <v>24</v>
      </c>
      <c r="AN23" t="s">
        <v>25</v>
      </c>
      <c r="AO23" t="s">
        <v>26</v>
      </c>
      <c r="AP23" t="s">
        <v>85</v>
      </c>
      <c r="AQ23" t="s">
        <v>86</v>
      </c>
      <c r="AR23" t="s">
        <v>87</v>
      </c>
      <c r="AS23" t="s">
        <v>88</v>
      </c>
      <c r="AT23" t="s">
        <v>89</v>
      </c>
      <c r="AU23" t="s">
        <v>90</v>
      </c>
      <c r="AV23" t="s">
        <v>91</v>
      </c>
      <c r="AW23" t="s">
        <v>92</v>
      </c>
      <c r="AX23" t="s">
        <v>93</v>
      </c>
      <c r="AY23" t="s">
        <v>54</v>
      </c>
      <c r="AZ23" t="s">
        <v>55</v>
      </c>
      <c r="BA23" t="s">
        <v>56</v>
      </c>
      <c r="BB23" t="s">
        <v>57</v>
      </c>
      <c r="BC23" t="s">
        <v>58</v>
      </c>
      <c r="BD23" t="s">
        <v>59</v>
      </c>
      <c r="BE23" t="s">
        <v>60</v>
      </c>
      <c r="BF23" t="s">
        <v>61</v>
      </c>
      <c r="BH23" t="s">
        <v>52</v>
      </c>
      <c r="BI23" t="s">
        <v>53</v>
      </c>
      <c r="BJ23" t="s">
        <v>27</v>
      </c>
      <c r="BK23" t="s">
        <v>94</v>
      </c>
      <c r="BL23" t="s">
        <v>95</v>
      </c>
      <c r="BM23" t="s">
        <v>28</v>
      </c>
      <c r="BS23" t="s">
        <v>62</v>
      </c>
      <c r="BT23" t="s">
        <v>63</v>
      </c>
      <c r="BU23" t="s">
        <v>30</v>
      </c>
      <c r="BV23" t="s">
        <v>31</v>
      </c>
      <c r="BY23" t="s">
        <v>32</v>
      </c>
      <c r="CB23" t="s">
        <v>33</v>
      </c>
    </row>
    <row r="24" spans="1:82" x14ac:dyDescent="0.25">
      <c r="A24">
        <v>1</v>
      </c>
      <c r="B24">
        <v>39</v>
      </c>
      <c r="C24" t="str">
        <f>IF(AND(B24&gt;=0,B24&lt;=5),"BainEtal_Normal",IF(AND(B24&gt;5,B24&lt;90),"SSTens",IF(AND(B24&gt;=90,B24&lt;175),"SSComp",IF(AND(B24&gt;=175,B24&lt;=180),"BainEtal_Reverse"))))</f>
        <v>SSTens</v>
      </c>
      <c r="D24">
        <v>0.20319999999999999</v>
      </c>
      <c r="E24">
        <f t="shared" ref="E24:E63" si="14">D24*1000</f>
        <v>203.2</v>
      </c>
      <c r="F24">
        <v>5.5599999999999998E-3</v>
      </c>
      <c r="G24">
        <f t="shared" ref="G24:G63" si="15">F24*1000</f>
        <v>5.56</v>
      </c>
      <c r="H24">
        <f t="shared" ref="H24:H63" si="16">D24/F24</f>
        <v>36.546762589928058</v>
      </c>
      <c r="I24">
        <v>15</v>
      </c>
      <c r="J24" t="s">
        <v>34</v>
      </c>
      <c r="K24">
        <f>IF(J24="Grade-B",3,IF(J24="X-42",3,IF(J24="X-52",8,IF(J24="X-60",8,IF(J24="X-70",14,IF(J24="X-80",15,8))))))</f>
        <v>8</v>
      </c>
      <c r="L24">
        <f>IF(J24="Grade-B",8,IF(J24="X-42",9,IF(J24="X-52",10,IF(J24="X-60",12,IF(J24="X-70",15,IF(J24="X-80",20,10))))))</f>
        <v>10</v>
      </c>
      <c r="M24">
        <f>IF(J24="Grade-B",241,IF(J24="X-42",290,IF(J24="X-52",359,IF(J24="X-60",414,IF(J24="X-70",483,IF(J24="X-80",552,359))))))*1000</f>
        <v>359000</v>
      </c>
      <c r="N24">
        <f>IF(J24="Grade-B",344,IF(J24="X-42",414,IF(J24="X-52",455,IF(J24="X-60",517,IF(J24="X-70",565,IF(J24="X-80",625,M24*1.2/1000))))))*1000</f>
        <v>455000</v>
      </c>
      <c r="O24">
        <f>N24/200000000*(1+K24/(1+L24)*(N24/M24)^L24)*100</f>
        <v>1.9969902892117808</v>
      </c>
      <c r="Q24" t="s">
        <v>42</v>
      </c>
      <c r="R24" t="s">
        <v>43</v>
      </c>
      <c r="S24">
        <f>IF(R24="medium dense",18,IF(R24="dense",18.5,IF(R24="very dense",19,IF(R24="soft",17.5,IF(R24="medium stiff",18,IF(R24="stiff",18.5,0))))))</f>
        <v>18</v>
      </c>
      <c r="T24">
        <f t="shared" ref="T24:T63" si="17">IF(R24="medium dense",37,IF(R24="dense",40,IF(R24="very dense",43,0)))</f>
        <v>37</v>
      </c>
      <c r="U24">
        <f t="shared" ref="U24:U63" si="18">IF(R24="soft",37.5,IF(R24="medium stiff",75,IF(R24="stiff",125,0)))</f>
        <v>0</v>
      </c>
      <c r="V24">
        <f t="shared" ref="V24:V63" si="19">IF(R24="soft",1.1,IF(R24="medium stiff",0.72,IF(R24="stiff",0.4,0)))</f>
        <v>0</v>
      </c>
      <c r="W24">
        <v>0.9</v>
      </c>
      <c r="X24">
        <v>1</v>
      </c>
      <c r="Y24">
        <f t="shared" ref="Y24:Y63" si="20">IF(Q24="clay",V24*U24,IF(Q24="sand",X24*S24*TAN(RADIANS(W24*T24))))*PI()*D24</f>
        <v>7.5479720641402661</v>
      </c>
      <c r="Z24">
        <v>0.75</v>
      </c>
      <c r="AA24">
        <f t="shared" ref="AA24:AA43" si="21">IF(Y24&lt;70,1,0)</f>
        <v>1</v>
      </c>
      <c r="AB24">
        <f t="shared" ref="AB24:AB43" si="22">IF(H24&lt;100,1,0)</f>
        <v>1</v>
      </c>
      <c r="AC24">
        <f t="shared" ref="AC24:AC43" si="23">IF(AND(B24&gt;=5,B24&lt;45),-0.05402*(B24-45)-1.82829,IF(AND(B24&gt;=45,B24&lt;85),0.00735*(B24-75)-1.60779))</f>
        <v>-1.50417</v>
      </c>
      <c r="AD24">
        <f t="shared" ref="AD24:AD43" si="24">AF24*LN(I24)+AG24*AA24+AH24*(1-AA24)+AI24*AB24*(H24-100)+AJ24*(1-AB24)</f>
        <v>0.47067295541438414</v>
      </c>
      <c r="AE24">
        <f t="shared" ref="AE24:AE43" si="25">IF(AND(B24&gt;=5,B24&lt;45),0.01347*(B24-45)+0.37664,IF(AND(B24&gt;=45,B24&lt;85),0.00484*(B24-75)+0.52187))</f>
        <v>0.29581999999999997</v>
      </c>
      <c r="AF24">
        <f t="shared" ref="AF24:AF43" si="26">IF(AND(B24&gt;=5,B24&lt;45),-0.00301*(B24-45)-0.01591,IF(AND(B24&gt;=45,B24&lt;85),-0.02185*(B24-75)-0.67156))</f>
        <v>2.1499999999999991E-3</v>
      </c>
      <c r="AG24">
        <f t="shared" ref="AG24:AG43" si="27">IF(AND(B24&gt;=5,B24&lt;45),0.02182*(B24-45)+0.49488,IF(AND(B24&gt;=45,B24&lt;85),0.05619*(B24-75)+2.18087))</f>
        <v>0.36396000000000001</v>
      </c>
      <c r="AH24">
        <f t="shared" ref="AH24:AH43" si="28">IF(AND(B24&gt;=5,B24&lt;45),0.02436*(B24-45)+0.47831,IF(AND(B24&gt;=45,B24&lt;85),0.0643*(B24-75)+2.40733))</f>
        <v>0.33215</v>
      </c>
      <c r="AI24">
        <f t="shared" ref="AI24:AI43" si="29">IF(AND(B24&gt;=5,B24&lt;45),-0.00001*(B24-45)-0.00165,IF(AND(B24&gt;=45,B24&lt;85),-0.00153))</f>
        <v>-1.5900000000000001E-3</v>
      </c>
      <c r="AJ24">
        <f t="shared" ref="AJ24:AJ43" si="30">IF(AND(B24&gt;=5,B24&lt;45),0.00228*(B24-45)+0.10021,IF(AND(B24&gt;=45,B24&lt;85),0.00144*(B24-75)+0.14358))</f>
        <v>8.6529999999999996E-2</v>
      </c>
      <c r="AL24">
        <f t="shared" ref="AL24:AL43" si="31">AC24+AD24*LN(O24)+AE24*LN(I24)</f>
        <v>-0.37753778571031071</v>
      </c>
      <c r="AM24">
        <f t="shared" ref="AM24:AM43" si="32">IF(AND(B24&gt;=5,B24&lt;45),-0.02174*(B24-45)+0.16235,IF(AND(B24&gt;=45,B24&lt;85),-0.02787*(B24-75)-0.67388))</f>
        <v>0.29278999999999999</v>
      </c>
      <c r="AN24">
        <f t="shared" ref="AN24:AN43" si="33">IF(AND(B24&gt;=5,B24&lt;45),0.00203*(B24-45)+0.24407,IF(AND(B24&gt;=45,B24&lt;85),0.00361*(B24-75)+0.35249))</f>
        <v>0.23189000000000001</v>
      </c>
      <c r="AO24">
        <f t="shared" ref="AO24:AO43" si="34">IF(AND(B24&gt;=5,B24&lt;45),-0.02801*(B24-45)+1.64437,IF(AND(B24&gt;=45,B24&lt;85),0.00794*(B24-75)+1.8827))</f>
        <v>1.81243</v>
      </c>
      <c r="AP24">
        <f t="shared" ref="AP24:AP43" si="35">IF(AND(B24&gt;=5,B24&lt;45),-0.0001*(B24-45)-0.00387,IF(AND(B24&gt;=45,B24&lt;85),-0.00002*(B24-75)-0.00456))</f>
        <v>-3.2700000000000003E-3</v>
      </c>
      <c r="AQ24">
        <f t="shared" ref="AQ24:AQ43" si="36">IF(AND(B24&gt;=5,B24&lt;45),-0.00114*(B24-45)+0.00514,IF(AND(B24&gt;=45,B24&lt;85),0.00057*(B24-75)+0.02215))</f>
        <v>1.1979999999999999E-2</v>
      </c>
      <c r="AR24">
        <f t="shared" ref="AR24:AR43" si="37">IF(AND(B24&gt;=5,B24&lt;45),0.01436*(B24-45)-0.12124,IF(AND(B24&gt;=45,B24&lt;85),-0.00844*(B24-75)-0.37439))</f>
        <v>-0.2074</v>
      </c>
      <c r="AS24">
        <f t="shared" ref="AS24:AS43" si="38">IF(AND(B24&gt;=5,B24&lt;45),0.00002*(B24-45)+0.00092,IF(AND(B24&gt;=45,B24&lt;85),0.00002*(B24-75)+0.00156))</f>
        <v>8.0000000000000004E-4</v>
      </c>
      <c r="AT24">
        <f t="shared" ref="AT24:AT43" si="39">IF(AND(B24&gt;=5,B24&lt;45),0.01326*(B24-45)+0.97745,IF(AND(B24&gt;=45,B24&lt;85),-0.00799*(B24-75)+0.73788))</f>
        <v>0.89789000000000008</v>
      </c>
      <c r="AU24">
        <f t="shared" ref="AU24:AU43" si="40">IF(AND(B24&gt;=5,B24&lt;45),0.00061*(B24-45)+0.00602,IF(AND(B24&gt;=45,B24&lt;85),-0.00081*(B24-75)-0.01826))</f>
        <v>2.3600000000000001E-3</v>
      </c>
      <c r="AV24">
        <f t="shared" ref="AV24:AV43" si="41">IF(AND(B24&gt;=5,B24&lt;45),-0.00728*(B24-45)-0.06927,IF(AND(B24&gt;=45,B24&lt;85),0.00522*(B24-75)+0.08748))</f>
        <v>-2.5590000000000002E-2</v>
      </c>
      <c r="AW24">
        <f t="shared" ref="AW24:AW43" si="42">IF(AND(B24&gt;=5,B24&lt;45),0.0148*(B24-45)+0.46008,IF(AND(B24&gt;=45,B24&lt;85),-0.00924*(B24-75)+0.18293))</f>
        <v>0.37128</v>
      </c>
      <c r="AX24">
        <f t="shared" ref="AX24:AX43" si="43">IF(AND(B24&gt;=5,B24&lt;45),0.00272*(B24-45)+0.11565,IF(AND(B24&gt;=45,B24&lt;85),0.00122*(B24-75)+0.15234))</f>
        <v>9.9330000000000002E-2</v>
      </c>
      <c r="BJ24">
        <f t="shared" ref="BJ24:BJ63" si="44">IF(Q24="sand",1,0)</f>
        <v>1</v>
      </c>
      <c r="BK24">
        <f t="shared" ref="BK24:BK43" si="45">IF(Z24&lt;EXP(AL24),1,0)</f>
        <v>0</v>
      </c>
      <c r="BL24">
        <f t="shared" ref="BL24:BL43" si="46">IF(I24&lt;50,1,0)</f>
        <v>1</v>
      </c>
      <c r="BM24">
        <f t="shared" ref="BM24:BM63" si="47">BS24+BT24</f>
        <v>0.96671071957490984</v>
      </c>
      <c r="BS24">
        <f t="shared" ref="BS24:BS43" si="48">BK24*(AP24+AQ24*Y24+AR24*BL24*(I24-50)+AS24*(1-BL24)+AT24*H24)</f>
        <v>0</v>
      </c>
      <c r="BT24">
        <f t="shared" ref="BT24:BT43" si="49">(1-BK24)*(AU24+AV24*BL24*(I24-50)+AW24*(1-BL24)+AX24*LN(O24))</f>
        <v>0.96671071957490984</v>
      </c>
      <c r="BU24">
        <f t="shared" ref="BU24:BU43" si="50">AM24+BM24*LN(Z24/EXP(AL24))+AN24*LN(H24)+BJ24*AO24*LN(Y24)</f>
        <v>4.877558685546262</v>
      </c>
      <c r="BV24">
        <f>MAX(MIN(EXP(BU24),100),0.00001)</f>
        <v>100</v>
      </c>
      <c r="BW24">
        <f>IF(OR($C24="SSComp",$C24="BainEtal_Reverse"),BV24,0.00001)</f>
        <v>1.0000000000000001E-5</v>
      </c>
      <c r="BX24">
        <f>IF(OR($C24="SSTens",$C24="BainEtal_Normal"),BV24,0.00001)</f>
        <v>100</v>
      </c>
      <c r="BY24">
        <f t="shared" ref="BY24:BY43" si="51">IF(AND(B24&gt;=5,B24&lt;45),0.00302*(B24-45)+0.53947,IF(AND(B24&gt;=45,B24&lt;85),0.00428*(B24-75)+0.66796))</f>
        <v>0.52134999999999998</v>
      </c>
      <c r="BZ24">
        <f>IF(OR($C24="SSComp",$C24="BainEtal_Reverse"),BY24,0.01)</f>
        <v>0.01</v>
      </c>
      <c r="CA24">
        <f>IF(OR($C24="SSTens",$C24="BainEtal_Normal"),BY24,0.01)</f>
        <v>0.52134999999999998</v>
      </c>
      <c r="CB24">
        <v>0.3</v>
      </c>
      <c r="CC24">
        <v>0.3</v>
      </c>
      <c r="CD24">
        <v>0.3</v>
      </c>
    </row>
    <row r="25" spans="1:82" x14ac:dyDescent="0.25">
      <c r="A25">
        <v>2</v>
      </c>
      <c r="B25">
        <v>69</v>
      </c>
      <c r="C25" t="str">
        <f t="shared" ref="C25:C63" si="52">IF(AND(B25&gt;=0,B25&lt;=5),"BainEtal_Normal",IF(AND(B25&gt;5,B25&lt;90),"SSTens",IF(AND(B25&gt;=90,B25&lt;175),"SSComp",IF(AND(B25&gt;=175,B25&lt;=180),"BainEtal_Reverse"))))</f>
        <v>SSTens</v>
      </c>
      <c r="D25">
        <v>0.30480000000000002</v>
      </c>
      <c r="E25">
        <f t="shared" si="14"/>
        <v>304.8</v>
      </c>
      <c r="F25">
        <v>7.1399999999999996E-3</v>
      </c>
      <c r="G25">
        <f t="shared" si="15"/>
        <v>7.14</v>
      </c>
      <c r="H25">
        <f t="shared" si="16"/>
        <v>42.689075630252105</v>
      </c>
      <c r="I25">
        <v>30</v>
      </c>
      <c r="J25" t="s">
        <v>37</v>
      </c>
      <c r="K25">
        <f t="shared" ref="K25:K43" si="53">IF(J25="Grade-B",3,IF(J25="X-42",3,IF(J25="X-52",8,IF(J25="X-60",8,IF(J25="X-70",14,IF(J25="X-80",15,8))))))</f>
        <v>8</v>
      </c>
      <c r="L25">
        <f t="shared" ref="L25:L43" si="54">IF(J25="Grade-B",8,IF(J25="X-42",9,IF(J25="X-52",10,IF(J25="X-60",12,IF(J25="X-70",15,IF(J25="X-80",20,10))))))</f>
        <v>12</v>
      </c>
      <c r="M25">
        <f t="shared" ref="M25:M43" si="55">IF(J25="Grade-B",241,IF(J25="X-42",290,IF(J25="X-52",359,IF(J25="X-60",414,IF(J25="X-70",483,IF(J25="X-80",552,359))))))*1000</f>
        <v>414000</v>
      </c>
      <c r="N25">
        <f t="shared" ref="N25:N43" si="56">IF(J25="Grade-B",344,IF(J25="X-42",414,IF(J25="X-52",455,IF(J25="X-60",517,IF(J25="X-70",565,IF(J25="X-80",625,M25*1.2/1000))))))*1000</f>
        <v>517000</v>
      </c>
      <c r="O25">
        <f t="shared" ref="O25:O43" si="57">N25/200000000*(1+K25/(1+L25)*(N25/M25)^L25)*100</f>
        <v>2.5466769467238102</v>
      </c>
      <c r="Q25" t="s">
        <v>42</v>
      </c>
      <c r="R25" t="s">
        <v>43</v>
      </c>
      <c r="S25">
        <f t="shared" ref="S25:S43" si="58">IF(R25="medium dense",18,IF(R25="dense",18.5,IF(R25="very dense",19,IF(R25="soft",17.5,IF(R25="medium stiff",18,IF(R25="stiff",18.5,0))))))</f>
        <v>18</v>
      </c>
      <c r="T25">
        <f t="shared" si="17"/>
        <v>37</v>
      </c>
      <c r="U25">
        <f t="shared" si="18"/>
        <v>0</v>
      </c>
      <c r="V25">
        <f t="shared" si="19"/>
        <v>0</v>
      </c>
      <c r="W25">
        <v>0.9</v>
      </c>
      <c r="X25">
        <v>2</v>
      </c>
      <c r="Y25">
        <f t="shared" si="20"/>
        <v>22.6439161924208</v>
      </c>
      <c r="Z25">
        <v>0.75</v>
      </c>
      <c r="AA25">
        <f t="shared" si="21"/>
        <v>1</v>
      </c>
      <c r="AB25">
        <f t="shared" si="22"/>
        <v>1</v>
      </c>
      <c r="AC25">
        <f t="shared" si="23"/>
        <v>-1.6518900000000001</v>
      </c>
      <c r="AD25">
        <f t="shared" si="24"/>
        <v>9.3204577392585711E-2</v>
      </c>
      <c r="AE25">
        <f t="shared" si="25"/>
        <v>0.49282999999999993</v>
      </c>
      <c r="AF25">
        <f t="shared" si="26"/>
        <v>-0.54046000000000005</v>
      </c>
      <c r="AG25">
        <f t="shared" si="27"/>
        <v>1.8437300000000001</v>
      </c>
      <c r="AH25">
        <f t="shared" si="28"/>
        <v>2.0215299999999998</v>
      </c>
      <c r="AI25">
        <f t="shared" si="29"/>
        <v>-1.5299999999999999E-3</v>
      </c>
      <c r="AJ25">
        <f t="shared" si="30"/>
        <v>0.13494</v>
      </c>
      <c r="AL25">
        <f t="shared" si="31"/>
        <v>0.11144875203180549</v>
      </c>
      <c r="AM25">
        <f t="shared" si="32"/>
        <v>-0.50666000000000011</v>
      </c>
      <c r="AN25">
        <f t="shared" si="33"/>
        <v>0.33083000000000001</v>
      </c>
      <c r="AO25">
        <f t="shared" si="34"/>
        <v>1.8350600000000001</v>
      </c>
      <c r="AP25">
        <f t="shared" si="35"/>
        <v>-4.4399999999999995E-3</v>
      </c>
      <c r="AQ25">
        <f t="shared" si="36"/>
        <v>1.873E-2</v>
      </c>
      <c r="AR25">
        <f t="shared" si="37"/>
        <v>-0.32374999999999998</v>
      </c>
      <c r="AS25">
        <f t="shared" si="38"/>
        <v>1.4399999999999999E-3</v>
      </c>
      <c r="AT25">
        <f t="shared" si="39"/>
        <v>0.78581999999999996</v>
      </c>
      <c r="AU25">
        <f t="shared" si="40"/>
        <v>-1.3399999999999999E-2</v>
      </c>
      <c r="AV25">
        <f t="shared" si="41"/>
        <v>5.6160000000000002E-2</v>
      </c>
      <c r="AW25">
        <f t="shared" si="42"/>
        <v>0.23837000000000003</v>
      </c>
      <c r="AX25">
        <f t="shared" si="43"/>
        <v>0.14502000000000001</v>
      </c>
      <c r="BJ25">
        <f t="shared" si="44"/>
        <v>1</v>
      </c>
      <c r="BK25">
        <f t="shared" si="45"/>
        <v>1</v>
      </c>
      <c r="BL25">
        <f t="shared" si="46"/>
        <v>1</v>
      </c>
      <c r="BM25">
        <f t="shared" si="47"/>
        <v>40.440609962048754</v>
      </c>
      <c r="BS25">
        <f t="shared" si="48"/>
        <v>40.440609962048754</v>
      </c>
      <c r="BT25">
        <f t="shared" si="49"/>
        <v>0</v>
      </c>
      <c r="BU25">
        <f t="shared" si="50"/>
        <v>-9.6806494452477772</v>
      </c>
      <c r="BV25">
        <f t="shared" ref="BV25:BV63" si="59">MAX(MIN(EXP(BU25),100),0.00001)</f>
        <v>6.2480912663588663E-5</v>
      </c>
      <c r="BW25">
        <f t="shared" ref="BW25:BW63" si="60">IF(OR($C25="SSComp",$C25="BainEtal_Reverse"),BV25,0.00001)</f>
        <v>1.0000000000000001E-5</v>
      </c>
      <c r="BX25">
        <f t="shared" ref="BX25:BX63" si="61">IF(OR($C25="SSTens",$C25="BainEtal_Normal"),BV25,0.00001)</f>
        <v>6.2480912663588663E-5</v>
      </c>
      <c r="BY25">
        <f t="shared" si="51"/>
        <v>0.64227999999999996</v>
      </c>
      <c r="BZ25">
        <f t="shared" ref="BZ25:BZ63" si="62">IF(OR($C25="SSComp",$C25="BainEtal_Reverse"),BY25,0.01)</f>
        <v>0.01</v>
      </c>
      <c r="CA25">
        <f t="shared" ref="CA25:CA63" si="63">IF(OR($C25="SSTens",$C25="BainEtal_Normal"),BY25,0.01)</f>
        <v>0.64227999999999996</v>
      </c>
      <c r="CB25">
        <v>0.3</v>
      </c>
      <c r="CC25">
        <v>0.3</v>
      </c>
      <c r="CD25">
        <v>0.3</v>
      </c>
    </row>
    <row r="26" spans="1:82" x14ac:dyDescent="0.25">
      <c r="A26">
        <v>3</v>
      </c>
      <c r="B26">
        <v>28</v>
      </c>
      <c r="C26" t="str">
        <f t="shared" si="52"/>
        <v>SSTens</v>
      </c>
      <c r="D26">
        <v>0.40639999999999998</v>
      </c>
      <c r="E26">
        <f t="shared" si="14"/>
        <v>406.4</v>
      </c>
      <c r="F26">
        <v>9.5299999999999985E-3</v>
      </c>
      <c r="G26">
        <f t="shared" si="15"/>
        <v>9.5299999999999994</v>
      </c>
      <c r="H26">
        <f t="shared" si="16"/>
        <v>42.644281217208821</v>
      </c>
      <c r="I26">
        <v>50</v>
      </c>
      <c r="J26" t="s">
        <v>39</v>
      </c>
      <c r="K26">
        <f t="shared" si="53"/>
        <v>14</v>
      </c>
      <c r="L26">
        <f t="shared" si="54"/>
        <v>15</v>
      </c>
      <c r="M26">
        <f t="shared" si="55"/>
        <v>483000</v>
      </c>
      <c r="N26">
        <f t="shared" si="56"/>
        <v>565000</v>
      </c>
      <c r="O26">
        <f t="shared" si="57"/>
        <v>2.8799444073326219</v>
      </c>
      <c r="Q26" t="s">
        <v>42</v>
      </c>
      <c r="R26" t="s">
        <v>43</v>
      </c>
      <c r="S26">
        <f t="shared" si="58"/>
        <v>18</v>
      </c>
      <c r="T26">
        <f t="shared" si="17"/>
        <v>37</v>
      </c>
      <c r="U26">
        <f t="shared" si="18"/>
        <v>0</v>
      </c>
      <c r="V26">
        <f t="shared" si="19"/>
        <v>0</v>
      </c>
      <c r="W26">
        <v>0.9</v>
      </c>
      <c r="X26">
        <v>1</v>
      </c>
      <c r="Y26">
        <f t="shared" si="20"/>
        <v>15.095944128280532</v>
      </c>
      <c r="Z26">
        <v>0.75</v>
      </c>
      <c r="AA26">
        <f t="shared" si="21"/>
        <v>1</v>
      </c>
      <c r="AB26">
        <f t="shared" si="22"/>
        <v>1</v>
      </c>
      <c r="AC26">
        <f t="shared" si="23"/>
        <v>-0.90995000000000004</v>
      </c>
      <c r="AD26">
        <f t="shared" si="24"/>
        <v>0.34676439496992739</v>
      </c>
      <c r="AE26">
        <f t="shared" si="25"/>
        <v>0.14764999999999998</v>
      </c>
      <c r="AF26">
        <f t="shared" si="26"/>
        <v>3.526E-2</v>
      </c>
      <c r="AG26">
        <f t="shared" si="27"/>
        <v>0.12393999999999999</v>
      </c>
      <c r="AH26">
        <f t="shared" si="28"/>
        <v>6.4190000000000025E-2</v>
      </c>
      <c r="AI26">
        <f t="shared" si="29"/>
        <v>-1.48E-3</v>
      </c>
      <c r="AJ26">
        <f t="shared" si="30"/>
        <v>6.1449999999999998E-2</v>
      </c>
      <c r="AL26">
        <f t="shared" si="31"/>
        <v>3.4457514445691229E-2</v>
      </c>
      <c r="AM26">
        <f t="shared" si="32"/>
        <v>0.53193000000000001</v>
      </c>
      <c r="AN26">
        <f t="shared" si="33"/>
        <v>0.20956000000000002</v>
      </c>
      <c r="AO26">
        <f t="shared" si="34"/>
        <v>2.1205400000000001</v>
      </c>
      <c r="AP26">
        <f t="shared" si="35"/>
        <v>-2.1700000000000001E-3</v>
      </c>
      <c r="AQ26">
        <f t="shared" si="36"/>
        <v>2.4519999999999997E-2</v>
      </c>
      <c r="AR26">
        <f t="shared" si="37"/>
        <v>-0.36536000000000002</v>
      </c>
      <c r="AS26">
        <f t="shared" si="38"/>
        <v>5.8E-4</v>
      </c>
      <c r="AT26">
        <f t="shared" si="39"/>
        <v>0.75203000000000009</v>
      </c>
      <c r="AU26">
        <f t="shared" si="40"/>
        <v>-4.3499999999999988E-3</v>
      </c>
      <c r="AV26">
        <f t="shared" si="41"/>
        <v>5.4489999999999997E-2</v>
      </c>
      <c r="AW26">
        <f t="shared" si="42"/>
        <v>0.20848</v>
      </c>
      <c r="AX26">
        <f t="shared" si="43"/>
        <v>6.9409999999999999E-2</v>
      </c>
      <c r="BJ26">
        <f t="shared" si="44"/>
        <v>1</v>
      </c>
      <c r="BK26">
        <f t="shared" si="45"/>
        <v>1</v>
      </c>
      <c r="BL26">
        <f t="shared" si="46"/>
        <v>0</v>
      </c>
      <c r="BM26">
        <f t="shared" si="47"/>
        <v>32.43834135380299</v>
      </c>
      <c r="BS26">
        <f t="shared" si="48"/>
        <v>32.43834135380299</v>
      </c>
      <c r="BT26">
        <f t="shared" si="49"/>
        <v>0</v>
      </c>
      <c r="BU26">
        <f t="shared" si="50"/>
        <v>-3.3752384519824616</v>
      </c>
      <c r="BV26">
        <f t="shared" si="59"/>
        <v>3.4209959906251142E-2</v>
      </c>
      <c r="BW26">
        <f t="shared" si="60"/>
        <v>1.0000000000000001E-5</v>
      </c>
      <c r="BX26">
        <f t="shared" si="61"/>
        <v>3.4209959906251142E-2</v>
      </c>
      <c r="BY26">
        <f t="shared" si="51"/>
        <v>0.48813000000000001</v>
      </c>
      <c r="BZ26">
        <f t="shared" si="62"/>
        <v>0.01</v>
      </c>
      <c r="CA26">
        <f t="shared" si="63"/>
        <v>0.48813000000000001</v>
      </c>
      <c r="CB26">
        <v>0.3</v>
      </c>
      <c r="CC26">
        <v>0.3</v>
      </c>
      <c r="CD26">
        <v>0.3</v>
      </c>
    </row>
    <row r="27" spans="1:82" x14ac:dyDescent="0.25">
      <c r="A27">
        <v>4</v>
      </c>
      <c r="B27">
        <v>10</v>
      </c>
      <c r="C27" t="str">
        <f t="shared" si="52"/>
        <v>SSTens</v>
      </c>
      <c r="D27">
        <v>0.50800000000000001</v>
      </c>
      <c r="E27">
        <f t="shared" si="14"/>
        <v>508</v>
      </c>
      <c r="F27">
        <v>1.1130000000000001E-2</v>
      </c>
      <c r="G27">
        <f t="shared" si="15"/>
        <v>11.13</v>
      </c>
      <c r="H27">
        <f t="shared" si="16"/>
        <v>45.642407906558844</v>
      </c>
      <c r="I27">
        <v>100</v>
      </c>
      <c r="J27" t="s">
        <v>41</v>
      </c>
      <c r="K27">
        <f t="shared" si="53"/>
        <v>15</v>
      </c>
      <c r="L27">
        <f t="shared" si="54"/>
        <v>20</v>
      </c>
      <c r="M27">
        <f t="shared" si="55"/>
        <v>552000</v>
      </c>
      <c r="N27">
        <f t="shared" si="56"/>
        <v>625000</v>
      </c>
      <c r="O27">
        <f t="shared" si="57"/>
        <v>2.9888368774026359</v>
      </c>
      <c r="Q27" t="s">
        <v>42</v>
      </c>
      <c r="R27" t="s">
        <v>43</v>
      </c>
      <c r="S27">
        <f t="shared" si="58"/>
        <v>18</v>
      </c>
      <c r="T27">
        <f t="shared" si="17"/>
        <v>37</v>
      </c>
      <c r="U27">
        <f t="shared" si="18"/>
        <v>0</v>
      </c>
      <c r="V27">
        <f t="shared" si="19"/>
        <v>0</v>
      </c>
      <c r="W27">
        <v>0.9</v>
      </c>
      <c r="X27">
        <v>2</v>
      </c>
      <c r="Y27">
        <f t="shared" si="20"/>
        <v>37.739860320701332</v>
      </c>
      <c r="Z27">
        <v>0.75</v>
      </c>
      <c r="AA27">
        <f t="shared" si="21"/>
        <v>1</v>
      </c>
      <c r="AB27">
        <f t="shared" si="22"/>
        <v>1</v>
      </c>
      <c r="AC27">
        <f t="shared" si="23"/>
        <v>6.2410000000000077E-2</v>
      </c>
      <c r="AD27">
        <f t="shared" si="24"/>
        <v>0.21373129115624845</v>
      </c>
      <c r="AE27">
        <f t="shared" si="25"/>
        <v>-9.4810000000000005E-2</v>
      </c>
      <c r="AF27">
        <f t="shared" si="26"/>
        <v>8.9439999999999992E-2</v>
      </c>
      <c r="AG27">
        <f t="shared" si="27"/>
        <v>-0.26881999999999995</v>
      </c>
      <c r="AH27">
        <f t="shared" si="28"/>
        <v>-0.37429000000000001</v>
      </c>
      <c r="AI27">
        <f t="shared" si="29"/>
        <v>-1.2999999999999999E-3</v>
      </c>
      <c r="AJ27">
        <f t="shared" si="30"/>
        <v>2.0409999999999998E-2</v>
      </c>
      <c r="AL27">
        <f t="shared" si="31"/>
        <v>-0.14019514862320309</v>
      </c>
      <c r="AM27">
        <f t="shared" si="32"/>
        <v>0.9232499999999999</v>
      </c>
      <c r="AN27">
        <f t="shared" si="33"/>
        <v>0.17302000000000001</v>
      </c>
      <c r="AO27">
        <f t="shared" si="34"/>
        <v>2.6247199999999999</v>
      </c>
      <c r="AP27">
        <f t="shared" si="35"/>
        <v>-3.700000000000001E-4</v>
      </c>
      <c r="AQ27">
        <f t="shared" si="36"/>
        <v>4.5039999999999997E-2</v>
      </c>
      <c r="AR27">
        <f t="shared" si="37"/>
        <v>-0.62383999999999995</v>
      </c>
      <c r="AS27">
        <f t="shared" si="38"/>
        <v>2.1999999999999993E-4</v>
      </c>
      <c r="AT27">
        <f t="shared" si="39"/>
        <v>0.51335000000000008</v>
      </c>
      <c r="AU27">
        <f t="shared" si="40"/>
        <v>-1.5329999999999996E-2</v>
      </c>
      <c r="AV27">
        <f t="shared" si="41"/>
        <v>0.18553000000000003</v>
      </c>
      <c r="AW27">
        <f t="shared" si="42"/>
        <v>-5.7920000000000027E-2</v>
      </c>
      <c r="AX27">
        <f t="shared" si="43"/>
        <v>2.0449999999999996E-2</v>
      </c>
      <c r="BJ27">
        <f t="shared" si="44"/>
        <v>1</v>
      </c>
      <c r="BK27">
        <f t="shared" si="45"/>
        <v>1</v>
      </c>
      <c r="BL27">
        <f t="shared" si="46"/>
        <v>0</v>
      </c>
      <c r="BM27">
        <f t="shared" si="47"/>
        <v>25.130183407676377</v>
      </c>
      <c r="BS27">
        <f t="shared" si="48"/>
        <v>25.130183407676377</v>
      </c>
      <c r="BT27">
        <f t="shared" si="49"/>
        <v>0</v>
      </c>
      <c r="BU27">
        <f t="shared" si="50"/>
        <v>7.407572921774018</v>
      </c>
      <c r="BV27">
        <f t="shared" si="59"/>
        <v>100</v>
      </c>
      <c r="BW27">
        <f t="shared" si="60"/>
        <v>1.0000000000000001E-5</v>
      </c>
      <c r="BX27">
        <f t="shared" si="61"/>
        <v>100</v>
      </c>
      <c r="BY27">
        <f t="shared" si="51"/>
        <v>0.43376999999999999</v>
      </c>
      <c r="BZ27">
        <f t="shared" si="62"/>
        <v>0.01</v>
      </c>
      <c r="CA27">
        <f t="shared" si="63"/>
        <v>0.43376999999999999</v>
      </c>
      <c r="CB27">
        <v>0.3</v>
      </c>
      <c r="CC27">
        <v>0.3</v>
      </c>
      <c r="CD27">
        <v>0.3</v>
      </c>
    </row>
    <row r="28" spans="1:82" x14ac:dyDescent="0.25">
      <c r="A28">
        <v>5</v>
      </c>
      <c r="B28">
        <v>59</v>
      </c>
      <c r="C28" t="str">
        <f t="shared" si="52"/>
        <v>SSTens</v>
      </c>
      <c r="D28">
        <v>0.60960000000000003</v>
      </c>
      <c r="E28">
        <f t="shared" si="14"/>
        <v>609.6</v>
      </c>
      <c r="F28">
        <v>9.5299999999999985E-3</v>
      </c>
      <c r="G28">
        <f t="shared" si="15"/>
        <v>9.5299999999999994</v>
      </c>
      <c r="H28">
        <f t="shared" si="16"/>
        <v>63.966421825813235</v>
      </c>
      <c r="I28">
        <v>15</v>
      </c>
      <c r="J28" t="s">
        <v>34</v>
      </c>
      <c r="K28">
        <f t="shared" si="53"/>
        <v>8</v>
      </c>
      <c r="L28">
        <f t="shared" si="54"/>
        <v>10</v>
      </c>
      <c r="M28">
        <f t="shared" si="55"/>
        <v>359000</v>
      </c>
      <c r="N28">
        <f t="shared" si="56"/>
        <v>455000</v>
      </c>
      <c r="O28">
        <f t="shared" si="57"/>
        <v>1.9969902892117808</v>
      </c>
      <c r="Q28" t="s">
        <v>42</v>
      </c>
      <c r="R28" t="s">
        <v>44</v>
      </c>
      <c r="S28">
        <f t="shared" si="58"/>
        <v>18.5</v>
      </c>
      <c r="T28">
        <f t="shared" si="17"/>
        <v>40</v>
      </c>
      <c r="U28">
        <f t="shared" si="18"/>
        <v>0</v>
      </c>
      <c r="V28">
        <f t="shared" si="19"/>
        <v>0</v>
      </c>
      <c r="W28">
        <v>0.9</v>
      </c>
      <c r="X28">
        <v>1</v>
      </c>
      <c r="Y28">
        <f t="shared" si="20"/>
        <v>25.741129539100392</v>
      </c>
      <c r="Z28">
        <v>2.75</v>
      </c>
      <c r="AA28">
        <f t="shared" si="21"/>
        <v>1</v>
      </c>
      <c r="AB28">
        <f t="shared" si="22"/>
        <v>1</v>
      </c>
      <c r="AC28">
        <f t="shared" si="23"/>
        <v>-1.72539</v>
      </c>
      <c r="AD28">
        <f t="shared" si="24"/>
        <v>0.4650775318596384</v>
      </c>
      <c r="AE28">
        <f t="shared" si="25"/>
        <v>0.44442999999999994</v>
      </c>
      <c r="AF28">
        <f t="shared" si="26"/>
        <v>-0.32196000000000002</v>
      </c>
      <c r="AG28">
        <f t="shared" si="27"/>
        <v>1.2818300000000002</v>
      </c>
      <c r="AH28">
        <f t="shared" si="28"/>
        <v>1.37853</v>
      </c>
      <c r="AI28">
        <f t="shared" si="29"/>
        <v>-1.5299999999999999E-3</v>
      </c>
      <c r="AJ28">
        <f t="shared" si="30"/>
        <v>0.12054000000000001</v>
      </c>
      <c r="AL28">
        <f t="shared" si="31"/>
        <v>-0.20018447074017054</v>
      </c>
      <c r="AM28">
        <f t="shared" si="32"/>
        <v>-0.22796000000000005</v>
      </c>
      <c r="AN28">
        <f t="shared" si="33"/>
        <v>0.29473000000000005</v>
      </c>
      <c r="AO28">
        <f t="shared" si="34"/>
        <v>1.75566</v>
      </c>
      <c r="AP28">
        <f t="shared" si="35"/>
        <v>-4.2399999999999998E-3</v>
      </c>
      <c r="AQ28">
        <f t="shared" si="36"/>
        <v>1.303E-2</v>
      </c>
      <c r="AR28">
        <f t="shared" si="37"/>
        <v>-0.23935000000000001</v>
      </c>
      <c r="AS28">
        <f t="shared" si="38"/>
        <v>1.24E-3</v>
      </c>
      <c r="AT28">
        <f t="shared" si="39"/>
        <v>0.86572000000000005</v>
      </c>
      <c r="AU28">
        <f t="shared" si="40"/>
        <v>-5.2999999999999992E-3</v>
      </c>
      <c r="AV28">
        <f t="shared" si="41"/>
        <v>3.9600000000000052E-3</v>
      </c>
      <c r="AW28">
        <f t="shared" si="42"/>
        <v>0.33077000000000001</v>
      </c>
      <c r="AX28">
        <f t="shared" si="43"/>
        <v>0.13281999999999999</v>
      </c>
      <c r="BJ28">
        <f t="shared" si="44"/>
        <v>1</v>
      </c>
      <c r="BK28">
        <f t="shared" si="45"/>
        <v>0</v>
      </c>
      <c r="BL28">
        <f t="shared" si="46"/>
        <v>1</v>
      </c>
      <c r="BM28">
        <f t="shared" si="47"/>
        <v>-5.203621691392836E-2</v>
      </c>
      <c r="BS28">
        <f t="shared" si="48"/>
        <v>0</v>
      </c>
      <c r="BT28">
        <f t="shared" si="49"/>
        <v>-5.203621691392836E-2</v>
      </c>
      <c r="BU28">
        <f t="shared" si="50"/>
        <v>6.6371180474282649</v>
      </c>
      <c r="BV28">
        <f t="shared" si="59"/>
        <v>100</v>
      </c>
      <c r="BW28">
        <f t="shared" si="60"/>
        <v>1.0000000000000001E-5</v>
      </c>
      <c r="BX28">
        <f t="shared" si="61"/>
        <v>100</v>
      </c>
      <c r="BY28">
        <f t="shared" si="51"/>
        <v>0.59948000000000001</v>
      </c>
      <c r="BZ28">
        <f t="shared" si="62"/>
        <v>0.01</v>
      </c>
      <c r="CA28">
        <f t="shared" si="63"/>
        <v>0.59948000000000001</v>
      </c>
      <c r="CB28">
        <v>0.3</v>
      </c>
      <c r="CC28">
        <v>0.3</v>
      </c>
      <c r="CD28">
        <v>0.3</v>
      </c>
    </row>
    <row r="29" spans="1:82" x14ac:dyDescent="0.25">
      <c r="A29">
        <v>6</v>
      </c>
      <c r="B29">
        <v>17</v>
      </c>
      <c r="C29" t="str">
        <f t="shared" si="52"/>
        <v>SSTens</v>
      </c>
      <c r="D29">
        <v>0.76200000000000001</v>
      </c>
      <c r="E29">
        <f t="shared" si="14"/>
        <v>762</v>
      </c>
      <c r="F29">
        <v>1.2699999999999999E-2</v>
      </c>
      <c r="G29">
        <f t="shared" si="15"/>
        <v>12.7</v>
      </c>
      <c r="H29">
        <f t="shared" si="16"/>
        <v>60</v>
      </c>
      <c r="I29">
        <v>30</v>
      </c>
      <c r="J29" t="s">
        <v>37</v>
      </c>
      <c r="K29">
        <f t="shared" si="53"/>
        <v>8</v>
      </c>
      <c r="L29">
        <f t="shared" si="54"/>
        <v>12</v>
      </c>
      <c r="M29">
        <f t="shared" si="55"/>
        <v>414000</v>
      </c>
      <c r="N29">
        <f t="shared" si="56"/>
        <v>517000</v>
      </c>
      <c r="O29">
        <f t="shared" si="57"/>
        <v>2.5466769467238102</v>
      </c>
      <c r="Q29" t="s">
        <v>42</v>
      </c>
      <c r="R29" t="s">
        <v>44</v>
      </c>
      <c r="S29">
        <f t="shared" si="58"/>
        <v>18.5</v>
      </c>
      <c r="T29">
        <f t="shared" si="17"/>
        <v>40</v>
      </c>
      <c r="U29">
        <f t="shared" si="18"/>
        <v>0</v>
      </c>
      <c r="V29">
        <f t="shared" si="19"/>
        <v>0</v>
      </c>
      <c r="W29">
        <v>0.9</v>
      </c>
      <c r="X29">
        <v>2</v>
      </c>
      <c r="Y29">
        <f t="shared" si="20"/>
        <v>64.352823847750969</v>
      </c>
      <c r="Z29">
        <v>3.5</v>
      </c>
      <c r="AA29">
        <f t="shared" si="21"/>
        <v>1</v>
      </c>
      <c r="AB29">
        <f t="shared" si="22"/>
        <v>1</v>
      </c>
      <c r="AC29">
        <f t="shared" si="23"/>
        <v>-0.31573000000000007</v>
      </c>
      <c r="AD29">
        <f t="shared" si="24"/>
        <v>0.17125986498424164</v>
      </c>
      <c r="AE29">
        <f t="shared" si="25"/>
        <v>-5.2000000000002045E-4</v>
      </c>
      <c r="AF29">
        <f t="shared" si="26"/>
        <v>6.8370000000000014E-2</v>
      </c>
      <c r="AG29">
        <f t="shared" si="27"/>
        <v>-0.11607999999999996</v>
      </c>
      <c r="AH29">
        <f t="shared" si="28"/>
        <v>-0.20377000000000001</v>
      </c>
      <c r="AI29">
        <f t="shared" si="29"/>
        <v>-1.3699999999999999E-3</v>
      </c>
      <c r="AJ29">
        <f t="shared" si="30"/>
        <v>3.637E-2</v>
      </c>
      <c r="AL29">
        <f t="shared" si="31"/>
        <v>-0.15740672456772828</v>
      </c>
      <c r="AM29">
        <f t="shared" si="32"/>
        <v>0.77106999999999992</v>
      </c>
      <c r="AN29">
        <f t="shared" si="33"/>
        <v>0.18723000000000001</v>
      </c>
      <c r="AO29">
        <f t="shared" si="34"/>
        <v>2.4286500000000002</v>
      </c>
      <c r="AP29">
        <f t="shared" si="35"/>
        <v>-1.0700000000000002E-3</v>
      </c>
      <c r="AQ29">
        <f t="shared" si="36"/>
        <v>3.7059999999999996E-2</v>
      </c>
      <c r="AR29">
        <f t="shared" si="37"/>
        <v>-0.52332000000000001</v>
      </c>
      <c r="AS29">
        <f t="shared" si="38"/>
        <v>3.5999999999999997E-4</v>
      </c>
      <c r="AT29">
        <f t="shared" si="39"/>
        <v>0.6061700000000001</v>
      </c>
      <c r="AU29">
        <f t="shared" si="40"/>
        <v>-1.1059999999999997E-2</v>
      </c>
      <c r="AV29">
        <f t="shared" si="41"/>
        <v>0.13457</v>
      </c>
      <c r="AW29">
        <f t="shared" si="42"/>
        <v>4.5679999999999998E-2</v>
      </c>
      <c r="AX29">
        <f t="shared" si="43"/>
        <v>3.9489999999999997E-2</v>
      </c>
      <c r="BJ29">
        <f t="shared" si="44"/>
        <v>1</v>
      </c>
      <c r="BK29">
        <f t="shared" si="45"/>
        <v>0</v>
      </c>
      <c r="BL29">
        <f t="shared" si="46"/>
        <v>1</v>
      </c>
      <c r="BM29">
        <f t="shared" si="47"/>
        <v>-2.6655451685221454</v>
      </c>
      <c r="BS29">
        <f t="shared" si="48"/>
        <v>0</v>
      </c>
      <c r="BT29">
        <f t="shared" si="49"/>
        <v>-2.6655451685221454</v>
      </c>
      <c r="BU29">
        <f t="shared" si="50"/>
        <v>7.892606588335858</v>
      </c>
      <c r="BV29">
        <f t="shared" si="59"/>
        <v>100</v>
      </c>
      <c r="BW29">
        <f t="shared" si="60"/>
        <v>1.0000000000000001E-5</v>
      </c>
      <c r="BX29">
        <f t="shared" si="61"/>
        <v>100</v>
      </c>
      <c r="BY29">
        <f t="shared" si="51"/>
        <v>0.45491000000000004</v>
      </c>
      <c r="BZ29">
        <f t="shared" si="62"/>
        <v>0.01</v>
      </c>
      <c r="CA29">
        <f t="shared" si="63"/>
        <v>0.45491000000000004</v>
      </c>
      <c r="CB29">
        <v>0.3</v>
      </c>
      <c r="CC29">
        <v>0.3</v>
      </c>
      <c r="CD29">
        <v>0.3</v>
      </c>
    </row>
    <row r="30" spans="1:82" x14ac:dyDescent="0.25">
      <c r="A30">
        <v>7</v>
      </c>
      <c r="B30">
        <v>11</v>
      </c>
      <c r="C30" t="str">
        <f t="shared" si="52"/>
        <v>SSTens</v>
      </c>
      <c r="D30">
        <v>0.86360000000000003</v>
      </c>
      <c r="E30">
        <f t="shared" si="14"/>
        <v>863.6</v>
      </c>
      <c r="F30">
        <v>1.1130000000000001E-2</v>
      </c>
      <c r="G30">
        <f t="shared" si="15"/>
        <v>11.13</v>
      </c>
      <c r="H30">
        <f t="shared" si="16"/>
        <v>77.592093441150041</v>
      </c>
      <c r="I30">
        <v>50</v>
      </c>
      <c r="J30" t="s">
        <v>39</v>
      </c>
      <c r="K30">
        <f t="shared" si="53"/>
        <v>14</v>
      </c>
      <c r="L30">
        <f t="shared" si="54"/>
        <v>15</v>
      </c>
      <c r="M30">
        <f t="shared" si="55"/>
        <v>483000</v>
      </c>
      <c r="N30">
        <f t="shared" si="56"/>
        <v>565000</v>
      </c>
      <c r="O30">
        <f t="shared" si="57"/>
        <v>2.8799444073326219</v>
      </c>
      <c r="Q30" t="s">
        <v>42</v>
      </c>
      <c r="R30" t="s">
        <v>44</v>
      </c>
      <c r="S30">
        <f t="shared" si="58"/>
        <v>18.5</v>
      </c>
      <c r="T30">
        <f t="shared" si="17"/>
        <v>40</v>
      </c>
      <c r="U30">
        <f t="shared" si="18"/>
        <v>0</v>
      </c>
      <c r="V30">
        <f t="shared" si="19"/>
        <v>0</v>
      </c>
      <c r="W30">
        <v>0.9</v>
      </c>
      <c r="X30">
        <v>1</v>
      </c>
      <c r="Y30">
        <f t="shared" si="20"/>
        <v>36.46660018039222</v>
      </c>
      <c r="Z30">
        <v>1.5</v>
      </c>
      <c r="AA30">
        <f t="shared" si="21"/>
        <v>1</v>
      </c>
      <c r="AB30">
        <f t="shared" si="22"/>
        <v>1</v>
      </c>
      <c r="AC30">
        <f t="shared" si="23"/>
        <v>8.3899999999998975E-3</v>
      </c>
      <c r="AD30">
        <f t="shared" si="24"/>
        <v>0.1204705059512481</v>
      </c>
      <c r="AE30">
        <f t="shared" si="25"/>
        <v>-8.1340000000000023E-2</v>
      </c>
      <c r="AF30">
        <f t="shared" si="26"/>
        <v>8.6430000000000007E-2</v>
      </c>
      <c r="AG30">
        <f t="shared" si="27"/>
        <v>-0.247</v>
      </c>
      <c r="AH30">
        <f t="shared" si="28"/>
        <v>-0.34992999999999996</v>
      </c>
      <c r="AI30">
        <f t="shared" si="29"/>
        <v>-1.31E-3</v>
      </c>
      <c r="AJ30">
        <f t="shared" si="30"/>
        <v>2.2690000000000002E-2</v>
      </c>
      <c r="AL30">
        <f t="shared" si="31"/>
        <v>-0.18238374480097994</v>
      </c>
      <c r="AM30">
        <f t="shared" si="32"/>
        <v>0.90150999999999992</v>
      </c>
      <c r="AN30">
        <f t="shared" si="33"/>
        <v>0.17505000000000001</v>
      </c>
      <c r="AO30">
        <f t="shared" si="34"/>
        <v>2.5967099999999999</v>
      </c>
      <c r="AP30">
        <f t="shared" si="35"/>
        <v>-4.6999999999999993E-4</v>
      </c>
      <c r="AQ30">
        <f t="shared" si="36"/>
        <v>4.3899999999999995E-2</v>
      </c>
      <c r="AR30">
        <f t="shared" si="37"/>
        <v>-0.60948000000000002</v>
      </c>
      <c r="AS30">
        <f t="shared" si="38"/>
        <v>2.3999999999999998E-4</v>
      </c>
      <c r="AT30">
        <f t="shared" si="39"/>
        <v>0.52661000000000002</v>
      </c>
      <c r="AU30">
        <f t="shared" si="40"/>
        <v>-1.4719999999999997E-2</v>
      </c>
      <c r="AV30">
        <f t="shared" si="41"/>
        <v>0.17824999999999999</v>
      </c>
      <c r="AW30">
        <f t="shared" si="42"/>
        <v>-4.3119999999999992E-2</v>
      </c>
      <c r="AX30">
        <f t="shared" si="43"/>
        <v>2.3169999999999996E-2</v>
      </c>
      <c r="BJ30">
        <f t="shared" si="44"/>
        <v>1</v>
      </c>
      <c r="BK30">
        <f t="shared" si="45"/>
        <v>0</v>
      </c>
      <c r="BL30">
        <f t="shared" si="46"/>
        <v>0</v>
      </c>
      <c r="BM30">
        <f t="shared" si="47"/>
        <v>-3.333144613964116E-2</v>
      </c>
      <c r="BS30">
        <f t="shared" si="48"/>
        <v>0</v>
      </c>
      <c r="BT30">
        <f t="shared" si="49"/>
        <v>-3.333144613964116E-2</v>
      </c>
      <c r="BU30">
        <f t="shared" si="50"/>
        <v>10.982439666923916</v>
      </c>
      <c r="BV30">
        <f t="shared" si="59"/>
        <v>100</v>
      </c>
      <c r="BW30">
        <f t="shared" si="60"/>
        <v>1.0000000000000001E-5</v>
      </c>
      <c r="BX30">
        <f t="shared" si="61"/>
        <v>100</v>
      </c>
      <c r="BY30">
        <f t="shared" si="51"/>
        <v>0.43679000000000001</v>
      </c>
      <c r="BZ30">
        <f t="shared" si="62"/>
        <v>0.01</v>
      </c>
      <c r="CA30">
        <f t="shared" si="63"/>
        <v>0.43679000000000001</v>
      </c>
      <c r="CB30">
        <v>0.3</v>
      </c>
      <c r="CC30">
        <v>0.3</v>
      </c>
      <c r="CD30">
        <v>0.3</v>
      </c>
    </row>
    <row r="31" spans="1:82" x14ac:dyDescent="0.25">
      <c r="A31">
        <v>8</v>
      </c>
      <c r="B31">
        <v>47</v>
      </c>
      <c r="C31" t="str">
        <f t="shared" si="52"/>
        <v>SSTens</v>
      </c>
      <c r="D31">
        <v>1.0668</v>
      </c>
      <c r="E31">
        <f t="shared" si="14"/>
        <v>1066.8</v>
      </c>
      <c r="F31">
        <v>1.2699999999999999E-2</v>
      </c>
      <c r="G31">
        <f t="shared" si="15"/>
        <v>12.7</v>
      </c>
      <c r="H31">
        <f t="shared" si="16"/>
        <v>84</v>
      </c>
      <c r="I31">
        <v>100</v>
      </c>
      <c r="J31" t="s">
        <v>41</v>
      </c>
      <c r="K31">
        <f t="shared" si="53"/>
        <v>15</v>
      </c>
      <c r="L31">
        <f t="shared" si="54"/>
        <v>20</v>
      </c>
      <c r="M31">
        <f t="shared" si="55"/>
        <v>552000</v>
      </c>
      <c r="N31">
        <f t="shared" si="56"/>
        <v>625000</v>
      </c>
      <c r="O31">
        <f t="shared" si="57"/>
        <v>2.9888368774026359</v>
      </c>
      <c r="Q31" t="s">
        <v>42</v>
      </c>
      <c r="R31" t="s">
        <v>45</v>
      </c>
      <c r="S31">
        <f t="shared" si="58"/>
        <v>19</v>
      </c>
      <c r="T31">
        <f t="shared" si="17"/>
        <v>43</v>
      </c>
      <c r="U31">
        <f t="shared" si="18"/>
        <v>0</v>
      </c>
      <c r="V31">
        <f t="shared" si="19"/>
        <v>0</v>
      </c>
      <c r="W31">
        <v>0.9</v>
      </c>
      <c r="X31">
        <v>2</v>
      </c>
      <c r="Y31">
        <f t="shared" si="20"/>
        <v>102.03070645435936</v>
      </c>
      <c r="Z31">
        <v>1.5</v>
      </c>
      <c r="AA31">
        <f t="shared" si="21"/>
        <v>0</v>
      </c>
      <c r="AB31">
        <f t="shared" si="22"/>
        <v>1</v>
      </c>
      <c r="AC31">
        <f t="shared" si="23"/>
        <v>-1.81359</v>
      </c>
      <c r="AD31">
        <f t="shared" si="24"/>
        <v>0.35620502968535167</v>
      </c>
      <c r="AE31">
        <f t="shared" si="25"/>
        <v>0.38634999999999997</v>
      </c>
      <c r="AF31">
        <f t="shared" si="26"/>
        <v>-5.9760000000000035E-2</v>
      </c>
      <c r="AG31">
        <f t="shared" si="27"/>
        <v>0.60755000000000026</v>
      </c>
      <c r="AH31">
        <f t="shared" si="28"/>
        <v>0.60693000000000019</v>
      </c>
      <c r="AI31">
        <f t="shared" si="29"/>
        <v>-1.5299999999999999E-3</v>
      </c>
      <c r="AJ31">
        <f t="shared" si="30"/>
        <v>0.10326000000000002</v>
      </c>
      <c r="AL31">
        <f t="shared" si="31"/>
        <v>0.35562079861429208</v>
      </c>
      <c r="AM31">
        <f t="shared" si="32"/>
        <v>0.10647999999999991</v>
      </c>
      <c r="AN31">
        <f t="shared" si="33"/>
        <v>0.25141000000000002</v>
      </c>
      <c r="AO31">
        <f t="shared" si="34"/>
        <v>1.66038</v>
      </c>
      <c r="AP31">
        <f t="shared" si="35"/>
        <v>-4.0000000000000001E-3</v>
      </c>
      <c r="AQ31">
        <f t="shared" si="36"/>
        <v>6.1900000000000011E-3</v>
      </c>
      <c r="AR31">
        <f t="shared" si="37"/>
        <v>-0.13807000000000003</v>
      </c>
      <c r="AS31">
        <f t="shared" si="38"/>
        <v>1E-3</v>
      </c>
      <c r="AT31">
        <f t="shared" si="39"/>
        <v>0.96160000000000001</v>
      </c>
      <c r="AU31">
        <f t="shared" si="40"/>
        <v>4.4200000000000003E-3</v>
      </c>
      <c r="AV31">
        <f t="shared" si="41"/>
        <v>-5.8679999999999982E-2</v>
      </c>
      <c r="AW31">
        <f t="shared" si="42"/>
        <v>0.44164999999999999</v>
      </c>
      <c r="AX31">
        <f t="shared" si="43"/>
        <v>0.11818000000000001</v>
      </c>
      <c r="BJ31">
        <f t="shared" si="44"/>
        <v>1</v>
      </c>
      <c r="BK31">
        <f t="shared" si="45"/>
        <v>0</v>
      </c>
      <c r="BL31">
        <f t="shared" si="46"/>
        <v>0</v>
      </c>
      <c r="BM31">
        <f t="shared" si="47"/>
        <v>0.57546342746125556</v>
      </c>
      <c r="BS31">
        <f t="shared" si="48"/>
        <v>0</v>
      </c>
      <c r="BT31">
        <f t="shared" si="49"/>
        <v>0.57546342746125556</v>
      </c>
      <c r="BU31">
        <f t="shared" si="50"/>
        <v>8.9288273599652541</v>
      </c>
      <c r="BV31">
        <f t="shared" si="59"/>
        <v>100</v>
      </c>
      <c r="BW31">
        <f t="shared" si="60"/>
        <v>1.0000000000000001E-5</v>
      </c>
      <c r="BX31">
        <f t="shared" si="61"/>
        <v>100</v>
      </c>
      <c r="BY31">
        <f t="shared" si="51"/>
        <v>0.54811999999999994</v>
      </c>
      <c r="BZ31">
        <f t="shared" si="62"/>
        <v>0.01</v>
      </c>
      <c r="CA31">
        <f t="shared" si="63"/>
        <v>0.54811999999999994</v>
      </c>
      <c r="CB31">
        <v>0.3</v>
      </c>
      <c r="CC31">
        <v>0.3</v>
      </c>
      <c r="CD31">
        <v>0.3</v>
      </c>
    </row>
    <row r="32" spans="1:82" x14ac:dyDescent="0.25">
      <c r="A32">
        <v>9</v>
      </c>
      <c r="B32">
        <v>30</v>
      </c>
      <c r="C32" t="str">
        <f t="shared" si="52"/>
        <v>SSTens</v>
      </c>
      <c r="D32">
        <v>0.60960000000000003</v>
      </c>
      <c r="E32">
        <f t="shared" si="14"/>
        <v>609.6</v>
      </c>
      <c r="F32">
        <v>1.1130000000000001E-2</v>
      </c>
      <c r="G32">
        <f t="shared" si="15"/>
        <v>11.13</v>
      </c>
      <c r="H32">
        <f t="shared" si="16"/>
        <v>54.770889487870619</v>
      </c>
      <c r="I32">
        <v>150</v>
      </c>
      <c r="J32" t="s">
        <v>64</v>
      </c>
      <c r="K32">
        <f t="shared" si="53"/>
        <v>3</v>
      </c>
      <c r="L32">
        <f t="shared" si="54"/>
        <v>9</v>
      </c>
      <c r="M32">
        <f t="shared" si="55"/>
        <v>290000</v>
      </c>
      <c r="N32">
        <f t="shared" si="56"/>
        <v>414000</v>
      </c>
      <c r="O32">
        <f t="shared" si="57"/>
        <v>1.7363704307629526</v>
      </c>
      <c r="Q32" t="s">
        <v>42</v>
      </c>
      <c r="R32" t="s">
        <v>45</v>
      </c>
      <c r="S32">
        <f t="shared" si="58"/>
        <v>19</v>
      </c>
      <c r="T32">
        <f t="shared" si="17"/>
        <v>43</v>
      </c>
      <c r="U32">
        <f t="shared" si="18"/>
        <v>0</v>
      </c>
      <c r="V32">
        <f t="shared" si="19"/>
        <v>0</v>
      </c>
      <c r="W32">
        <v>0.9</v>
      </c>
      <c r="X32">
        <v>1</v>
      </c>
      <c r="Y32">
        <f t="shared" si="20"/>
        <v>29.151630415531248</v>
      </c>
      <c r="Z32">
        <v>1.5</v>
      </c>
      <c r="AA32">
        <f t="shared" si="21"/>
        <v>1</v>
      </c>
      <c r="AB32">
        <f t="shared" si="22"/>
        <v>1</v>
      </c>
      <c r="AC32">
        <f t="shared" si="23"/>
        <v>-1.01799</v>
      </c>
      <c r="AD32">
        <f t="shared" si="24"/>
        <v>0.38193464176756858</v>
      </c>
      <c r="AE32">
        <f t="shared" si="25"/>
        <v>0.17459</v>
      </c>
      <c r="AF32">
        <f t="shared" si="26"/>
        <v>2.9240000000000002E-2</v>
      </c>
      <c r="AG32">
        <f t="shared" si="27"/>
        <v>0.16758000000000001</v>
      </c>
      <c r="AH32">
        <f t="shared" si="28"/>
        <v>0.11291000000000001</v>
      </c>
      <c r="AI32">
        <f t="shared" si="29"/>
        <v>-1.5E-3</v>
      </c>
      <c r="AJ32">
        <f t="shared" si="30"/>
        <v>6.6009999999999985E-2</v>
      </c>
      <c r="AL32">
        <f t="shared" si="31"/>
        <v>6.7567196067336521E-2</v>
      </c>
      <c r="AM32">
        <f t="shared" si="32"/>
        <v>0.48845</v>
      </c>
      <c r="AN32">
        <f t="shared" si="33"/>
        <v>0.21362</v>
      </c>
      <c r="AO32">
        <f t="shared" si="34"/>
        <v>2.0645199999999999</v>
      </c>
      <c r="AP32">
        <f t="shared" si="35"/>
        <v>-2.3700000000000001E-3</v>
      </c>
      <c r="AQ32">
        <f t="shared" si="36"/>
        <v>2.2239999999999999E-2</v>
      </c>
      <c r="AR32">
        <f t="shared" si="37"/>
        <v>-0.33663999999999999</v>
      </c>
      <c r="AS32">
        <f t="shared" si="38"/>
        <v>6.2E-4</v>
      </c>
      <c r="AT32">
        <f t="shared" si="39"/>
        <v>0.77855000000000008</v>
      </c>
      <c r="AU32">
        <f t="shared" si="40"/>
        <v>-3.13E-3</v>
      </c>
      <c r="AV32">
        <f t="shared" si="41"/>
        <v>3.9930000000000007E-2</v>
      </c>
      <c r="AW32">
        <f t="shared" si="42"/>
        <v>0.23807999999999999</v>
      </c>
      <c r="AX32">
        <f t="shared" si="43"/>
        <v>7.485E-2</v>
      </c>
      <c r="BJ32">
        <f t="shared" si="44"/>
        <v>1</v>
      </c>
      <c r="BK32">
        <f t="shared" si="45"/>
        <v>0</v>
      </c>
      <c r="BL32">
        <f t="shared" si="46"/>
        <v>0</v>
      </c>
      <c r="BM32">
        <f t="shared" si="47"/>
        <v>0.27625200359756724</v>
      </c>
      <c r="BS32">
        <f t="shared" si="48"/>
        <v>0</v>
      </c>
      <c r="BT32">
        <f t="shared" si="49"/>
        <v>0.27625200359756724</v>
      </c>
      <c r="BU32">
        <f t="shared" si="50"/>
        <v>8.3995658523274574</v>
      </c>
      <c r="BV32">
        <f t="shared" si="59"/>
        <v>100</v>
      </c>
      <c r="BW32">
        <f t="shared" si="60"/>
        <v>1.0000000000000001E-5</v>
      </c>
      <c r="BX32">
        <f t="shared" si="61"/>
        <v>100</v>
      </c>
      <c r="BY32">
        <f t="shared" si="51"/>
        <v>0.49417</v>
      </c>
      <c r="BZ32">
        <f t="shared" si="62"/>
        <v>0.01</v>
      </c>
      <c r="CA32">
        <f t="shared" si="63"/>
        <v>0.49417</v>
      </c>
      <c r="CB32">
        <v>0.3</v>
      </c>
      <c r="CC32">
        <v>0.3</v>
      </c>
      <c r="CD32">
        <v>0.3</v>
      </c>
    </row>
    <row r="33" spans="1:82" x14ac:dyDescent="0.25">
      <c r="A33">
        <v>10</v>
      </c>
      <c r="B33">
        <v>35</v>
      </c>
      <c r="C33" t="str">
        <f t="shared" si="52"/>
        <v>SSTens</v>
      </c>
      <c r="D33">
        <v>0.60960000000000003</v>
      </c>
      <c r="E33">
        <f t="shared" si="14"/>
        <v>609.6</v>
      </c>
      <c r="F33">
        <v>1.1130000000000001E-2</v>
      </c>
      <c r="G33">
        <f t="shared" si="15"/>
        <v>11.13</v>
      </c>
      <c r="H33">
        <f t="shared" si="16"/>
        <v>54.770889487870619</v>
      </c>
      <c r="I33">
        <v>200</v>
      </c>
      <c r="J33" t="s">
        <v>65</v>
      </c>
      <c r="K33">
        <f t="shared" si="53"/>
        <v>3</v>
      </c>
      <c r="L33">
        <f t="shared" si="54"/>
        <v>8</v>
      </c>
      <c r="M33">
        <f t="shared" si="55"/>
        <v>241000</v>
      </c>
      <c r="N33">
        <f t="shared" si="56"/>
        <v>344000</v>
      </c>
      <c r="O33">
        <f t="shared" si="57"/>
        <v>1.1599577949833839</v>
      </c>
      <c r="Q33" t="s">
        <v>42</v>
      </c>
      <c r="R33" t="s">
        <v>45</v>
      </c>
      <c r="S33">
        <f t="shared" si="58"/>
        <v>19</v>
      </c>
      <c r="T33">
        <f t="shared" si="17"/>
        <v>43</v>
      </c>
      <c r="U33">
        <f t="shared" si="18"/>
        <v>0</v>
      </c>
      <c r="V33">
        <f t="shared" si="19"/>
        <v>0</v>
      </c>
      <c r="W33">
        <v>0.9</v>
      </c>
      <c r="X33">
        <v>2</v>
      </c>
      <c r="Y33">
        <f t="shared" si="20"/>
        <v>58.303260831062495</v>
      </c>
      <c r="Z33">
        <v>2.75</v>
      </c>
      <c r="AA33">
        <f t="shared" si="21"/>
        <v>1</v>
      </c>
      <c r="AB33">
        <f t="shared" si="22"/>
        <v>1</v>
      </c>
      <c r="AC33">
        <f t="shared" si="23"/>
        <v>-1.28809</v>
      </c>
      <c r="AD33">
        <f t="shared" si="24"/>
        <v>0.42196824472511718</v>
      </c>
      <c r="AE33">
        <f t="shared" si="25"/>
        <v>0.24193999999999999</v>
      </c>
      <c r="AF33">
        <f t="shared" si="26"/>
        <v>1.4190000000000001E-2</v>
      </c>
      <c r="AG33">
        <f t="shared" si="27"/>
        <v>0.27667999999999998</v>
      </c>
      <c r="AH33">
        <f t="shared" si="28"/>
        <v>0.23471000000000003</v>
      </c>
      <c r="AI33">
        <f t="shared" si="29"/>
        <v>-1.5499999999999999E-3</v>
      </c>
      <c r="AJ33">
        <f t="shared" si="30"/>
        <v>7.7409999999999993E-2</v>
      </c>
      <c r="AL33">
        <f t="shared" si="31"/>
        <v>5.6398079686577951E-2</v>
      </c>
      <c r="AM33">
        <f t="shared" si="32"/>
        <v>0.37974999999999998</v>
      </c>
      <c r="AN33">
        <f t="shared" si="33"/>
        <v>0.22377</v>
      </c>
      <c r="AO33">
        <f t="shared" si="34"/>
        <v>1.9244700000000001</v>
      </c>
      <c r="AP33">
        <f t="shared" si="35"/>
        <v>-2.8700000000000002E-3</v>
      </c>
      <c r="AQ33">
        <f t="shared" si="36"/>
        <v>1.6539999999999999E-2</v>
      </c>
      <c r="AR33">
        <f t="shared" si="37"/>
        <v>-0.26484000000000002</v>
      </c>
      <c r="AS33">
        <f t="shared" si="38"/>
        <v>7.2000000000000005E-4</v>
      </c>
      <c r="AT33">
        <f t="shared" si="39"/>
        <v>0.8448500000000001</v>
      </c>
      <c r="AU33">
        <f t="shared" si="40"/>
        <v>-7.9999999999999342E-5</v>
      </c>
      <c r="AV33">
        <f t="shared" si="41"/>
        <v>3.5300000000000054E-3</v>
      </c>
      <c r="AW33">
        <f t="shared" si="42"/>
        <v>0.31207999999999997</v>
      </c>
      <c r="AX33">
        <f t="shared" si="43"/>
        <v>8.8450000000000001E-2</v>
      </c>
      <c r="BJ33">
        <f t="shared" si="44"/>
        <v>1</v>
      </c>
      <c r="BK33">
        <f t="shared" si="45"/>
        <v>0</v>
      </c>
      <c r="BL33">
        <f t="shared" si="46"/>
        <v>0</v>
      </c>
      <c r="BM33">
        <f t="shared" si="47"/>
        <v>0.32512453126164914</v>
      </c>
      <c r="BS33">
        <f t="shared" si="48"/>
        <v>0</v>
      </c>
      <c r="BT33">
        <f t="shared" si="49"/>
        <v>0.32512453126164914</v>
      </c>
      <c r="BU33">
        <f t="shared" si="50"/>
        <v>9.4103336233310273</v>
      </c>
      <c r="BV33">
        <f t="shared" si="59"/>
        <v>100</v>
      </c>
      <c r="BW33">
        <f t="shared" si="60"/>
        <v>1.0000000000000001E-5</v>
      </c>
      <c r="BX33">
        <f t="shared" si="61"/>
        <v>100</v>
      </c>
      <c r="BY33">
        <f t="shared" si="51"/>
        <v>0.50927</v>
      </c>
      <c r="BZ33">
        <f t="shared" si="62"/>
        <v>0.01</v>
      </c>
      <c r="CA33">
        <f t="shared" si="63"/>
        <v>0.50927</v>
      </c>
      <c r="CB33">
        <v>0.3</v>
      </c>
      <c r="CC33">
        <v>0.3</v>
      </c>
      <c r="CD33">
        <v>0.3</v>
      </c>
    </row>
    <row r="34" spans="1:82" x14ac:dyDescent="0.25">
      <c r="A34">
        <v>11</v>
      </c>
      <c r="B34">
        <v>41</v>
      </c>
      <c r="C34" t="str">
        <f t="shared" si="52"/>
        <v>SSTens</v>
      </c>
      <c r="D34">
        <v>0.20319999999999999</v>
      </c>
      <c r="E34">
        <f t="shared" si="14"/>
        <v>203.2</v>
      </c>
      <c r="F34">
        <v>5.5599999999999998E-3</v>
      </c>
      <c r="G34">
        <f t="shared" si="15"/>
        <v>5.56</v>
      </c>
      <c r="H34">
        <f t="shared" si="16"/>
        <v>36.546762589928058</v>
      </c>
      <c r="I34">
        <v>15</v>
      </c>
      <c r="J34" t="s">
        <v>34</v>
      </c>
      <c r="K34">
        <f t="shared" si="53"/>
        <v>8</v>
      </c>
      <c r="L34">
        <f t="shared" si="54"/>
        <v>10</v>
      </c>
      <c r="M34">
        <f t="shared" si="55"/>
        <v>359000</v>
      </c>
      <c r="N34">
        <f t="shared" si="56"/>
        <v>455000</v>
      </c>
      <c r="O34">
        <f t="shared" si="57"/>
        <v>1.9969902892117808</v>
      </c>
      <c r="Q34" t="s">
        <v>35</v>
      </c>
      <c r="R34" t="s">
        <v>36</v>
      </c>
      <c r="S34">
        <f t="shared" si="58"/>
        <v>17.5</v>
      </c>
      <c r="T34">
        <f t="shared" si="17"/>
        <v>0</v>
      </c>
      <c r="U34">
        <f t="shared" si="18"/>
        <v>37.5</v>
      </c>
      <c r="V34">
        <f t="shared" si="19"/>
        <v>1.1000000000000001</v>
      </c>
      <c r="W34">
        <v>0.9</v>
      </c>
      <c r="X34">
        <v>0</v>
      </c>
      <c r="Y34">
        <f t="shared" si="20"/>
        <v>26.332829622389642</v>
      </c>
      <c r="Z34">
        <v>0.75</v>
      </c>
      <c r="AA34">
        <f t="shared" si="21"/>
        <v>1</v>
      </c>
      <c r="AB34">
        <f t="shared" si="22"/>
        <v>1</v>
      </c>
      <c r="AC34">
        <f t="shared" si="23"/>
        <v>-1.6122099999999999</v>
      </c>
      <c r="AD34">
        <f t="shared" si="24"/>
        <v>0.49927955795195023</v>
      </c>
      <c r="AE34">
        <f t="shared" si="25"/>
        <v>0.32275999999999999</v>
      </c>
      <c r="AF34">
        <f t="shared" si="26"/>
        <v>-3.8700000000000002E-3</v>
      </c>
      <c r="AG34">
        <f t="shared" si="27"/>
        <v>0.40759999999999996</v>
      </c>
      <c r="AH34">
        <f t="shared" si="28"/>
        <v>0.38087000000000004</v>
      </c>
      <c r="AI34">
        <f t="shared" si="29"/>
        <v>-1.6099999999999999E-3</v>
      </c>
      <c r="AJ34">
        <f t="shared" si="30"/>
        <v>9.108999999999999E-2</v>
      </c>
      <c r="AL34">
        <f t="shared" si="31"/>
        <v>-0.39283740862208216</v>
      </c>
      <c r="AM34">
        <f t="shared" si="32"/>
        <v>0.24930999999999998</v>
      </c>
      <c r="AN34">
        <f t="shared" si="33"/>
        <v>0.23595000000000002</v>
      </c>
      <c r="AO34">
        <f t="shared" si="34"/>
        <v>1.75641</v>
      </c>
      <c r="AP34">
        <f t="shared" si="35"/>
        <v>-3.47E-3</v>
      </c>
      <c r="AQ34">
        <f t="shared" si="36"/>
        <v>9.7000000000000003E-3</v>
      </c>
      <c r="AR34">
        <f t="shared" si="37"/>
        <v>-0.17868000000000001</v>
      </c>
      <c r="AS34">
        <f t="shared" si="38"/>
        <v>8.4000000000000003E-4</v>
      </c>
      <c r="AT34">
        <f t="shared" si="39"/>
        <v>0.92441000000000006</v>
      </c>
      <c r="AU34">
        <f t="shared" si="40"/>
        <v>3.5800000000000003E-3</v>
      </c>
      <c r="AV34">
        <f t="shared" si="41"/>
        <v>-4.0149999999999998E-2</v>
      </c>
      <c r="AW34">
        <f t="shared" si="42"/>
        <v>0.40088000000000001</v>
      </c>
      <c r="AX34">
        <f t="shared" si="43"/>
        <v>0.10477</v>
      </c>
      <c r="BJ34">
        <f t="shared" si="44"/>
        <v>0</v>
      </c>
      <c r="BK34">
        <f t="shared" si="45"/>
        <v>0</v>
      </c>
      <c r="BL34">
        <f t="shared" si="46"/>
        <v>1</v>
      </c>
      <c r="BM34">
        <f t="shared" si="47"/>
        <v>1.481293247657941</v>
      </c>
      <c r="BS34">
        <f t="shared" si="48"/>
        <v>0</v>
      </c>
      <c r="BT34">
        <f t="shared" si="49"/>
        <v>1.481293247657941</v>
      </c>
      <c r="BU34">
        <f t="shared" si="50"/>
        <v>1.2541638151501695</v>
      </c>
      <c r="BV34">
        <f t="shared" si="59"/>
        <v>3.5049063990458023</v>
      </c>
      <c r="BW34">
        <f t="shared" si="60"/>
        <v>1.0000000000000001E-5</v>
      </c>
      <c r="BX34">
        <f t="shared" si="61"/>
        <v>3.5049063990458023</v>
      </c>
      <c r="BY34">
        <f t="shared" si="51"/>
        <v>0.52739000000000003</v>
      </c>
      <c r="BZ34">
        <f t="shared" si="62"/>
        <v>0.01</v>
      </c>
      <c r="CA34">
        <f t="shared" si="63"/>
        <v>0.52739000000000003</v>
      </c>
      <c r="CB34">
        <v>0.3</v>
      </c>
      <c r="CC34">
        <v>0.3</v>
      </c>
      <c r="CD34">
        <v>0.3</v>
      </c>
    </row>
    <row r="35" spans="1:82" x14ac:dyDescent="0.25">
      <c r="A35">
        <v>12</v>
      </c>
      <c r="B35">
        <v>6</v>
      </c>
      <c r="C35" t="str">
        <f t="shared" si="52"/>
        <v>SSTens</v>
      </c>
      <c r="D35">
        <v>0.30480000000000002</v>
      </c>
      <c r="E35">
        <f t="shared" si="14"/>
        <v>304.8</v>
      </c>
      <c r="F35">
        <v>7.1399999999999996E-3</v>
      </c>
      <c r="G35">
        <f t="shared" si="15"/>
        <v>7.14</v>
      </c>
      <c r="H35">
        <f t="shared" si="16"/>
        <v>42.689075630252105</v>
      </c>
      <c r="I35">
        <v>30</v>
      </c>
      <c r="J35" t="s">
        <v>37</v>
      </c>
      <c r="K35">
        <f t="shared" si="53"/>
        <v>8</v>
      </c>
      <c r="L35">
        <f t="shared" si="54"/>
        <v>12</v>
      </c>
      <c r="M35">
        <f t="shared" si="55"/>
        <v>414000</v>
      </c>
      <c r="N35">
        <f t="shared" si="56"/>
        <v>517000</v>
      </c>
      <c r="O35">
        <f t="shared" si="57"/>
        <v>2.5466769467238102</v>
      </c>
      <c r="Q35" t="s">
        <v>35</v>
      </c>
      <c r="R35" t="s">
        <v>36</v>
      </c>
      <c r="S35">
        <f t="shared" si="58"/>
        <v>17.5</v>
      </c>
      <c r="T35">
        <f t="shared" si="17"/>
        <v>0</v>
      </c>
      <c r="U35">
        <f t="shared" si="18"/>
        <v>37.5</v>
      </c>
      <c r="V35">
        <f t="shared" si="19"/>
        <v>1.1000000000000001</v>
      </c>
      <c r="W35">
        <v>0.9</v>
      </c>
      <c r="X35">
        <v>0</v>
      </c>
      <c r="Y35">
        <f t="shared" si="20"/>
        <v>39.499244433584465</v>
      </c>
      <c r="Z35">
        <v>0.75</v>
      </c>
      <c r="AA35">
        <f t="shared" si="21"/>
        <v>1</v>
      </c>
      <c r="AB35">
        <f t="shared" si="22"/>
        <v>1</v>
      </c>
      <c r="AC35">
        <f t="shared" si="23"/>
        <v>0.27849000000000013</v>
      </c>
      <c r="AD35">
        <f t="shared" si="24"/>
        <v>6.1265274996957969E-2</v>
      </c>
      <c r="AE35">
        <f t="shared" si="25"/>
        <v>-0.14868999999999999</v>
      </c>
      <c r="AF35">
        <f t="shared" si="26"/>
        <v>0.10148000000000001</v>
      </c>
      <c r="AG35">
        <f t="shared" si="27"/>
        <v>-0.35609999999999997</v>
      </c>
      <c r="AH35">
        <f t="shared" si="28"/>
        <v>-0.47172999999999998</v>
      </c>
      <c r="AI35">
        <f t="shared" si="29"/>
        <v>-1.2599999999999998E-3</v>
      </c>
      <c r="AJ35">
        <f t="shared" si="30"/>
        <v>1.1289999999999994E-2</v>
      </c>
      <c r="AL35">
        <f t="shared" si="31"/>
        <v>-0.16996391201545347</v>
      </c>
      <c r="AM35">
        <f t="shared" si="32"/>
        <v>1.0102099999999998</v>
      </c>
      <c r="AN35">
        <f t="shared" si="33"/>
        <v>0.16489999999999999</v>
      </c>
      <c r="AO35">
        <f t="shared" si="34"/>
        <v>2.7367600000000003</v>
      </c>
      <c r="AP35">
        <f t="shared" si="35"/>
        <v>3.0000000000000079E-5</v>
      </c>
      <c r="AQ35">
        <f t="shared" si="36"/>
        <v>4.9599999999999998E-2</v>
      </c>
      <c r="AR35">
        <f t="shared" si="37"/>
        <v>-0.68128</v>
      </c>
      <c r="AS35">
        <f t="shared" si="38"/>
        <v>1.3999999999999993E-4</v>
      </c>
      <c r="AT35">
        <f t="shared" si="39"/>
        <v>0.46031000000000011</v>
      </c>
      <c r="AU35">
        <f t="shared" si="40"/>
        <v>-1.7769999999999998E-2</v>
      </c>
      <c r="AV35">
        <f t="shared" si="41"/>
        <v>0.21465000000000001</v>
      </c>
      <c r="AW35">
        <f t="shared" si="42"/>
        <v>-0.11712000000000006</v>
      </c>
      <c r="AX35">
        <f t="shared" si="43"/>
        <v>9.5699999999999952E-3</v>
      </c>
      <c r="BJ35">
        <f t="shared" si="44"/>
        <v>0</v>
      </c>
      <c r="BK35">
        <f t="shared" si="45"/>
        <v>1</v>
      </c>
      <c r="BL35">
        <f t="shared" si="46"/>
        <v>1</v>
      </c>
      <c r="BM35">
        <f t="shared" si="47"/>
        <v>35.235000927267137</v>
      </c>
      <c r="BS35">
        <f t="shared" si="48"/>
        <v>35.235000927267137</v>
      </c>
      <c r="BT35">
        <f t="shared" si="49"/>
        <v>0</v>
      </c>
      <c r="BU35">
        <f t="shared" si="50"/>
        <v>-2.51856428360386</v>
      </c>
      <c r="BV35">
        <f t="shared" si="59"/>
        <v>8.0575206890821802E-2</v>
      </c>
      <c r="BW35">
        <f t="shared" si="60"/>
        <v>1.0000000000000001E-5</v>
      </c>
      <c r="BX35">
        <f t="shared" si="61"/>
        <v>8.0575206890821802E-2</v>
      </c>
      <c r="BY35">
        <f t="shared" si="51"/>
        <v>0.42169000000000001</v>
      </c>
      <c r="BZ35">
        <f t="shared" si="62"/>
        <v>0.01</v>
      </c>
      <c r="CA35">
        <f t="shared" si="63"/>
        <v>0.42169000000000001</v>
      </c>
      <c r="CB35">
        <v>0.3</v>
      </c>
      <c r="CC35">
        <v>0.3</v>
      </c>
      <c r="CD35">
        <v>0.3</v>
      </c>
    </row>
    <row r="36" spans="1:82" x14ac:dyDescent="0.25">
      <c r="A36">
        <v>13</v>
      </c>
      <c r="B36">
        <v>31</v>
      </c>
      <c r="C36" t="str">
        <f t="shared" si="52"/>
        <v>SSTens</v>
      </c>
      <c r="D36">
        <v>0.40639999999999998</v>
      </c>
      <c r="E36">
        <f t="shared" si="14"/>
        <v>406.4</v>
      </c>
      <c r="F36">
        <v>9.5299999999999985E-3</v>
      </c>
      <c r="G36">
        <f t="shared" si="15"/>
        <v>9.5299999999999994</v>
      </c>
      <c r="H36">
        <f t="shared" si="16"/>
        <v>42.644281217208821</v>
      </c>
      <c r="I36">
        <v>50</v>
      </c>
      <c r="J36" t="s">
        <v>39</v>
      </c>
      <c r="K36">
        <f t="shared" si="53"/>
        <v>14</v>
      </c>
      <c r="L36">
        <f t="shared" si="54"/>
        <v>15</v>
      </c>
      <c r="M36">
        <f t="shared" si="55"/>
        <v>483000</v>
      </c>
      <c r="N36">
        <f t="shared" si="56"/>
        <v>565000</v>
      </c>
      <c r="O36">
        <f t="shared" si="57"/>
        <v>2.8799444073326219</v>
      </c>
      <c r="Q36" t="s">
        <v>35</v>
      </c>
      <c r="R36" t="s">
        <v>36</v>
      </c>
      <c r="S36">
        <f t="shared" si="58"/>
        <v>17.5</v>
      </c>
      <c r="T36">
        <f t="shared" si="17"/>
        <v>0</v>
      </c>
      <c r="U36">
        <f t="shared" si="18"/>
        <v>37.5</v>
      </c>
      <c r="V36">
        <f t="shared" si="19"/>
        <v>1.1000000000000001</v>
      </c>
      <c r="W36">
        <v>0.9</v>
      </c>
      <c r="X36">
        <v>0</v>
      </c>
      <c r="Y36">
        <f t="shared" si="20"/>
        <v>52.665659244779285</v>
      </c>
      <c r="Z36">
        <v>0.75</v>
      </c>
      <c r="AA36">
        <f t="shared" si="21"/>
        <v>1</v>
      </c>
      <c r="AB36">
        <f t="shared" si="22"/>
        <v>1</v>
      </c>
      <c r="AC36">
        <f t="shared" si="23"/>
        <v>-1.0720100000000001</v>
      </c>
      <c r="AD36">
        <f t="shared" si="24"/>
        <v>0.37861949879439499</v>
      </c>
      <c r="AE36">
        <f t="shared" si="25"/>
        <v>0.18805999999999998</v>
      </c>
      <c r="AF36">
        <f t="shared" si="26"/>
        <v>2.6230000000000003E-2</v>
      </c>
      <c r="AG36">
        <f t="shared" si="27"/>
        <v>0.18940000000000001</v>
      </c>
      <c r="AH36">
        <f t="shared" si="28"/>
        <v>0.13727</v>
      </c>
      <c r="AI36">
        <f t="shared" si="29"/>
        <v>-1.5100000000000001E-3</v>
      </c>
      <c r="AJ36">
        <f t="shared" si="30"/>
        <v>6.828999999999999E-2</v>
      </c>
      <c r="AL36">
        <f t="shared" si="31"/>
        <v>6.4177768834329907E-2</v>
      </c>
      <c r="AM36">
        <f t="shared" si="32"/>
        <v>0.46670999999999996</v>
      </c>
      <c r="AN36">
        <f t="shared" si="33"/>
        <v>0.21565000000000001</v>
      </c>
      <c r="AO36">
        <f t="shared" si="34"/>
        <v>2.0365100000000003</v>
      </c>
      <c r="AP36">
        <f t="shared" si="35"/>
        <v>-2.47E-3</v>
      </c>
      <c r="AQ36">
        <f t="shared" si="36"/>
        <v>2.1099999999999997E-2</v>
      </c>
      <c r="AR36">
        <f t="shared" si="37"/>
        <v>-0.32228000000000001</v>
      </c>
      <c r="AS36">
        <f t="shared" si="38"/>
        <v>6.3999999999999994E-4</v>
      </c>
      <c r="AT36">
        <f t="shared" si="39"/>
        <v>0.79181000000000001</v>
      </c>
      <c r="AU36">
        <f t="shared" si="40"/>
        <v>-2.5199999999999988E-3</v>
      </c>
      <c r="AV36">
        <f t="shared" si="41"/>
        <v>3.2649999999999998E-2</v>
      </c>
      <c r="AW36">
        <f t="shared" si="42"/>
        <v>0.25287999999999999</v>
      </c>
      <c r="AX36">
        <f t="shared" si="43"/>
        <v>7.757E-2</v>
      </c>
      <c r="BJ36">
        <f t="shared" si="44"/>
        <v>0</v>
      </c>
      <c r="BK36">
        <f t="shared" si="45"/>
        <v>1</v>
      </c>
      <c r="BL36">
        <f t="shared" si="46"/>
        <v>0</v>
      </c>
      <c r="BM36">
        <f t="shared" si="47"/>
        <v>34.875583720662959</v>
      </c>
      <c r="BS36">
        <f t="shared" si="48"/>
        <v>34.875583720662959</v>
      </c>
      <c r="BT36">
        <f t="shared" si="49"/>
        <v>0</v>
      </c>
      <c r="BU36">
        <f t="shared" si="50"/>
        <v>-10.995295938748249</v>
      </c>
      <c r="BV36">
        <f t="shared" si="59"/>
        <v>1.6780451693088814E-5</v>
      </c>
      <c r="BW36">
        <f t="shared" si="60"/>
        <v>1.0000000000000001E-5</v>
      </c>
      <c r="BX36">
        <f t="shared" si="61"/>
        <v>1.6780451693088814E-5</v>
      </c>
      <c r="BY36">
        <f t="shared" si="51"/>
        <v>0.49719000000000002</v>
      </c>
      <c r="BZ36">
        <f t="shared" si="62"/>
        <v>0.01</v>
      </c>
      <c r="CA36">
        <f t="shared" si="63"/>
        <v>0.49719000000000002</v>
      </c>
      <c r="CB36">
        <v>0.3</v>
      </c>
      <c r="CC36">
        <v>0.3</v>
      </c>
      <c r="CD36">
        <v>0.3</v>
      </c>
    </row>
    <row r="37" spans="1:82" x14ac:dyDescent="0.25">
      <c r="A37">
        <v>14</v>
      </c>
      <c r="B37">
        <v>7</v>
      </c>
      <c r="C37" t="str">
        <f t="shared" si="52"/>
        <v>SSTens</v>
      </c>
      <c r="D37">
        <v>0.50800000000000001</v>
      </c>
      <c r="E37">
        <f t="shared" si="14"/>
        <v>508</v>
      </c>
      <c r="F37">
        <v>1.1130000000000001E-2</v>
      </c>
      <c r="G37">
        <f t="shared" si="15"/>
        <v>11.13</v>
      </c>
      <c r="H37">
        <f t="shared" si="16"/>
        <v>45.642407906558844</v>
      </c>
      <c r="I37">
        <v>100</v>
      </c>
      <c r="J37" t="s">
        <v>41</v>
      </c>
      <c r="K37">
        <f t="shared" si="53"/>
        <v>15</v>
      </c>
      <c r="L37">
        <f t="shared" si="54"/>
        <v>20</v>
      </c>
      <c r="M37">
        <f t="shared" si="55"/>
        <v>552000</v>
      </c>
      <c r="N37">
        <f t="shared" si="56"/>
        <v>625000</v>
      </c>
      <c r="O37">
        <f t="shared" si="57"/>
        <v>2.9888368774026359</v>
      </c>
      <c r="Q37" t="s">
        <v>35</v>
      </c>
      <c r="R37" t="s">
        <v>36</v>
      </c>
      <c r="S37">
        <f t="shared" si="58"/>
        <v>17.5</v>
      </c>
      <c r="T37">
        <f t="shared" si="17"/>
        <v>0</v>
      </c>
      <c r="U37">
        <f t="shared" si="18"/>
        <v>37.5</v>
      </c>
      <c r="V37">
        <f t="shared" si="19"/>
        <v>1.1000000000000001</v>
      </c>
      <c r="W37">
        <v>0.9</v>
      </c>
      <c r="X37">
        <v>0</v>
      </c>
      <c r="Y37">
        <f t="shared" si="20"/>
        <v>65.832074055974104</v>
      </c>
      <c r="Z37">
        <v>0.75</v>
      </c>
      <c r="AA37">
        <f t="shared" si="21"/>
        <v>1</v>
      </c>
      <c r="AB37">
        <f t="shared" si="22"/>
        <v>1</v>
      </c>
      <c r="AC37">
        <f t="shared" si="23"/>
        <v>0.22447000000000017</v>
      </c>
      <c r="AD37">
        <f t="shared" si="24"/>
        <v>0.18822525017291764</v>
      </c>
      <c r="AE37">
        <f t="shared" si="25"/>
        <v>-0.13522000000000001</v>
      </c>
      <c r="AF37">
        <f t="shared" si="26"/>
        <v>9.8470000000000002E-2</v>
      </c>
      <c r="AG37">
        <f t="shared" si="27"/>
        <v>-0.33428000000000002</v>
      </c>
      <c r="AH37">
        <f t="shared" si="28"/>
        <v>-0.44736999999999993</v>
      </c>
      <c r="AI37">
        <f t="shared" si="29"/>
        <v>-1.2699999999999999E-3</v>
      </c>
      <c r="AJ37">
        <f t="shared" si="30"/>
        <v>1.3569999999999999E-2</v>
      </c>
      <c r="AL37">
        <f t="shared" si="31"/>
        <v>-0.19215623985827801</v>
      </c>
      <c r="AM37">
        <f t="shared" si="32"/>
        <v>0.98846999999999996</v>
      </c>
      <c r="AN37">
        <f t="shared" si="33"/>
        <v>0.16693000000000002</v>
      </c>
      <c r="AO37">
        <f t="shared" si="34"/>
        <v>2.7087500000000002</v>
      </c>
      <c r="AP37">
        <f t="shared" si="35"/>
        <v>-7.0000000000000184E-5</v>
      </c>
      <c r="AQ37">
        <f t="shared" si="36"/>
        <v>4.8459999999999996E-2</v>
      </c>
      <c r="AR37">
        <f t="shared" si="37"/>
        <v>-0.66691999999999996</v>
      </c>
      <c r="AS37">
        <f t="shared" si="38"/>
        <v>1.5999999999999999E-4</v>
      </c>
      <c r="AT37">
        <f t="shared" si="39"/>
        <v>0.47357000000000005</v>
      </c>
      <c r="AU37">
        <f t="shared" si="40"/>
        <v>-1.7159999999999998E-2</v>
      </c>
      <c r="AV37">
        <f t="shared" si="41"/>
        <v>0.20737</v>
      </c>
      <c r="AW37">
        <f t="shared" si="42"/>
        <v>-0.10232000000000002</v>
      </c>
      <c r="AX37">
        <f t="shared" si="43"/>
        <v>1.2289999999999995E-2</v>
      </c>
      <c r="BJ37">
        <f t="shared" si="44"/>
        <v>0</v>
      </c>
      <c r="BK37">
        <f t="shared" si="45"/>
        <v>1</v>
      </c>
      <c r="BL37">
        <f t="shared" si="46"/>
        <v>0</v>
      </c>
      <c r="BM37">
        <f t="shared" si="47"/>
        <v>24.805187421061582</v>
      </c>
      <c r="BS37">
        <f t="shared" si="48"/>
        <v>24.805187421061582</v>
      </c>
      <c r="BT37">
        <f t="shared" si="49"/>
        <v>0</v>
      </c>
      <c r="BU37">
        <f t="shared" si="50"/>
        <v>-0.74325381350195208</v>
      </c>
      <c r="BV37">
        <f t="shared" si="59"/>
        <v>0.47556399875824051</v>
      </c>
      <c r="BW37">
        <f t="shared" si="60"/>
        <v>1.0000000000000001E-5</v>
      </c>
      <c r="BX37">
        <f t="shared" si="61"/>
        <v>0.47556399875824051</v>
      </c>
      <c r="BY37">
        <f t="shared" si="51"/>
        <v>0.42471000000000003</v>
      </c>
      <c r="BZ37">
        <f t="shared" si="62"/>
        <v>0.01</v>
      </c>
      <c r="CA37">
        <f t="shared" si="63"/>
        <v>0.42471000000000003</v>
      </c>
      <c r="CB37">
        <v>0.3</v>
      </c>
      <c r="CC37">
        <v>0.3</v>
      </c>
      <c r="CD37">
        <v>0.3</v>
      </c>
    </row>
    <row r="38" spans="1:82" x14ac:dyDescent="0.25">
      <c r="A38">
        <v>15</v>
      </c>
      <c r="B38">
        <v>9</v>
      </c>
      <c r="C38" t="str">
        <f t="shared" si="52"/>
        <v>SSTens</v>
      </c>
      <c r="D38">
        <v>0.60960000000000003</v>
      </c>
      <c r="E38">
        <f t="shared" si="14"/>
        <v>609.6</v>
      </c>
      <c r="F38">
        <v>9.5299999999999985E-3</v>
      </c>
      <c r="G38">
        <f t="shared" si="15"/>
        <v>9.5299999999999994</v>
      </c>
      <c r="H38">
        <f t="shared" si="16"/>
        <v>63.966421825813235</v>
      </c>
      <c r="I38">
        <v>15</v>
      </c>
      <c r="J38" t="s">
        <v>34</v>
      </c>
      <c r="K38">
        <f t="shared" si="53"/>
        <v>8</v>
      </c>
      <c r="L38">
        <f t="shared" si="54"/>
        <v>10</v>
      </c>
      <c r="M38">
        <f t="shared" si="55"/>
        <v>359000</v>
      </c>
      <c r="N38">
        <f t="shared" si="56"/>
        <v>455000</v>
      </c>
      <c r="O38">
        <f t="shared" si="57"/>
        <v>1.9969902892117808</v>
      </c>
      <c r="Q38" t="s">
        <v>35</v>
      </c>
      <c r="R38" t="s">
        <v>38</v>
      </c>
      <c r="S38">
        <f t="shared" si="58"/>
        <v>18</v>
      </c>
      <c r="T38">
        <f t="shared" si="17"/>
        <v>0</v>
      </c>
      <c r="U38">
        <f t="shared" si="18"/>
        <v>75</v>
      </c>
      <c r="V38">
        <f t="shared" si="19"/>
        <v>0.72</v>
      </c>
      <c r="W38">
        <v>0.9</v>
      </c>
      <c r="X38">
        <v>0</v>
      </c>
      <c r="Y38">
        <f t="shared" si="20"/>
        <v>103.41620360793024</v>
      </c>
      <c r="Z38">
        <v>0.75</v>
      </c>
      <c r="AA38">
        <f t="shared" si="21"/>
        <v>0</v>
      </c>
      <c r="AB38">
        <f t="shared" si="22"/>
        <v>1</v>
      </c>
      <c r="AC38">
        <f t="shared" si="23"/>
        <v>0.11643000000000003</v>
      </c>
      <c r="AD38">
        <f t="shared" si="24"/>
        <v>-0.1018074430633997</v>
      </c>
      <c r="AE38">
        <f t="shared" si="25"/>
        <v>-0.10827999999999999</v>
      </c>
      <c r="AF38">
        <f t="shared" si="26"/>
        <v>9.2450000000000004E-2</v>
      </c>
      <c r="AG38">
        <f t="shared" si="27"/>
        <v>-0.29064000000000001</v>
      </c>
      <c r="AH38">
        <f t="shared" si="28"/>
        <v>-0.39864999999999995</v>
      </c>
      <c r="AI38">
        <f t="shared" si="29"/>
        <v>-1.2899999999999999E-3</v>
      </c>
      <c r="AJ38">
        <f t="shared" si="30"/>
        <v>1.8129999999999993E-2</v>
      </c>
      <c r="AL38">
        <f t="shared" si="31"/>
        <v>-0.24721189702307916</v>
      </c>
      <c r="AM38">
        <f t="shared" si="32"/>
        <v>0.94499</v>
      </c>
      <c r="AN38">
        <f t="shared" si="33"/>
        <v>0.17099</v>
      </c>
      <c r="AO38">
        <f t="shared" si="34"/>
        <v>2.65273</v>
      </c>
      <c r="AP38">
        <f t="shared" si="35"/>
        <v>-2.6999999999999984E-4</v>
      </c>
      <c r="AQ38">
        <f t="shared" si="36"/>
        <v>4.6179999999999999E-2</v>
      </c>
      <c r="AR38">
        <f t="shared" si="37"/>
        <v>-0.63819999999999999</v>
      </c>
      <c r="AS38">
        <f t="shared" si="38"/>
        <v>1.9999999999999998E-4</v>
      </c>
      <c r="AT38">
        <f t="shared" si="39"/>
        <v>0.50009000000000015</v>
      </c>
      <c r="AU38">
        <f t="shared" si="40"/>
        <v>-1.5939999999999999E-2</v>
      </c>
      <c r="AV38">
        <f t="shared" si="41"/>
        <v>0.19280999999999998</v>
      </c>
      <c r="AW38">
        <f t="shared" si="42"/>
        <v>-7.2720000000000062E-2</v>
      </c>
      <c r="AX38">
        <f t="shared" si="43"/>
        <v>1.7729999999999996E-2</v>
      </c>
      <c r="BJ38">
        <f t="shared" si="44"/>
        <v>0</v>
      </c>
      <c r="BK38">
        <f t="shared" si="45"/>
        <v>1</v>
      </c>
      <c r="BL38">
        <f t="shared" si="46"/>
        <v>1</v>
      </c>
      <c r="BM38">
        <f t="shared" si="47"/>
        <v>59.10145817348517</v>
      </c>
      <c r="BS38">
        <f t="shared" si="48"/>
        <v>59.10145817348517</v>
      </c>
      <c r="BT38">
        <f t="shared" si="49"/>
        <v>0</v>
      </c>
      <c r="BU38">
        <f t="shared" si="50"/>
        <v>-0.73581869692911095</v>
      </c>
      <c r="BV38">
        <f t="shared" si="59"/>
        <v>0.47911304998207627</v>
      </c>
      <c r="BW38">
        <f t="shared" si="60"/>
        <v>1.0000000000000001E-5</v>
      </c>
      <c r="BX38">
        <f t="shared" si="61"/>
        <v>0.47911304998207627</v>
      </c>
      <c r="BY38">
        <f t="shared" si="51"/>
        <v>0.43074999999999997</v>
      </c>
      <c r="BZ38">
        <f t="shared" si="62"/>
        <v>0.01</v>
      </c>
      <c r="CA38">
        <f t="shared" si="63"/>
        <v>0.43074999999999997</v>
      </c>
      <c r="CB38">
        <v>0.3</v>
      </c>
      <c r="CC38">
        <v>0.3</v>
      </c>
      <c r="CD38">
        <v>0.3</v>
      </c>
    </row>
    <row r="39" spans="1:82" x14ac:dyDescent="0.25">
      <c r="A39">
        <v>16</v>
      </c>
      <c r="B39">
        <v>34</v>
      </c>
      <c r="C39" t="str">
        <f t="shared" si="52"/>
        <v>SSTens</v>
      </c>
      <c r="D39">
        <v>0.76200000000000001</v>
      </c>
      <c r="E39">
        <f t="shared" si="14"/>
        <v>762</v>
      </c>
      <c r="F39">
        <v>1.2699999999999999E-2</v>
      </c>
      <c r="G39">
        <f t="shared" si="15"/>
        <v>12.7</v>
      </c>
      <c r="H39">
        <f t="shared" si="16"/>
        <v>60</v>
      </c>
      <c r="I39">
        <v>30</v>
      </c>
      <c r="J39" t="s">
        <v>37</v>
      </c>
      <c r="K39">
        <f t="shared" si="53"/>
        <v>8</v>
      </c>
      <c r="L39">
        <f t="shared" si="54"/>
        <v>12</v>
      </c>
      <c r="M39">
        <f t="shared" si="55"/>
        <v>414000</v>
      </c>
      <c r="N39">
        <f t="shared" si="56"/>
        <v>517000</v>
      </c>
      <c r="O39">
        <f t="shared" si="57"/>
        <v>2.5466769467238102</v>
      </c>
      <c r="Q39" t="s">
        <v>35</v>
      </c>
      <c r="R39" t="s">
        <v>38</v>
      </c>
      <c r="S39">
        <f t="shared" si="58"/>
        <v>18</v>
      </c>
      <c r="T39">
        <f t="shared" si="17"/>
        <v>0</v>
      </c>
      <c r="U39">
        <f t="shared" si="18"/>
        <v>75</v>
      </c>
      <c r="V39">
        <f t="shared" si="19"/>
        <v>0.72</v>
      </c>
      <c r="W39">
        <v>0.9</v>
      </c>
      <c r="X39">
        <v>0</v>
      </c>
      <c r="Y39">
        <f t="shared" si="20"/>
        <v>129.2702545099128</v>
      </c>
      <c r="Z39">
        <v>1.5</v>
      </c>
      <c r="AA39">
        <f t="shared" si="21"/>
        <v>0</v>
      </c>
      <c r="AB39">
        <f t="shared" si="22"/>
        <v>1</v>
      </c>
      <c r="AC39">
        <f t="shared" si="23"/>
        <v>-1.23407</v>
      </c>
      <c r="AD39">
        <f t="shared" si="24"/>
        <v>0.33045059496458912</v>
      </c>
      <c r="AE39">
        <f t="shared" si="25"/>
        <v>0.22846999999999998</v>
      </c>
      <c r="AF39">
        <f t="shared" si="26"/>
        <v>1.72E-2</v>
      </c>
      <c r="AG39">
        <f t="shared" si="27"/>
        <v>0.25485999999999998</v>
      </c>
      <c r="AH39">
        <f t="shared" si="28"/>
        <v>0.21035000000000004</v>
      </c>
      <c r="AI39">
        <f t="shared" si="29"/>
        <v>-1.5399999999999999E-3</v>
      </c>
      <c r="AJ39">
        <f t="shared" si="30"/>
        <v>7.5130000000000002E-2</v>
      </c>
      <c r="AL39">
        <f t="shared" si="31"/>
        <v>-0.14809673694969461</v>
      </c>
      <c r="AM39">
        <f t="shared" si="32"/>
        <v>0.40149000000000001</v>
      </c>
      <c r="AN39">
        <f t="shared" si="33"/>
        <v>0.22173999999999999</v>
      </c>
      <c r="AO39">
        <f t="shared" si="34"/>
        <v>1.95248</v>
      </c>
      <c r="AP39">
        <f t="shared" si="35"/>
        <v>-2.7699999999999999E-3</v>
      </c>
      <c r="AQ39">
        <f t="shared" si="36"/>
        <v>1.7679999999999998E-2</v>
      </c>
      <c r="AR39">
        <f t="shared" si="37"/>
        <v>-0.2792</v>
      </c>
      <c r="AS39">
        <f t="shared" si="38"/>
        <v>6.9999999999999999E-4</v>
      </c>
      <c r="AT39">
        <f t="shared" si="39"/>
        <v>0.83159000000000005</v>
      </c>
      <c r="AU39">
        <f t="shared" si="40"/>
        <v>-6.8999999999999964E-4</v>
      </c>
      <c r="AV39">
        <f t="shared" si="41"/>
        <v>1.081E-2</v>
      </c>
      <c r="AW39">
        <f t="shared" si="42"/>
        <v>0.29727999999999999</v>
      </c>
      <c r="AX39">
        <f t="shared" si="43"/>
        <v>8.5730000000000001E-2</v>
      </c>
      <c r="BJ39">
        <f t="shared" si="44"/>
        <v>0</v>
      </c>
      <c r="BK39">
        <f t="shared" si="45"/>
        <v>0</v>
      </c>
      <c r="BL39">
        <f t="shared" si="46"/>
        <v>1</v>
      </c>
      <c r="BM39">
        <f t="shared" si="47"/>
        <v>-0.13675050892386795</v>
      </c>
      <c r="BS39">
        <f t="shared" si="48"/>
        <v>0</v>
      </c>
      <c r="BT39">
        <f t="shared" si="49"/>
        <v>-0.13675050892386795</v>
      </c>
      <c r="BU39">
        <f t="shared" si="50"/>
        <v>1.233670099194631</v>
      </c>
      <c r="BV39">
        <f t="shared" si="59"/>
        <v>3.4338088576140939</v>
      </c>
      <c r="BW39">
        <f t="shared" si="60"/>
        <v>1.0000000000000001E-5</v>
      </c>
      <c r="BX39">
        <f t="shared" si="61"/>
        <v>3.4338088576140939</v>
      </c>
      <c r="BY39">
        <f t="shared" si="51"/>
        <v>0.50624999999999998</v>
      </c>
      <c r="BZ39">
        <f t="shared" si="62"/>
        <v>0.01</v>
      </c>
      <c r="CA39">
        <f t="shared" si="63"/>
        <v>0.50624999999999998</v>
      </c>
      <c r="CB39">
        <v>0.3</v>
      </c>
      <c r="CC39">
        <v>0.3</v>
      </c>
      <c r="CD39">
        <v>0.3</v>
      </c>
    </row>
    <row r="40" spans="1:82" x14ac:dyDescent="0.25">
      <c r="A40">
        <v>17</v>
      </c>
      <c r="B40">
        <v>30</v>
      </c>
      <c r="C40" t="str">
        <f t="shared" si="52"/>
        <v>SSTens</v>
      </c>
      <c r="D40">
        <v>0.86360000000000003</v>
      </c>
      <c r="E40">
        <f t="shared" si="14"/>
        <v>863.6</v>
      </c>
      <c r="F40">
        <v>1.1130000000000001E-2</v>
      </c>
      <c r="G40">
        <f t="shared" si="15"/>
        <v>11.13</v>
      </c>
      <c r="H40">
        <f t="shared" si="16"/>
        <v>77.592093441150041</v>
      </c>
      <c r="I40">
        <v>50</v>
      </c>
      <c r="J40" t="s">
        <v>39</v>
      </c>
      <c r="K40">
        <f t="shared" si="53"/>
        <v>14</v>
      </c>
      <c r="L40">
        <f t="shared" si="54"/>
        <v>15</v>
      </c>
      <c r="M40">
        <f t="shared" si="55"/>
        <v>483000</v>
      </c>
      <c r="N40">
        <f t="shared" si="56"/>
        <v>565000</v>
      </c>
      <c r="O40">
        <f t="shared" si="57"/>
        <v>2.8799444073326219</v>
      </c>
      <c r="Q40" t="s">
        <v>35</v>
      </c>
      <c r="R40" t="s">
        <v>38</v>
      </c>
      <c r="S40">
        <f t="shared" si="58"/>
        <v>18</v>
      </c>
      <c r="T40">
        <f t="shared" si="17"/>
        <v>0</v>
      </c>
      <c r="U40">
        <f t="shared" si="18"/>
        <v>75</v>
      </c>
      <c r="V40">
        <f t="shared" si="19"/>
        <v>0.72</v>
      </c>
      <c r="W40">
        <v>0.9</v>
      </c>
      <c r="X40">
        <v>0</v>
      </c>
      <c r="Y40">
        <f t="shared" si="20"/>
        <v>146.50628844456784</v>
      </c>
      <c r="Z40">
        <v>1.5</v>
      </c>
      <c r="AA40">
        <f t="shared" si="21"/>
        <v>0</v>
      </c>
      <c r="AB40">
        <f t="shared" si="22"/>
        <v>1</v>
      </c>
      <c r="AC40">
        <f t="shared" si="23"/>
        <v>-1.01799</v>
      </c>
      <c r="AD40">
        <f t="shared" si="24"/>
        <v>0.26090941251699395</v>
      </c>
      <c r="AE40">
        <f t="shared" si="25"/>
        <v>0.17459</v>
      </c>
      <c r="AF40">
        <f t="shared" si="26"/>
        <v>2.9240000000000002E-2</v>
      </c>
      <c r="AG40">
        <f t="shared" si="27"/>
        <v>0.16758000000000001</v>
      </c>
      <c r="AH40">
        <f t="shared" si="28"/>
        <v>0.11291000000000001</v>
      </c>
      <c r="AI40">
        <f t="shared" si="29"/>
        <v>-1.5E-3</v>
      </c>
      <c r="AJ40">
        <f t="shared" si="30"/>
        <v>6.6009999999999985E-2</v>
      </c>
      <c r="AL40">
        <f t="shared" si="31"/>
        <v>-5.900749565548391E-2</v>
      </c>
      <c r="AM40">
        <f t="shared" si="32"/>
        <v>0.48845</v>
      </c>
      <c r="AN40">
        <f t="shared" si="33"/>
        <v>0.21362</v>
      </c>
      <c r="AO40">
        <f t="shared" si="34"/>
        <v>2.0645199999999999</v>
      </c>
      <c r="AP40">
        <f t="shared" si="35"/>
        <v>-2.3700000000000001E-3</v>
      </c>
      <c r="AQ40">
        <f t="shared" si="36"/>
        <v>2.2239999999999999E-2</v>
      </c>
      <c r="AR40">
        <f t="shared" si="37"/>
        <v>-0.33663999999999999</v>
      </c>
      <c r="AS40">
        <f t="shared" si="38"/>
        <v>6.2E-4</v>
      </c>
      <c r="AT40">
        <f t="shared" si="39"/>
        <v>0.77855000000000008</v>
      </c>
      <c r="AU40">
        <f t="shared" si="40"/>
        <v>-3.13E-3</v>
      </c>
      <c r="AV40">
        <f t="shared" si="41"/>
        <v>3.9930000000000007E-2</v>
      </c>
      <c r="AW40">
        <f t="shared" si="42"/>
        <v>0.23807999999999999</v>
      </c>
      <c r="AX40">
        <f t="shared" si="43"/>
        <v>7.485E-2</v>
      </c>
      <c r="BJ40">
        <f t="shared" si="44"/>
        <v>0</v>
      </c>
      <c r="BK40">
        <f t="shared" si="45"/>
        <v>0</v>
      </c>
      <c r="BL40">
        <f t="shared" si="46"/>
        <v>0</v>
      </c>
      <c r="BM40">
        <f t="shared" si="47"/>
        <v>0.31412415867276039</v>
      </c>
      <c r="BS40">
        <f t="shared" si="48"/>
        <v>0</v>
      </c>
      <c r="BT40">
        <f t="shared" si="49"/>
        <v>0.31412415867276039</v>
      </c>
      <c r="BU40">
        <f t="shared" si="50"/>
        <v>1.5639121331187127</v>
      </c>
      <c r="BV40">
        <f t="shared" si="59"/>
        <v>4.7774748512413208</v>
      </c>
      <c r="BW40">
        <f t="shared" si="60"/>
        <v>1.0000000000000001E-5</v>
      </c>
      <c r="BX40">
        <f t="shared" si="61"/>
        <v>4.7774748512413208</v>
      </c>
      <c r="BY40">
        <f t="shared" si="51"/>
        <v>0.49417</v>
      </c>
      <c r="BZ40">
        <f t="shared" si="62"/>
        <v>0.01</v>
      </c>
      <c r="CA40">
        <f t="shared" si="63"/>
        <v>0.49417</v>
      </c>
      <c r="CB40">
        <v>0.3</v>
      </c>
      <c r="CC40">
        <v>0.3</v>
      </c>
      <c r="CD40">
        <v>0.3</v>
      </c>
    </row>
    <row r="41" spans="1:82" x14ac:dyDescent="0.25">
      <c r="A41">
        <v>18</v>
      </c>
      <c r="B41">
        <v>28</v>
      </c>
      <c r="C41" t="str">
        <f t="shared" si="52"/>
        <v>SSTens</v>
      </c>
      <c r="D41">
        <v>1.0668</v>
      </c>
      <c r="E41">
        <f t="shared" si="14"/>
        <v>1066.8</v>
      </c>
      <c r="F41">
        <v>1.2699999999999999E-2</v>
      </c>
      <c r="G41">
        <f t="shared" si="15"/>
        <v>12.7</v>
      </c>
      <c r="H41">
        <f t="shared" si="16"/>
        <v>84</v>
      </c>
      <c r="I41">
        <v>100</v>
      </c>
      <c r="J41" t="s">
        <v>41</v>
      </c>
      <c r="K41">
        <f t="shared" si="53"/>
        <v>15</v>
      </c>
      <c r="L41">
        <f t="shared" si="54"/>
        <v>20</v>
      </c>
      <c r="M41">
        <f t="shared" si="55"/>
        <v>552000</v>
      </c>
      <c r="N41">
        <f t="shared" si="56"/>
        <v>625000</v>
      </c>
      <c r="O41">
        <f t="shared" si="57"/>
        <v>2.9888368774026359</v>
      </c>
      <c r="Q41" t="s">
        <v>35</v>
      </c>
      <c r="R41" t="s">
        <v>40</v>
      </c>
      <c r="S41">
        <f t="shared" si="58"/>
        <v>18.5</v>
      </c>
      <c r="T41">
        <f t="shared" si="17"/>
        <v>0</v>
      </c>
      <c r="U41">
        <f t="shared" si="18"/>
        <v>125</v>
      </c>
      <c r="V41">
        <f t="shared" si="19"/>
        <v>0.4</v>
      </c>
      <c r="W41">
        <v>0.9</v>
      </c>
      <c r="X41">
        <v>0</v>
      </c>
      <c r="Y41">
        <f t="shared" si="20"/>
        <v>167.57255214247957</v>
      </c>
      <c r="Z41">
        <v>1.5</v>
      </c>
      <c r="AA41">
        <f t="shared" si="21"/>
        <v>0</v>
      </c>
      <c r="AB41">
        <f t="shared" si="22"/>
        <v>1</v>
      </c>
      <c r="AC41">
        <f t="shared" si="23"/>
        <v>-0.90995000000000004</v>
      </c>
      <c r="AD41">
        <f t="shared" si="24"/>
        <v>0.25024830075794013</v>
      </c>
      <c r="AE41">
        <f t="shared" si="25"/>
        <v>0.14764999999999998</v>
      </c>
      <c r="AF41">
        <f t="shared" si="26"/>
        <v>3.526E-2</v>
      </c>
      <c r="AG41">
        <f t="shared" si="27"/>
        <v>0.12393999999999999</v>
      </c>
      <c r="AH41">
        <f t="shared" si="28"/>
        <v>6.4190000000000025E-2</v>
      </c>
      <c r="AI41">
        <f t="shared" si="29"/>
        <v>-1.48E-3</v>
      </c>
      <c r="AJ41">
        <f t="shared" si="30"/>
        <v>6.1449999999999998E-2</v>
      </c>
      <c r="AL41">
        <f t="shared" si="31"/>
        <v>4.3996315441468314E-2</v>
      </c>
      <c r="AM41">
        <f t="shared" si="32"/>
        <v>0.53193000000000001</v>
      </c>
      <c r="AN41">
        <f t="shared" si="33"/>
        <v>0.20956000000000002</v>
      </c>
      <c r="AO41">
        <f t="shared" si="34"/>
        <v>2.1205400000000001</v>
      </c>
      <c r="AP41">
        <f t="shared" si="35"/>
        <v>-2.1700000000000001E-3</v>
      </c>
      <c r="AQ41">
        <f t="shared" si="36"/>
        <v>2.4519999999999997E-2</v>
      </c>
      <c r="AR41">
        <f t="shared" si="37"/>
        <v>-0.36536000000000002</v>
      </c>
      <c r="AS41">
        <f t="shared" si="38"/>
        <v>5.8E-4</v>
      </c>
      <c r="AT41">
        <f t="shared" si="39"/>
        <v>0.75203000000000009</v>
      </c>
      <c r="AU41">
        <f t="shared" si="40"/>
        <v>-4.3499999999999988E-3</v>
      </c>
      <c r="AV41">
        <f t="shared" si="41"/>
        <v>5.4489999999999997E-2</v>
      </c>
      <c r="AW41">
        <f t="shared" si="42"/>
        <v>0.20848</v>
      </c>
      <c r="AX41">
        <f t="shared" si="43"/>
        <v>6.9409999999999999E-2</v>
      </c>
      <c r="BJ41">
        <f t="shared" si="44"/>
        <v>0</v>
      </c>
      <c r="BK41">
        <f t="shared" si="45"/>
        <v>0</v>
      </c>
      <c r="BL41">
        <f t="shared" si="46"/>
        <v>0</v>
      </c>
      <c r="BM41">
        <f t="shared" si="47"/>
        <v>0.28012591978410695</v>
      </c>
      <c r="BS41">
        <f t="shared" si="48"/>
        <v>0</v>
      </c>
      <c r="BT41">
        <f t="shared" si="49"/>
        <v>0.28012591978410695</v>
      </c>
      <c r="BU41">
        <f t="shared" si="50"/>
        <v>1.5617087463846138</v>
      </c>
      <c r="BV41">
        <f t="shared" si="59"/>
        <v>4.7669598151312735</v>
      </c>
      <c r="BW41">
        <f t="shared" si="60"/>
        <v>1.0000000000000001E-5</v>
      </c>
      <c r="BX41">
        <f t="shared" si="61"/>
        <v>4.7669598151312735</v>
      </c>
      <c r="BY41">
        <f t="shared" si="51"/>
        <v>0.48813000000000001</v>
      </c>
      <c r="BZ41">
        <f t="shared" si="62"/>
        <v>0.01</v>
      </c>
      <c r="CA41">
        <f t="shared" si="63"/>
        <v>0.48813000000000001</v>
      </c>
      <c r="CB41">
        <v>0.3</v>
      </c>
      <c r="CC41">
        <v>0.3</v>
      </c>
      <c r="CD41">
        <v>0.3</v>
      </c>
    </row>
    <row r="42" spans="1:82" x14ac:dyDescent="0.25">
      <c r="A42">
        <v>19</v>
      </c>
      <c r="B42">
        <v>33</v>
      </c>
      <c r="C42" t="str">
        <f t="shared" si="52"/>
        <v>SSTens</v>
      </c>
      <c r="D42">
        <v>0.60960000000000003</v>
      </c>
      <c r="E42">
        <f t="shared" si="14"/>
        <v>609.6</v>
      </c>
      <c r="F42">
        <v>1.1130000000000001E-2</v>
      </c>
      <c r="G42">
        <f t="shared" si="15"/>
        <v>11.13</v>
      </c>
      <c r="H42">
        <f t="shared" si="16"/>
        <v>54.770889487870619</v>
      </c>
      <c r="I42">
        <v>150</v>
      </c>
      <c r="J42" t="s">
        <v>64</v>
      </c>
      <c r="K42">
        <f t="shared" si="53"/>
        <v>3</v>
      </c>
      <c r="L42">
        <f t="shared" si="54"/>
        <v>9</v>
      </c>
      <c r="M42">
        <f t="shared" si="55"/>
        <v>290000</v>
      </c>
      <c r="N42">
        <f t="shared" si="56"/>
        <v>414000</v>
      </c>
      <c r="O42">
        <f t="shared" si="57"/>
        <v>1.7363704307629526</v>
      </c>
      <c r="Q42" t="s">
        <v>35</v>
      </c>
      <c r="R42" t="s">
        <v>40</v>
      </c>
      <c r="S42">
        <f t="shared" si="58"/>
        <v>18.5</v>
      </c>
      <c r="T42">
        <f t="shared" si="17"/>
        <v>0</v>
      </c>
      <c r="U42">
        <f t="shared" si="18"/>
        <v>125</v>
      </c>
      <c r="V42">
        <f t="shared" si="19"/>
        <v>0.4</v>
      </c>
      <c r="W42">
        <v>0.9</v>
      </c>
      <c r="X42">
        <v>0</v>
      </c>
      <c r="Y42">
        <f t="shared" si="20"/>
        <v>95.755744081416907</v>
      </c>
      <c r="Z42">
        <v>7.5</v>
      </c>
      <c r="AA42">
        <f t="shared" si="21"/>
        <v>0</v>
      </c>
      <c r="AB42">
        <f t="shared" si="22"/>
        <v>1</v>
      </c>
      <c r="AC42">
        <f t="shared" si="23"/>
        <v>-1.18005</v>
      </c>
      <c r="AD42">
        <f t="shared" si="24"/>
        <v>0.35645547837724323</v>
      </c>
      <c r="AE42">
        <f t="shared" si="25"/>
        <v>0.21499999999999997</v>
      </c>
      <c r="AF42">
        <f t="shared" si="26"/>
        <v>2.0209999999999999E-2</v>
      </c>
      <c r="AG42">
        <f t="shared" si="27"/>
        <v>0.23304000000000002</v>
      </c>
      <c r="AH42">
        <f t="shared" si="28"/>
        <v>0.18598999999999999</v>
      </c>
      <c r="AI42">
        <f t="shared" si="29"/>
        <v>-1.5299999999999999E-3</v>
      </c>
      <c r="AJ42">
        <f t="shared" si="30"/>
        <v>7.2849999999999998E-2</v>
      </c>
      <c r="AL42">
        <f t="shared" si="31"/>
        <v>9.3927643011048279E-2</v>
      </c>
      <c r="AM42">
        <f t="shared" si="32"/>
        <v>0.42323</v>
      </c>
      <c r="AN42">
        <f t="shared" si="33"/>
        <v>0.21971000000000002</v>
      </c>
      <c r="AO42">
        <f t="shared" si="34"/>
        <v>1.9804900000000001</v>
      </c>
      <c r="AP42">
        <f t="shared" si="35"/>
        <v>-2.6700000000000001E-3</v>
      </c>
      <c r="AQ42">
        <f t="shared" si="36"/>
        <v>1.882E-2</v>
      </c>
      <c r="AR42">
        <f t="shared" si="37"/>
        <v>-0.29355999999999999</v>
      </c>
      <c r="AS42">
        <f t="shared" si="38"/>
        <v>6.8000000000000005E-4</v>
      </c>
      <c r="AT42">
        <f t="shared" si="39"/>
        <v>0.81833</v>
      </c>
      <c r="AU42">
        <f t="shared" si="40"/>
        <v>-1.2999999999999999E-3</v>
      </c>
      <c r="AV42">
        <f t="shared" si="41"/>
        <v>1.8089999999999995E-2</v>
      </c>
      <c r="AW42">
        <f t="shared" si="42"/>
        <v>0.28247999999999995</v>
      </c>
      <c r="AX42">
        <f t="shared" si="43"/>
        <v>8.301E-2</v>
      </c>
      <c r="BJ42">
        <f t="shared" si="44"/>
        <v>0</v>
      </c>
      <c r="BK42">
        <f t="shared" si="45"/>
        <v>0</v>
      </c>
      <c r="BL42">
        <f t="shared" si="46"/>
        <v>0</v>
      </c>
      <c r="BM42">
        <f t="shared" si="47"/>
        <v>0.32698466691561862</v>
      </c>
      <c r="BS42">
        <f t="shared" si="48"/>
        <v>0</v>
      </c>
      <c r="BT42">
        <f t="shared" si="49"/>
        <v>0.32698466691561862</v>
      </c>
      <c r="BU42">
        <f t="shared" si="50"/>
        <v>1.9308935225105111</v>
      </c>
      <c r="BV42">
        <f t="shared" si="59"/>
        <v>6.8956689251199821</v>
      </c>
      <c r="BW42">
        <f t="shared" si="60"/>
        <v>1.0000000000000001E-5</v>
      </c>
      <c r="BX42">
        <f t="shared" si="61"/>
        <v>6.8956689251199821</v>
      </c>
      <c r="BY42">
        <f t="shared" si="51"/>
        <v>0.50322999999999996</v>
      </c>
      <c r="BZ42">
        <f t="shared" si="62"/>
        <v>0.01</v>
      </c>
      <c r="CA42">
        <f t="shared" si="63"/>
        <v>0.50322999999999996</v>
      </c>
      <c r="CB42">
        <v>0.3</v>
      </c>
      <c r="CC42">
        <v>0.3</v>
      </c>
      <c r="CD42">
        <v>0.3</v>
      </c>
    </row>
    <row r="43" spans="1:82" x14ac:dyDescent="0.25">
      <c r="A43">
        <v>20</v>
      </c>
      <c r="B43">
        <v>56</v>
      </c>
      <c r="C43" t="str">
        <f t="shared" si="52"/>
        <v>SSTens</v>
      </c>
      <c r="D43">
        <v>0.60960000000000003</v>
      </c>
      <c r="E43">
        <f t="shared" si="14"/>
        <v>609.6</v>
      </c>
      <c r="F43">
        <v>1.1130000000000001E-2</v>
      </c>
      <c r="G43">
        <f t="shared" si="15"/>
        <v>11.13</v>
      </c>
      <c r="H43">
        <f t="shared" si="16"/>
        <v>54.770889487870619</v>
      </c>
      <c r="I43">
        <v>200</v>
      </c>
      <c r="J43" t="s">
        <v>65</v>
      </c>
      <c r="K43">
        <f t="shared" si="53"/>
        <v>3</v>
      </c>
      <c r="L43">
        <f t="shared" si="54"/>
        <v>8</v>
      </c>
      <c r="M43">
        <f t="shared" si="55"/>
        <v>241000</v>
      </c>
      <c r="N43">
        <f t="shared" si="56"/>
        <v>344000</v>
      </c>
      <c r="O43">
        <f t="shared" si="57"/>
        <v>1.1599577949833839</v>
      </c>
      <c r="Q43" t="s">
        <v>35</v>
      </c>
      <c r="R43" t="s">
        <v>40</v>
      </c>
      <c r="S43">
        <f t="shared" si="58"/>
        <v>18.5</v>
      </c>
      <c r="T43">
        <f t="shared" si="17"/>
        <v>0</v>
      </c>
      <c r="U43">
        <f t="shared" si="18"/>
        <v>125</v>
      </c>
      <c r="V43">
        <f t="shared" si="19"/>
        <v>0.4</v>
      </c>
      <c r="W43">
        <v>0.9</v>
      </c>
      <c r="X43">
        <v>0</v>
      </c>
      <c r="Y43">
        <f t="shared" si="20"/>
        <v>95.755744081416907</v>
      </c>
      <c r="Z43">
        <v>3.5</v>
      </c>
      <c r="AA43">
        <f t="shared" si="21"/>
        <v>0</v>
      </c>
      <c r="AB43">
        <f t="shared" si="22"/>
        <v>1</v>
      </c>
      <c r="AC43">
        <f t="shared" si="23"/>
        <v>-1.7474400000000001</v>
      </c>
      <c r="AD43">
        <f t="shared" si="24"/>
        <v>-0.1037110168730242</v>
      </c>
      <c r="AE43">
        <f t="shared" si="25"/>
        <v>0.42990999999999996</v>
      </c>
      <c r="AF43">
        <f t="shared" si="26"/>
        <v>-0.25641000000000003</v>
      </c>
      <c r="AG43">
        <f t="shared" si="27"/>
        <v>1.1132600000000001</v>
      </c>
      <c r="AH43">
        <f t="shared" si="28"/>
        <v>1.18563</v>
      </c>
      <c r="AI43">
        <f t="shared" si="29"/>
        <v>-1.5299999999999999E-3</v>
      </c>
      <c r="AJ43">
        <f t="shared" si="30"/>
        <v>0.11622000000000002</v>
      </c>
      <c r="AL43">
        <f t="shared" si="31"/>
        <v>0.51497060284998142</v>
      </c>
      <c r="AM43">
        <f t="shared" si="32"/>
        <v>-0.14435000000000009</v>
      </c>
      <c r="AN43">
        <f t="shared" si="33"/>
        <v>0.28390000000000004</v>
      </c>
      <c r="AO43">
        <f t="shared" si="34"/>
        <v>1.73184</v>
      </c>
      <c r="AP43">
        <f t="shared" si="35"/>
        <v>-4.1799999999999997E-3</v>
      </c>
      <c r="AQ43">
        <f t="shared" si="36"/>
        <v>1.132E-2</v>
      </c>
      <c r="AR43">
        <f t="shared" si="37"/>
        <v>-0.21403</v>
      </c>
      <c r="AS43">
        <f t="shared" si="38"/>
        <v>1.1800000000000001E-3</v>
      </c>
      <c r="AT43">
        <f t="shared" si="39"/>
        <v>0.88968999999999998</v>
      </c>
      <c r="AU43">
        <f t="shared" si="40"/>
        <v>-2.8699999999999993E-3</v>
      </c>
      <c r="AV43">
        <f t="shared" si="41"/>
        <v>-1.1699999999999988E-2</v>
      </c>
      <c r="AW43">
        <f t="shared" si="42"/>
        <v>0.35848999999999998</v>
      </c>
      <c r="AX43">
        <f t="shared" si="43"/>
        <v>0.12916</v>
      </c>
      <c r="BJ43">
        <f t="shared" si="44"/>
        <v>0</v>
      </c>
      <c r="BK43">
        <f t="shared" si="45"/>
        <v>0</v>
      </c>
      <c r="BL43">
        <f t="shared" si="46"/>
        <v>0</v>
      </c>
      <c r="BM43">
        <f t="shared" si="47"/>
        <v>0.37478522846528672</v>
      </c>
      <c r="BS43">
        <f t="shared" si="48"/>
        <v>0</v>
      </c>
      <c r="BT43">
        <f t="shared" si="49"/>
        <v>0.37478522846528672</v>
      </c>
      <c r="BU43">
        <f t="shared" si="50"/>
        <v>1.2686604747345773</v>
      </c>
      <c r="BV43">
        <f t="shared" si="59"/>
        <v>3.5560859036244468</v>
      </c>
      <c r="BW43">
        <f t="shared" si="60"/>
        <v>1.0000000000000001E-5</v>
      </c>
      <c r="BX43">
        <f t="shared" si="61"/>
        <v>3.5560859036244468</v>
      </c>
      <c r="BY43">
        <f t="shared" si="51"/>
        <v>0.58664000000000005</v>
      </c>
      <c r="BZ43">
        <f t="shared" si="62"/>
        <v>0.01</v>
      </c>
      <c r="CA43">
        <f t="shared" si="63"/>
        <v>0.58664000000000005</v>
      </c>
      <c r="CB43">
        <v>0.3</v>
      </c>
      <c r="CC43">
        <v>0.3</v>
      </c>
      <c r="CD43">
        <v>0.3</v>
      </c>
    </row>
    <row r="44" spans="1:82" x14ac:dyDescent="0.25">
      <c r="A44">
        <v>21</v>
      </c>
      <c r="B44">
        <v>87</v>
      </c>
      <c r="C44" t="str">
        <f>IF(AND(B44&gt;=0,B44&lt;=5),"BainEtal_Normal",IF(AND(B44&gt;5,B44&lt;90),"SSTens",IF(AND(B44&gt;=90,B44&lt;175),"SSComp",IF(AND(B44&gt;=175,B44&lt;=180),"BainEtal_Reverse"))))</f>
        <v>SSTens</v>
      </c>
      <c r="D44">
        <v>0.20319999999999999</v>
      </c>
      <c r="E44">
        <f t="shared" si="14"/>
        <v>203.2</v>
      </c>
      <c r="F44">
        <v>5.5599999999999998E-3</v>
      </c>
      <c r="G44">
        <f t="shared" si="15"/>
        <v>5.56</v>
      </c>
      <c r="H44">
        <f t="shared" si="16"/>
        <v>36.546762589928058</v>
      </c>
      <c r="I44">
        <v>15</v>
      </c>
      <c r="J44" t="s">
        <v>34</v>
      </c>
      <c r="K44">
        <f>IF(J44="Grade-B",3,IF(J44="X-42",3,IF(J44="X-52",8,IF(J44="X-60",8,IF(J44="X-70",14,IF(J44="X-80",15,8))))))</f>
        <v>8</v>
      </c>
      <c r="L44">
        <f>IF(J44="Grade-B",8,IF(J44="X-42",9,IF(J44="X-52",10,IF(J44="X-60",12,IF(J44="X-70",15,IF(J44="X-80",20,10))))))</f>
        <v>10</v>
      </c>
      <c r="M44">
        <f>IF(J44="Grade-B",241,IF(J44="X-42",290,IF(J44="X-52",359,IF(J44="X-60",414,IF(J44="X-70",483,IF(J44="X-80",552,359))))))*1000</f>
        <v>359000</v>
      </c>
      <c r="N44">
        <f>IF(J44="Grade-B",344,IF(J44="X-42",414,IF(J44="X-52",455,IF(J44="X-60",517,IF(J44="X-70",565,IF(J44="X-80",625,M44*1.2/1000))))))*1000</f>
        <v>455000</v>
      </c>
      <c r="O44">
        <f>N44/200000000*(1+K44/(1+L44)*(N44/M44)^L44)*100</f>
        <v>1.9969902892117808</v>
      </c>
      <c r="Q44" t="s">
        <v>42</v>
      </c>
      <c r="R44" t="s">
        <v>43</v>
      </c>
      <c r="S44">
        <f>IF(R44="medium dense",18,IF(R44="dense",18.5,IF(R44="very dense",19,IF(R44="soft",17.5,IF(R44="medium stiff",18,IF(R44="stiff",18.5,0))))))</f>
        <v>18</v>
      </c>
      <c r="T44">
        <f t="shared" si="17"/>
        <v>37</v>
      </c>
      <c r="U44">
        <f t="shared" si="18"/>
        <v>0</v>
      </c>
      <c r="V44">
        <f t="shared" si="19"/>
        <v>0</v>
      </c>
      <c r="W44">
        <v>0.9</v>
      </c>
      <c r="X44">
        <v>1</v>
      </c>
      <c r="Y44">
        <f t="shared" si="20"/>
        <v>7.5479720641402661</v>
      </c>
      <c r="Z44">
        <v>0.75</v>
      </c>
      <c r="AD44">
        <f t="shared" ref="AD44:AD63" si="64">0.00081*Y44+0.00314*LN(O44)</f>
        <v>8.2856107139974745E-3</v>
      </c>
      <c r="AK44">
        <f t="shared" ref="AK44:AK63" si="65">-0.15507+AD44*LN(H44)+0.05203*LN(I44)</f>
        <v>1.5646389426880153E-2</v>
      </c>
      <c r="AL44">
        <f t="shared" ref="AL44:AL63" si="66">IF(I44&lt;15,AK44+0.75,IF(I44&gt;50,AK44+1.5,AK44+1))</f>
        <v>1.0156463894268801</v>
      </c>
      <c r="AM44">
        <v>-2.307229</v>
      </c>
      <c r="AN44">
        <v>0.5852366</v>
      </c>
      <c r="AO44">
        <v>0.201322</v>
      </c>
      <c r="AY44">
        <v>1.4274935</v>
      </c>
      <c r="AZ44">
        <v>-7.1050000000000002E-3</v>
      </c>
      <c r="BA44">
        <v>5.1415999999999996E-3</v>
      </c>
      <c r="BB44">
        <v>-1.4290590000000001</v>
      </c>
      <c r="BC44">
        <v>4.9200300000000002E-2</v>
      </c>
      <c r="BD44">
        <v>0.14513599999999999</v>
      </c>
      <c r="BE44">
        <v>2.0170299999999999E-2</v>
      </c>
      <c r="BF44">
        <v>-1.032025</v>
      </c>
      <c r="BH44">
        <f t="shared" ref="BH44:BH63" si="67">IF(Z44&lt;EXP(AK44),1,0)</f>
        <v>1</v>
      </c>
      <c r="BI44">
        <f t="shared" ref="BI44:BI63" si="68">IF(Z44&gt;EXP(AL44),1,0)</f>
        <v>0</v>
      </c>
      <c r="BJ44">
        <f t="shared" si="44"/>
        <v>1</v>
      </c>
      <c r="BM44">
        <f t="shared" si="47"/>
        <v>-0.47373050310383741</v>
      </c>
      <c r="BS44">
        <f t="shared" ref="BS44:BS63" si="69">BH44*(LN(Z44)-AK44)*(AY44+AZ44*Y44+BA44*H44)</f>
        <v>-0.47373050310383741</v>
      </c>
      <c r="BT44">
        <f t="shared" ref="BT44:BT63" si="70">BI44*(LN(Z44)-AL44)*(BB44+BC44*Y44+BD44*I44+BE44*H44+BF44*LN(O44))</f>
        <v>0</v>
      </c>
      <c r="BU44">
        <f t="shared" ref="BU44:BU63" si="71">AM44+BM44*Z44+AN44*LN(H44)+BJ44*AO44*LN(Y44)</f>
        <v>-0.14957085894174343</v>
      </c>
      <c r="BV44">
        <f t="shared" si="59"/>
        <v>0.86107742082312089</v>
      </c>
      <c r="BW44">
        <f t="shared" si="60"/>
        <v>1.0000000000000001E-5</v>
      </c>
      <c r="BX44">
        <f t="shared" si="61"/>
        <v>0.86107742082312089</v>
      </c>
      <c r="BY44">
        <v>0.72299999999999998</v>
      </c>
      <c r="BZ44">
        <f t="shared" si="62"/>
        <v>0.01</v>
      </c>
      <c r="CA44">
        <f t="shared" si="63"/>
        <v>0.72299999999999998</v>
      </c>
      <c r="CB44">
        <v>0.3</v>
      </c>
      <c r="CC44">
        <v>0.3</v>
      </c>
      <c r="CD44">
        <v>0.3</v>
      </c>
    </row>
    <row r="45" spans="1:82" x14ac:dyDescent="0.25">
      <c r="A45">
        <v>22</v>
      </c>
      <c r="B45">
        <v>86</v>
      </c>
      <c r="C45" t="str">
        <f t="shared" si="52"/>
        <v>SSTens</v>
      </c>
      <c r="D45">
        <v>0.30480000000000002</v>
      </c>
      <c r="E45">
        <f t="shared" si="14"/>
        <v>304.8</v>
      </c>
      <c r="F45">
        <v>7.1399999999999996E-3</v>
      </c>
      <c r="G45">
        <f t="shared" si="15"/>
        <v>7.14</v>
      </c>
      <c r="H45">
        <f t="shared" si="16"/>
        <v>42.689075630252105</v>
      </c>
      <c r="I45">
        <v>30</v>
      </c>
      <c r="J45" t="s">
        <v>37</v>
      </c>
      <c r="K45">
        <f t="shared" ref="K45:K63" si="72">IF(J45="Grade-B",3,IF(J45="X-42",3,IF(J45="X-52",8,IF(J45="X-60",8,IF(J45="X-70",14,IF(J45="X-80",15,8))))))</f>
        <v>8</v>
      </c>
      <c r="L45">
        <f t="shared" ref="L45:L63" si="73">IF(J45="Grade-B",8,IF(J45="X-42",9,IF(J45="X-52",10,IF(J45="X-60",12,IF(J45="X-70",15,IF(J45="X-80",20,10))))))</f>
        <v>12</v>
      </c>
      <c r="M45">
        <f t="shared" ref="M45:M63" si="74">IF(J45="Grade-B",241,IF(J45="X-42",290,IF(J45="X-52",359,IF(J45="X-60",414,IF(J45="X-70",483,IF(J45="X-80",552,359))))))*1000</f>
        <v>414000</v>
      </c>
      <c r="N45">
        <f t="shared" ref="N45:N63" si="75">IF(J45="Grade-B",344,IF(J45="X-42",414,IF(J45="X-52",455,IF(J45="X-60",517,IF(J45="X-70",565,IF(J45="X-80",625,M45*1.2/1000))))))*1000</f>
        <v>517000</v>
      </c>
      <c r="O45">
        <f t="shared" ref="O45:O63" si="76">N45/200000000*(1+K45/(1+L45)*(N45/M45)^L45)*100</f>
        <v>2.5466769467238102</v>
      </c>
      <c r="Q45" t="s">
        <v>42</v>
      </c>
      <c r="R45" t="s">
        <v>43</v>
      </c>
      <c r="S45">
        <f t="shared" ref="S45:S63" si="77">IF(R45="medium dense",18,IF(R45="dense",18.5,IF(R45="very dense",19,IF(R45="soft",17.5,IF(R45="medium stiff",18,IF(R45="stiff",18.5,0))))))</f>
        <v>18</v>
      </c>
      <c r="T45">
        <f t="shared" si="17"/>
        <v>37</v>
      </c>
      <c r="U45">
        <f t="shared" si="18"/>
        <v>0</v>
      </c>
      <c r="V45">
        <f t="shared" si="19"/>
        <v>0</v>
      </c>
      <c r="W45">
        <v>0.9</v>
      </c>
      <c r="X45">
        <v>2</v>
      </c>
      <c r="Y45">
        <f t="shared" si="20"/>
        <v>22.6439161924208</v>
      </c>
      <c r="Z45">
        <v>0.75</v>
      </c>
      <c r="AD45">
        <f t="shared" si="64"/>
        <v>2.1276810678546657E-2</v>
      </c>
      <c r="AK45">
        <f t="shared" si="65"/>
        <v>0.10176623528675607</v>
      </c>
      <c r="AL45">
        <f t="shared" si="66"/>
        <v>1.1017662352867561</v>
      </c>
      <c r="AM45">
        <v>-2.307229</v>
      </c>
      <c r="AN45">
        <v>0.5852366</v>
      </c>
      <c r="AO45">
        <v>0.201322</v>
      </c>
      <c r="AY45">
        <v>1.4274935</v>
      </c>
      <c r="AZ45">
        <v>-7.1050000000000002E-3</v>
      </c>
      <c r="BA45">
        <v>5.1415999999999996E-3</v>
      </c>
      <c r="BB45">
        <v>-1.4290590000000001</v>
      </c>
      <c r="BC45">
        <v>4.9200300000000002E-2</v>
      </c>
      <c r="BD45">
        <v>0.14513599999999999</v>
      </c>
      <c r="BE45">
        <v>2.0170299999999999E-2</v>
      </c>
      <c r="BF45">
        <v>-1.032025</v>
      </c>
      <c r="BH45">
        <f t="shared" si="67"/>
        <v>1</v>
      </c>
      <c r="BI45">
        <f t="shared" si="68"/>
        <v>0</v>
      </c>
      <c r="BJ45">
        <f t="shared" si="44"/>
        <v>1</v>
      </c>
      <c r="BM45">
        <f t="shared" si="47"/>
        <v>-0.57875859530607965</v>
      </c>
      <c r="BS45">
        <f t="shared" si="69"/>
        <v>-0.57875859530607965</v>
      </c>
      <c r="BT45">
        <f t="shared" si="70"/>
        <v>0</v>
      </c>
      <c r="BU45">
        <f t="shared" si="71"/>
        <v>8.374965841113402E-2</v>
      </c>
      <c r="BV45">
        <f t="shared" si="59"/>
        <v>1.0873566491419566</v>
      </c>
      <c r="BW45">
        <f t="shared" si="60"/>
        <v>1.0000000000000001E-5</v>
      </c>
      <c r="BX45">
        <f t="shared" si="61"/>
        <v>1.0873566491419566</v>
      </c>
      <c r="BY45">
        <v>0.72299999999999998</v>
      </c>
      <c r="BZ45">
        <f t="shared" si="62"/>
        <v>0.01</v>
      </c>
      <c r="CA45">
        <f t="shared" si="63"/>
        <v>0.72299999999999998</v>
      </c>
      <c r="CB45">
        <v>0.3</v>
      </c>
      <c r="CC45">
        <v>0.3</v>
      </c>
      <c r="CD45">
        <v>0.3</v>
      </c>
    </row>
    <row r="46" spans="1:82" x14ac:dyDescent="0.25">
      <c r="A46">
        <v>23</v>
      </c>
      <c r="B46">
        <v>85</v>
      </c>
      <c r="C46" t="str">
        <f t="shared" si="52"/>
        <v>SSTens</v>
      </c>
      <c r="D46">
        <v>0.40639999999999998</v>
      </c>
      <c r="E46">
        <f t="shared" si="14"/>
        <v>406.4</v>
      </c>
      <c r="F46">
        <v>9.5299999999999985E-3</v>
      </c>
      <c r="G46">
        <f t="shared" si="15"/>
        <v>9.5299999999999994</v>
      </c>
      <c r="H46">
        <f t="shared" si="16"/>
        <v>42.644281217208821</v>
      </c>
      <c r="I46">
        <v>50</v>
      </c>
      <c r="J46" t="s">
        <v>39</v>
      </c>
      <c r="K46">
        <f t="shared" si="72"/>
        <v>14</v>
      </c>
      <c r="L46">
        <f t="shared" si="73"/>
        <v>15</v>
      </c>
      <c r="M46">
        <f t="shared" si="74"/>
        <v>483000</v>
      </c>
      <c r="N46">
        <f t="shared" si="75"/>
        <v>565000</v>
      </c>
      <c r="O46">
        <f t="shared" si="76"/>
        <v>2.8799444073326219</v>
      </c>
      <c r="Q46" t="s">
        <v>42</v>
      </c>
      <c r="R46" t="s">
        <v>43</v>
      </c>
      <c r="S46">
        <f t="shared" si="77"/>
        <v>18</v>
      </c>
      <c r="T46">
        <f t="shared" si="17"/>
        <v>37</v>
      </c>
      <c r="U46">
        <f t="shared" si="18"/>
        <v>0</v>
      </c>
      <c r="V46">
        <f t="shared" si="19"/>
        <v>0</v>
      </c>
      <c r="W46">
        <v>0.9</v>
      </c>
      <c r="X46">
        <v>1</v>
      </c>
      <c r="Y46">
        <f t="shared" si="20"/>
        <v>15.095944128280532</v>
      </c>
      <c r="Z46">
        <v>0.75</v>
      </c>
      <c r="AD46">
        <f t="shared" si="64"/>
        <v>1.5549115655496644E-2</v>
      </c>
      <c r="AK46">
        <f t="shared" si="65"/>
        <v>0.10682672704917365</v>
      </c>
      <c r="AL46">
        <f t="shared" si="66"/>
        <v>1.1068267270491736</v>
      </c>
      <c r="AM46">
        <v>-2.307229</v>
      </c>
      <c r="AN46">
        <v>0.5852366</v>
      </c>
      <c r="AO46">
        <v>0.201322</v>
      </c>
      <c r="AY46">
        <v>1.4274935</v>
      </c>
      <c r="AZ46">
        <v>-7.1050000000000002E-3</v>
      </c>
      <c r="BA46">
        <v>5.1415999999999996E-3</v>
      </c>
      <c r="BB46">
        <v>-1.4290590000000001</v>
      </c>
      <c r="BC46">
        <v>4.9200300000000002E-2</v>
      </c>
      <c r="BD46">
        <v>0.14513599999999999</v>
      </c>
      <c r="BE46">
        <v>2.0170299999999999E-2</v>
      </c>
      <c r="BF46">
        <v>-1.032025</v>
      </c>
      <c r="BH46">
        <f t="shared" si="67"/>
        <v>1</v>
      </c>
      <c r="BI46">
        <f t="shared" si="68"/>
        <v>0</v>
      </c>
      <c r="BJ46">
        <f t="shared" si="44"/>
        <v>1</v>
      </c>
      <c r="BM46">
        <f t="shared" si="47"/>
        <v>-0.60734497651924468</v>
      </c>
      <c r="BS46">
        <f t="shared" si="69"/>
        <v>-0.60734497651924468</v>
      </c>
      <c r="BT46">
        <f t="shared" si="70"/>
        <v>0</v>
      </c>
      <c r="BU46">
        <f t="shared" si="71"/>
        <v>-1.9933595677024019E-2</v>
      </c>
      <c r="BV46">
        <f t="shared" si="59"/>
        <v>0.9802637648971958</v>
      </c>
      <c r="BW46">
        <f t="shared" si="60"/>
        <v>1.0000000000000001E-5</v>
      </c>
      <c r="BX46">
        <f t="shared" si="61"/>
        <v>0.9802637648971958</v>
      </c>
      <c r="BY46">
        <v>0.72299999999999998</v>
      </c>
      <c r="BZ46">
        <f t="shared" si="62"/>
        <v>0.01</v>
      </c>
      <c r="CA46">
        <f t="shared" si="63"/>
        <v>0.72299999999999998</v>
      </c>
      <c r="CB46">
        <v>0.3</v>
      </c>
      <c r="CC46">
        <v>0.3</v>
      </c>
      <c r="CD46">
        <v>0.3</v>
      </c>
    </row>
    <row r="47" spans="1:82" x14ac:dyDescent="0.25">
      <c r="A47">
        <v>24</v>
      </c>
      <c r="B47">
        <v>87</v>
      </c>
      <c r="C47" t="str">
        <f t="shared" si="52"/>
        <v>SSTens</v>
      </c>
      <c r="D47">
        <v>0.50800000000000001</v>
      </c>
      <c r="E47">
        <f t="shared" si="14"/>
        <v>508</v>
      </c>
      <c r="F47">
        <v>1.1130000000000001E-2</v>
      </c>
      <c r="G47">
        <f t="shared" si="15"/>
        <v>11.13</v>
      </c>
      <c r="H47">
        <f t="shared" si="16"/>
        <v>45.642407906558844</v>
      </c>
      <c r="I47">
        <v>100</v>
      </c>
      <c r="J47" t="s">
        <v>41</v>
      </c>
      <c r="K47">
        <f t="shared" si="72"/>
        <v>15</v>
      </c>
      <c r="L47">
        <f t="shared" si="73"/>
        <v>20</v>
      </c>
      <c r="M47">
        <f t="shared" si="74"/>
        <v>552000</v>
      </c>
      <c r="N47">
        <f t="shared" si="75"/>
        <v>625000</v>
      </c>
      <c r="O47">
        <f t="shared" si="76"/>
        <v>2.9888368774026359</v>
      </c>
      <c r="Q47" t="s">
        <v>42</v>
      </c>
      <c r="R47" t="s">
        <v>43</v>
      </c>
      <c r="S47">
        <f t="shared" si="77"/>
        <v>18</v>
      </c>
      <c r="T47">
        <f t="shared" si="17"/>
        <v>37</v>
      </c>
      <c r="U47">
        <f t="shared" si="18"/>
        <v>0</v>
      </c>
      <c r="V47">
        <f t="shared" si="19"/>
        <v>0</v>
      </c>
      <c r="W47">
        <v>0.9</v>
      </c>
      <c r="X47">
        <v>2</v>
      </c>
      <c r="Y47">
        <f t="shared" si="20"/>
        <v>37.739860320701332</v>
      </c>
      <c r="Z47">
        <v>0.75</v>
      </c>
      <c r="AD47">
        <f t="shared" si="64"/>
        <v>3.4007223585342139E-2</v>
      </c>
      <c r="AK47">
        <f t="shared" si="65"/>
        <v>0.21447307251904243</v>
      </c>
      <c r="AL47">
        <f t="shared" si="66"/>
        <v>1.7144730725190425</v>
      </c>
      <c r="AM47">
        <v>-2.307229</v>
      </c>
      <c r="AN47">
        <v>0.5852366</v>
      </c>
      <c r="AO47">
        <v>0.201322</v>
      </c>
      <c r="AY47">
        <v>1.4274935</v>
      </c>
      <c r="AZ47">
        <v>-7.1050000000000002E-3</v>
      </c>
      <c r="BA47">
        <v>5.1415999999999996E-3</v>
      </c>
      <c r="BB47">
        <v>-1.4290590000000001</v>
      </c>
      <c r="BC47">
        <v>4.9200300000000002E-2</v>
      </c>
      <c r="BD47">
        <v>0.14513599999999999</v>
      </c>
      <c r="BE47">
        <v>2.0170299999999999E-2</v>
      </c>
      <c r="BF47">
        <v>-1.032025</v>
      </c>
      <c r="BH47">
        <f t="shared" si="67"/>
        <v>1</v>
      </c>
      <c r="BI47">
        <f t="shared" si="68"/>
        <v>0</v>
      </c>
      <c r="BJ47">
        <f t="shared" si="44"/>
        <v>1</v>
      </c>
      <c r="BM47">
        <f t="shared" si="47"/>
        <v>-0.70001772829745168</v>
      </c>
      <c r="BS47">
        <f t="shared" si="69"/>
        <v>-0.70001772829745168</v>
      </c>
      <c r="BT47">
        <f t="shared" si="70"/>
        <v>0</v>
      </c>
      <c r="BU47">
        <f t="shared" si="71"/>
        <v>0.13479469944695044</v>
      </c>
      <c r="BV47">
        <f t="shared" si="59"/>
        <v>1.1443018344350007</v>
      </c>
      <c r="BW47">
        <f t="shared" si="60"/>
        <v>1.0000000000000001E-5</v>
      </c>
      <c r="BX47">
        <f t="shared" si="61"/>
        <v>1.1443018344350007</v>
      </c>
      <c r="BY47">
        <v>0.72299999999999998</v>
      </c>
      <c r="BZ47">
        <f t="shared" si="62"/>
        <v>0.01</v>
      </c>
      <c r="CA47">
        <f t="shared" si="63"/>
        <v>0.72299999999999998</v>
      </c>
      <c r="CB47">
        <v>0.3</v>
      </c>
      <c r="CC47">
        <v>0.3</v>
      </c>
      <c r="CD47">
        <v>0.3</v>
      </c>
    </row>
    <row r="48" spans="1:82" x14ac:dyDescent="0.25">
      <c r="A48">
        <v>25</v>
      </c>
      <c r="B48">
        <v>85</v>
      </c>
      <c r="C48" t="str">
        <f t="shared" si="52"/>
        <v>SSTens</v>
      </c>
      <c r="D48">
        <v>0.60960000000000003</v>
      </c>
      <c r="E48">
        <f t="shared" si="14"/>
        <v>609.6</v>
      </c>
      <c r="F48">
        <v>9.5299999999999985E-3</v>
      </c>
      <c r="G48">
        <f t="shared" si="15"/>
        <v>9.5299999999999994</v>
      </c>
      <c r="H48">
        <f t="shared" si="16"/>
        <v>63.966421825813235</v>
      </c>
      <c r="I48">
        <v>15</v>
      </c>
      <c r="J48" t="s">
        <v>34</v>
      </c>
      <c r="K48">
        <f t="shared" si="72"/>
        <v>8</v>
      </c>
      <c r="L48">
        <f t="shared" si="73"/>
        <v>10</v>
      </c>
      <c r="M48">
        <f t="shared" si="74"/>
        <v>359000</v>
      </c>
      <c r="N48">
        <f t="shared" si="75"/>
        <v>455000</v>
      </c>
      <c r="O48">
        <f t="shared" si="76"/>
        <v>1.9969902892117808</v>
      </c>
      <c r="Q48" t="s">
        <v>42</v>
      </c>
      <c r="R48" t="s">
        <v>44</v>
      </c>
      <c r="S48">
        <f t="shared" si="77"/>
        <v>18.5</v>
      </c>
      <c r="T48">
        <f t="shared" si="17"/>
        <v>40</v>
      </c>
      <c r="U48">
        <f t="shared" si="18"/>
        <v>0</v>
      </c>
      <c r="V48">
        <f t="shared" si="19"/>
        <v>0</v>
      </c>
      <c r="W48">
        <v>0.9</v>
      </c>
      <c r="X48">
        <v>1</v>
      </c>
      <c r="Y48">
        <f t="shared" si="20"/>
        <v>25.741129539100392</v>
      </c>
      <c r="Z48">
        <v>2.75</v>
      </c>
      <c r="AD48">
        <f t="shared" si="64"/>
        <v>2.3022068268715178E-2</v>
      </c>
      <c r="AK48">
        <f t="shared" si="65"/>
        <v>8.1563860325678486E-2</v>
      </c>
      <c r="AL48">
        <f t="shared" si="66"/>
        <v>1.0815638603256785</v>
      </c>
      <c r="AM48">
        <v>-2.307229</v>
      </c>
      <c r="AN48">
        <v>0.5852366</v>
      </c>
      <c r="AO48">
        <v>0.201322</v>
      </c>
      <c r="AY48">
        <v>1.4274935</v>
      </c>
      <c r="AZ48">
        <v>-7.1050000000000002E-3</v>
      </c>
      <c r="BA48">
        <v>5.1415999999999996E-3</v>
      </c>
      <c r="BB48">
        <v>-1.4290590000000001</v>
      </c>
      <c r="BC48">
        <v>4.9200300000000002E-2</v>
      </c>
      <c r="BD48">
        <v>0.14513599999999999</v>
      </c>
      <c r="BE48">
        <v>2.0170299999999999E-2</v>
      </c>
      <c r="BF48">
        <v>-1.032025</v>
      </c>
      <c r="BH48">
        <f t="shared" si="67"/>
        <v>0</v>
      </c>
      <c r="BI48">
        <f t="shared" si="68"/>
        <v>0</v>
      </c>
      <c r="BJ48">
        <f t="shared" si="44"/>
        <v>1</v>
      </c>
      <c r="BM48">
        <f t="shared" si="47"/>
        <v>0</v>
      </c>
      <c r="BS48">
        <f t="shared" si="69"/>
        <v>0</v>
      </c>
      <c r="BT48">
        <f t="shared" si="70"/>
        <v>0</v>
      </c>
      <c r="BU48">
        <f t="shared" si="71"/>
        <v>0.78030645715329561</v>
      </c>
      <c r="BV48">
        <f t="shared" si="59"/>
        <v>2.1821408957267043</v>
      </c>
      <c r="BW48">
        <f t="shared" si="60"/>
        <v>1.0000000000000001E-5</v>
      </c>
      <c r="BX48">
        <f t="shared" si="61"/>
        <v>2.1821408957267043</v>
      </c>
      <c r="BY48">
        <v>0.72299999999999998</v>
      </c>
      <c r="BZ48">
        <f t="shared" si="62"/>
        <v>0.01</v>
      </c>
      <c r="CA48">
        <f t="shared" si="63"/>
        <v>0.72299999999999998</v>
      </c>
      <c r="CB48">
        <v>0.3</v>
      </c>
      <c r="CC48">
        <v>0.3</v>
      </c>
      <c r="CD48">
        <v>0.3</v>
      </c>
    </row>
    <row r="49" spans="1:82" x14ac:dyDescent="0.25">
      <c r="A49">
        <v>26</v>
      </c>
      <c r="B49">
        <v>85</v>
      </c>
      <c r="C49" t="str">
        <f t="shared" si="52"/>
        <v>SSTens</v>
      </c>
      <c r="D49">
        <v>0.76200000000000001</v>
      </c>
      <c r="E49">
        <f t="shared" si="14"/>
        <v>762</v>
      </c>
      <c r="F49">
        <v>1.2699999999999999E-2</v>
      </c>
      <c r="G49">
        <f t="shared" si="15"/>
        <v>12.7</v>
      </c>
      <c r="H49">
        <f t="shared" si="16"/>
        <v>60</v>
      </c>
      <c r="I49">
        <v>30</v>
      </c>
      <c r="J49" t="s">
        <v>37</v>
      </c>
      <c r="K49">
        <f t="shared" si="72"/>
        <v>8</v>
      </c>
      <c r="L49">
        <f t="shared" si="73"/>
        <v>12</v>
      </c>
      <c r="M49">
        <f t="shared" si="74"/>
        <v>414000</v>
      </c>
      <c r="N49">
        <f t="shared" si="75"/>
        <v>517000</v>
      </c>
      <c r="O49">
        <f t="shared" si="76"/>
        <v>2.5466769467238102</v>
      </c>
      <c r="Q49" t="s">
        <v>42</v>
      </c>
      <c r="R49" t="s">
        <v>44</v>
      </c>
      <c r="S49">
        <f t="shared" si="77"/>
        <v>18.5</v>
      </c>
      <c r="T49">
        <f t="shared" si="17"/>
        <v>40</v>
      </c>
      <c r="U49">
        <f t="shared" si="18"/>
        <v>0</v>
      </c>
      <c r="V49">
        <f t="shared" si="19"/>
        <v>0</v>
      </c>
      <c r="W49">
        <v>0.9</v>
      </c>
      <c r="X49">
        <v>2</v>
      </c>
      <c r="Y49">
        <f t="shared" si="20"/>
        <v>64.352823847750969</v>
      </c>
      <c r="Z49">
        <v>3.5</v>
      </c>
      <c r="AD49">
        <f t="shared" si="64"/>
        <v>5.5061025879364095E-2</v>
      </c>
      <c r="AK49">
        <f t="shared" si="65"/>
        <v>0.24733311166742666</v>
      </c>
      <c r="AL49">
        <f t="shared" si="66"/>
        <v>1.2473331116674267</v>
      </c>
      <c r="AM49">
        <v>-2.307229</v>
      </c>
      <c r="AN49">
        <v>0.5852366</v>
      </c>
      <c r="AO49">
        <v>0.201322</v>
      </c>
      <c r="AY49">
        <v>1.4274935</v>
      </c>
      <c r="AZ49">
        <v>-7.1050000000000002E-3</v>
      </c>
      <c r="BA49">
        <v>5.1415999999999996E-3</v>
      </c>
      <c r="BB49">
        <v>-1.4290590000000001</v>
      </c>
      <c r="BC49">
        <v>4.9200300000000002E-2</v>
      </c>
      <c r="BD49">
        <v>0.14513599999999999</v>
      </c>
      <c r="BE49">
        <v>2.0170299999999999E-2</v>
      </c>
      <c r="BF49">
        <v>-1.032025</v>
      </c>
      <c r="BH49">
        <f t="shared" si="67"/>
        <v>0</v>
      </c>
      <c r="BI49">
        <f t="shared" si="68"/>
        <v>1</v>
      </c>
      <c r="BJ49">
        <f t="shared" si="44"/>
        <v>1</v>
      </c>
      <c r="BM49">
        <f t="shared" si="47"/>
        <v>3.440732629929924E-2</v>
      </c>
      <c r="BS49">
        <f t="shared" si="69"/>
        <v>0</v>
      </c>
      <c r="BT49">
        <f t="shared" si="70"/>
        <v>3.440732629929924E-2</v>
      </c>
      <c r="BU49">
        <f t="shared" si="71"/>
        <v>1.0477384074527265</v>
      </c>
      <c r="BV49">
        <f t="shared" si="59"/>
        <v>2.8511955782437828</v>
      </c>
      <c r="BW49">
        <f t="shared" si="60"/>
        <v>1.0000000000000001E-5</v>
      </c>
      <c r="BX49">
        <f t="shared" si="61"/>
        <v>2.8511955782437828</v>
      </c>
      <c r="BY49">
        <v>0.72299999999999998</v>
      </c>
      <c r="BZ49">
        <f t="shared" si="62"/>
        <v>0.01</v>
      </c>
      <c r="CA49">
        <f t="shared" si="63"/>
        <v>0.72299999999999998</v>
      </c>
      <c r="CB49">
        <v>0.3</v>
      </c>
      <c r="CC49">
        <v>0.3</v>
      </c>
      <c r="CD49">
        <v>0.3</v>
      </c>
    </row>
    <row r="50" spans="1:82" x14ac:dyDescent="0.25">
      <c r="A50">
        <v>27</v>
      </c>
      <c r="B50">
        <v>89</v>
      </c>
      <c r="C50" t="str">
        <f t="shared" si="52"/>
        <v>SSTens</v>
      </c>
      <c r="D50">
        <v>0.86360000000000003</v>
      </c>
      <c r="E50">
        <f t="shared" si="14"/>
        <v>863.6</v>
      </c>
      <c r="F50">
        <v>1.1130000000000001E-2</v>
      </c>
      <c r="G50">
        <f t="shared" si="15"/>
        <v>11.13</v>
      </c>
      <c r="H50">
        <f t="shared" si="16"/>
        <v>77.592093441150041</v>
      </c>
      <c r="I50">
        <v>50</v>
      </c>
      <c r="J50" t="s">
        <v>39</v>
      </c>
      <c r="K50">
        <f t="shared" si="72"/>
        <v>14</v>
      </c>
      <c r="L50">
        <f t="shared" si="73"/>
        <v>15</v>
      </c>
      <c r="M50">
        <f t="shared" si="74"/>
        <v>483000</v>
      </c>
      <c r="N50">
        <f t="shared" si="75"/>
        <v>565000</v>
      </c>
      <c r="O50">
        <f t="shared" si="76"/>
        <v>2.8799444073326219</v>
      </c>
      <c r="Q50" t="s">
        <v>42</v>
      </c>
      <c r="R50" t="s">
        <v>44</v>
      </c>
      <c r="S50">
        <f t="shared" si="77"/>
        <v>18.5</v>
      </c>
      <c r="T50">
        <f t="shared" si="17"/>
        <v>40</v>
      </c>
      <c r="U50">
        <f t="shared" si="18"/>
        <v>0</v>
      </c>
      <c r="V50">
        <f t="shared" si="19"/>
        <v>0</v>
      </c>
      <c r="W50">
        <v>0.9</v>
      </c>
      <c r="X50">
        <v>1</v>
      </c>
      <c r="Y50">
        <f t="shared" si="20"/>
        <v>36.46660018039222</v>
      </c>
      <c r="Z50">
        <v>1.5</v>
      </c>
      <c r="AD50">
        <f t="shared" si="64"/>
        <v>3.2859347057707114E-2</v>
      </c>
      <c r="AK50">
        <f t="shared" si="65"/>
        <v>0.19145887314252977</v>
      </c>
      <c r="AL50">
        <f t="shared" si="66"/>
        <v>1.1914588731425297</v>
      </c>
      <c r="AM50">
        <v>-2.307229</v>
      </c>
      <c r="AN50">
        <v>0.5852366</v>
      </c>
      <c r="AO50">
        <v>0.201322</v>
      </c>
      <c r="AY50">
        <v>1.4274935</v>
      </c>
      <c r="AZ50">
        <v>-7.1050000000000002E-3</v>
      </c>
      <c r="BA50">
        <v>5.1415999999999996E-3</v>
      </c>
      <c r="BB50">
        <v>-1.4290590000000001</v>
      </c>
      <c r="BC50">
        <v>4.9200300000000002E-2</v>
      </c>
      <c r="BD50">
        <v>0.14513599999999999</v>
      </c>
      <c r="BE50">
        <v>2.0170299999999999E-2</v>
      </c>
      <c r="BF50">
        <v>-1.032025</v>
      </c>
      <c r="BH50">
        <f t="shared" si="67"/>
        <v>0</v>
      </c>
      <c r="BI50">
        <f t="shared" si="68"/>
        <v>0</v>
      </c>
      <c r="BJ50">
        <f t="shared" si="44"/>
        <v>1</v>
      </c>
      <c r="BM50">
        <f t="shared" si="47"/>
        <v>0</v>
      </c>
      <c r="BS50">
        <f t="shared" si="69"/>
        <v>0</v>
      </c>
      <c r="BT50">
        <f t="shared" si="70"/>
        <v>0</v>
      </c>
      <c r="BU50">
        <f t="shared" si="71"/>
        <v>0.963441685919739</v>
      </c>
      <c r="BV50">
        <f t="shared" si="59"/>
        <v>2.6207005981990892</v>
      </c>
      <c r="BW50">
        <f t="shared" si="60"/>
        <v>1.0000000000000001E-5</v>
      </c>
      <c r="BX50">
        <f t="shared" si="61"/>
        <v>2.6207005981990892</v>
      </c>
      <c r="BY50">
        <v>0.72299999999999998</v>
      </c>
      <c r="BZ50">
        <f t="shared" si="62"/>
        <v>0.01</v>
      </c>
      <c r="CA50">
        <f t="shared" si="63"/>
        <v>0.72299999999999998</v>
      </c>
      <c r="CB50">
        <v>0.3</v>
      </c>
      <c r="CC50">
        <v>0.3</v>
      </c>
      <c r="CD50">
        <v>0.3</v>
      </c>
    </row>
    <row r="51" spans="1:82" x14ac:dyDescent="0.25">
      <c r="A51">
        <v>28</v>
      </c>
      <c r="B51">
        <v>89</v>
      </c>
      <c r="C51" t="str">
        <f t="shared" si="52"/>
        <v>SSTens</v>
      </c>
      <c r="D51">
        <v>1.0668</v>
      </c>
      <c r="E51">
        <f t="shared" si="14"/>
        <v>1066.8</v>
      </c>
      <c r="F51">
        <v>1.2699999999999999E-2</v>
      </c>
      <c r="G51">
        <f t="shared" si="15"/>
        <v>12.7</v>
      </c>
      <c r="H51">
        <f t="shared" si="16"/>
        <v>84</v>
      </c>
      <c r="I51">
        <v>100</v>
      </c>
      <c r="J51" t="s">
        <v>41</v>
      </c>
      <c r="K51">
        <f t="shared" si="72"/>
        <v>15</v>
      </c>
      <c r="L51">
        <f t="shared" si="73"/>
        <v>20</v>
      </c>
      <c r="M51">
        <f t="shared" si="74"/>
        <v>552000</v>
      </c>
      <c r="N51">
        <f t="shared" si="75"/>
        <v>625000</v>
      </c>
      <c r="O51">
        <f t="shared" si="76"/>
        <v>2.9888368774026359</v>
      </c>
      <c r="Q51" t="s">
        <v>42</v>
      </c>
      <c r="R51" t="s">
        <v>45</v>
      </c>
      <c r="S51">
        <f t="shared" si="77"/>
        <v>19</v>
      </c>
      <c r="T51">
        <f t="shared" si="17"/>
        <v>43</v>
      </c>
      <c r="U51">
        <f t="shared" si="18"/>
        <v>0</v>
      </c>
      <c r="V51">
        <f t="shared" si="19"/>
        <v>0</v>
      </c>
      <c r="W51">
        <v>0.9</v>
      </c>
      <c r="X51">
        <v>2</v>
      </c>
      <c r="Y51">
        <f t="shared" si="20"/>
        <v>102.03070645435936</v>
      </c>
      <c r="Z51">
        <v>1.5</v>
      </c>
      <c r="AD51">
        <f t="shared" si="64"/>
        <v>8.6082808953605136E-2</v>
      </c>
      <c r="AK51">
        <f t="shared" si="65"/>
        <v>0.46595416078021362</v>
      </c>
      <c r="AL51">
        <f t="shared" si="66"/>
        <v>1.9659541607802136</v>
      </c>
      <c r="AM51">
        <v>-2.307229</v>
      </c>
      <c r="AN51">
        <v>0.5852366</v>
      </c>
      <c r="AO51">
        <v>0.201322</v>
      </c>
      <c r="AY51">
        <v>1.4274935</v>
      </c>
      <c r="AZ51">
        <v>-7.1050000000000002E-3</v>
      </c>
      <c r="BA51">
        <v>5.1415999999999996E-3</v>
      </c>
      <c r="BB51">
        <v>-1.4290590000000001</v>
      </c>
      <c r="BC51">
        <v>4.9200300000000002E-2</v>
      </c>
      <c r="BD51">
        <v>0.14513599999999999</v>
      </c>
      <c r="BE51">
        <v>2.0170299999999999E-2</v>
      </c>
      <c r="BF51">
        <v>-1.032025</v>
      </c>
      <c r="BH51">
        <f t="shared" si="67"/>
        <v>1</v>
      </c>
      <c r="BI51">
        <f t="shared" si="68"/>
        <v>0</v>
      </c>
      <c r="BJ51">
        <f t="shared" si="44"/>
        <v>1</v>
      </c>
      <c r="BM51">
        <f t="shared" si="47"/>
        <v>-6.8622394401109219E-2</v>
      </c>
      <c r="BS51">
        <f t="shared" si="69"/>
        <v>-6.8622394401109219E-2</v>
      </c>
      <c r="BT51">
        <f t="shared" si="70"/>
        <v>0</v>
      </c>
      <c r="BU51">
        <f t="shared" si="71"/>
        <v>1.1140829412852633</v>
      </c>
      <c r="BV51">
        <f t="shared" si="59"/>
        <v>3.0467728280542432</v>
      </c>
      <c r="BW51">
        <f t="shared" si="60"/>
        <v>1.0000000000000001E-5</v>
      </c>
      <c r="BX51">
        <f t="shared" si="61"/>
        <v>3.0467728280542432</v>
      </c>
      <c r="BY51">
        <v>0.72299999999999998</v>
      </c>
      <c r="BZ51">
        <f t="shared" si="62"/>
        <v>0.01</v>
      </c>
      <c r="CA51">
        <f t="shared" si="63"/>
        <v>0.72299999999999998</v>
      </c>
      <c r="CB51">
        <v>0.3</v>
      </c>
      <c r="CC51">
        <v>0.3</v>
      </c>
      <c r="CD51">
        <v>0.3</v>
      </c>
    </row>
    <row r="52" spans="1:82" x14ac:dyDescent="0.25">
      <c r="A52">
        <v>29</v>
      </c>
      <c r="B52">
        <v>88</v>
      </c>
      <c r="C52" t="str">
        <f t="shared" si="52"/>
        <v>SSTens</v>
      </c>
      <c r="D52">
        <v>0.60960000000000003</v>
      </c>
      <c r="E52">
        <f t="shared" si="14"/>
        <v>609.6</v>
      </c>
      <c r="F52">
        <v>1.1130000000000001E-2</v>
      </c>
      <c r="G52">
        <f t="shared" si="15"/>
        <v>11.13</v>
      </c>
      <c r="H52">
        <f t="shared" si="16"/>
        <v>54.770889487870619</v>
      </c>
      <c r="I52">
        <v>150</v>
      </c>
      <c r="J52" t="s">
        <v>64</v>
      </c>
      <c r="K52">
        <f t="shared" si="72"/>
        <v>3</v>
      </c>
      <c r="L52">
        <f t="shared" si="73"/>
        <v>9</v>
      </c>
      <c r="M52">
        <f t="shared" si="74"/>
        <v>290000</v>
      </c>
      <c r="N52">
        <f t="shared" si="75"/>
        <v>414000</v>
      </c>
      <c r="O52">
        <f t="shared" si="76"/>
        <v>1.7363704307629526</v>
      </c>
      <c r="Q52" t="s">
        <v>42</v>
      </c>
      <c r="R52" t="s">
        <v>45</v>
      </c>
      <c r="S52">
        <f t="shared" si="77"/>
        <v>19</v>
      </c>
      <c r="T52">
        <f t="shared" si="17"/>
        <v>43</v>
      </c>
      <c r="U52">
        <f t="shared" si="18"/>
        <v>0</v>
      </c>
      <c r="V52">
        <f t="shared" si="19"/>
        <v>0</v>
      </c>
      <c r="W52">
        <v>0.9</v>
      </c>
      <c r="X52">
        <v>1</v>
      </c>
      <c r="Y52">
        <f t="shared" si="20"/>
        <v>29.151630415531248</v>
      </c>
      <c r="Z52">
        <v>1.5</v>
      </c>
      <c r="AD52">
        <f t="shared" si="64"/>
        <v>2.5345463138869703E-2</v>
      </c>
      <c r="AK52">
        <f t="shared" si="65"/>
        <v>0.20709526914689702</v>
      </c>
      <c r="AL52">
        <f t="shared" si="66"/>
        <v>1.707095269146897</v>
      </c>
      <c r="AM52">
        <v>-2.307229</v>
      </c>
      <c r="AN52">
        <v>0.5852366</v>
      </c>
      <c r="AO52">
        <v>0.201322</v>
      </c>
      <c r="AY52">
        <v>1.4274935</v>
      </c>
      <c r="AZ52">
        <v>-7.1050000000000002E-3</v>
      </c>
      <c r="BA52">
        <v>5.1415999999999996E-3</v>
      </c>
      <c r="BB52">
        <v>-1.4290590000000001</v>
      </c>
      <c r="BC52">
        <v>4.9200300000000002E-2</v>
      </c>
      <c r="BD52">
        <v>0.14513599999999999</v>
      </c>
      <c r="BE52">
        <v>2.0170299999999999E-2</v>
      </c>
      <c r="BF52">
        <v>-1.032025</v>
      </c>
      <c r="BH52">
        <f t="shared" si="67"/>
        <v>0</v>
      </c>
      <c r="BI52">
        <f t="shared" si="68"/>
        <v>0</v>
      </c>
      <c r="BJ52">
        <f t="shared" si="44"/>
        <v>1</v>
      </c>
      <c r="BM52">
        <f t="shared" si="47"/>
        <v>0</v>
      </c>
      <c r="BS52">
        <f t="shared" si="69"/>
        <v>0</v>
      </c>
      <c r="BT52">
        <f t="shared" si="70"/>
        <v>0</v>
      </c>
      <c r="BU52">
        <f t="shared" si="71"/>
        <v>0.71452669621160059</v>
      </c>
      <c r="BV52">
        <f t="shared" si="59"/>
        <v>2.0432193898872777</v>
      </c>
      <c r="BW52">
        <f t="shared" si="60"/>
        <v>1.0000000000000001E-5</v>
      </c>
      <c r="BX52">
        <f t="shared" si="61"/>
        <v>2.0432193898872777</v>
      </c>
      <c r="BY52">
        <v>0.72299999999999998</v>
      </c>
      <c r="BZ52">
        <f t="shared" si="62"/>
        <v>0.01</v>
      </c>
      <c r="CA52">
        <f t="shared" si="63"/>
        <v>0.72299999999999998</v>
      </c>
      <c r="CB52">
        <v>0.3</v>
      </c>
      <c r="CC52">
        <v>0.3</v>
      </c>
      <c r="CD52">
        <v>0.3</v>
      </c>
    </row>
    <row r="53" spans="1:82" x14ac:dyDescent="0.25">
      <c r="A53">
        <v>30</v>
      </c>
      <c r="B53">
        <v>89</v>
      </c>
      <c r="C53" t="str">
        <f t="shared" si="52"/>
        <v>SSTens</v>
      </c>
      <c r="D53">
        <v>0.60960000000000003</v>
      </c>
      <c r="E53">
        <f t="shared" si="14"/>
        <v>609.6</v>
      </c>
      <c r="F53">
        <v>1.1130000000000001E-2</v>
      </c>
      <c r="G53">
        <f t="shared" si="15"/>
        <v>11.13</v>
      </c>
      <c r="H53">
        <f t="shared" si="16"/>
        <v>54.770889487870619</v>
      </c>
      <c r="I53">
        <v>200</v>
      </c>
      <c r="J53" t="s">
        <v>65</v>
      </c>
      <c r="K53">
        <f t="shared" si="72"/>
        <v>3</v>
      </c>
      <c r="L53">
        <f t="shared" si="73"/>
        <v>8</v>
      </c>
      <c r="M53">
        <f t="shared" si="74"/>
        <v>241000</v>
      </c>
      <c r="N53">
        <f t="shared" si="75"/>
        <v>344000</v>
      </c>
      <c r="O53">
        <f t="shared" si="76"/>
        <v>1.1599577949833839</v>
      </c>
      <c r="Q53" t="s">
        <v>42</v>
      </c>
      <c r="R53" t="s">
        <v>45</v>
      </c>
      <c r="S53">
        <f t="shared" si="77"/>
        <v>19</v>
      </c>
      <c r="T53">
        <f t="shared" si="17"/>
        <v>43</v>
      </c>
      <c r="U53">
        <f t="shared" si="18"/>
        <v>0</v>
      </c>
      <c r="V53">
        <f t="shared" si="19"/>
        <v>0</v>
      </c>
      <c r="W53">
        <v>0.9</v>
      </c>
      <c r="X53">
        <v>2</v>
      </c>
      <c r="Y53">
        <f t="shared" si="20"/>
        <v>58.303260831062495</v>
      </c>
      <c r="Z53">
        <v>2.75</v>
      </c>
      <c r="AD53">
        <f t="shared" si="64"/>
        <v>4.7691565842539682E-2</v>
      </c>
      <c r="AK53">
        <f t="shared" si="65"/>
        <v>0.31151836593386051</v>
      </c>
      <c r="AL53">
        <f t="shared" si="66"/>
        <v>1.8115183659338605</v>
      </c>
      <c r="AM53">
        <v>-2.307229</v>
      </c>
      <c r="AN53">
        <v>0.5852366</v>
      </c>
      <c r="AO53">
        <v>0.201322</v>
      </c>
      <c r="AY53">
        <v>1.4274935</v>
      </c>
      <c r="AZ53">
        <v>-7.1050000000000002E-3</v>
      </c>
      <c r="BA53">
        <v>5.1415999999999996E-3</v>
      </c>
      <c r="BB53">
        <v>-1.4290590000000001</v>
      </c>
      <c r="BC53">
        <v>4.9200300000000002E-2</v>
      </c>
      <c r="BD53">
        <v>0.14513599999999999</v>
      </c>
      <c r="BE53">
        <v>2.0170299999999999E-2</v>
      </c>
      <c r="BF53">
        <v>-1.032025</v>
      </c>
      <c r="BH53">
        <f t="shared" si="67"/>
        <v>0</v>
      </c>
      <c r="BI53">
        <f t="shared" si="68"/>
        <v>0</v>
      </c>
      <c r="BJ53">
        <f t="shared" si="44"/>
        <v>1</v>
      </c>
      <c r="BM53">
        <f t="shared" si="47"/>
        <v>0</v>
      </c>
      <c r="BS53">
        <f t="shared" si="69"/>
        <v>0</v>
      </c>
      <c r="BT53">
        <f t="shared" si="70"/>
        <v>0</v>
      </c>
      <c r="BU53">
        <f t="shared" si="71"/>
        <v>0.85407247289628985</v>
      </c>
      <c r="BV53">
        <f t="shared" si="59"/>
        <v>2.3491944282446702</v>
      </c>
      <c r="BW53">
        <f t="shared" si="60"/>
        <v>1.0000000000000001E-5</v>
      </c>
      <c r="BX53">
        <f t="shared" si="61"/>
        <v>2.3491944282446702</v>
      </c>
      <c r="BY53">
        <v>0.72299999999999998</v>
      </c>
      <c r="BZ53">
        <f t="shared" si="62"/>
        <v>0.01</v>
      </c>
      <c r="CA53">
        <f t="shared" si="63"/>
        <v>0.72299999999999998</v>
      </c>
      <c r="CB53">
        <v>0.3</v>
      </c>
      <c r="CC53">
        <v>0.3</v>
      </c>
      <c r="CD53">
        <v>0.3</v>
      </c>
    </row>
    <row r="54" spans="1:82" x14ac:dyDescent="0.25">
      <c r="A54">
        <v>31</v>
      </c>
      <c r="B54">
        <v>85</v>
      </c>
      <c r="C54" t="str">
        <f t="shared" si="52"/>
        <v>SSTens</v>
      </c>
      <c r="D54">
        <v>0.20319999999999999</v>
      </c>
      <c r="E54">
        <f t="shared" si="14"/>
        <v>203.2</v>
      </c>
      <c r="F54">
        <v>5.5599999999999998E-3</v>
      </c>
      <c r="G54">
        <f t="shared" si="15"/>
        <v>5.56</v>
      </c>
      <c r="H54">
        <f t="shared" si="16"/>
        <v>36.546762589928058</v>
      </c>
      <c r="I54">
        <v>15</v>
      </c>
      <c r="J54" t="s">
        <v>34</v>
      </c>
      <c r="K54">
        <f t="shared" si="72"/>
        <v>8</v>
      </c>
      <c r="L54">
        <f t="shared" si="73"/>
        <v>10</v>
      </c>
      <c r="M54">
        <f t="shared" si="74"/>
        <v>359000</v>
      </c>
      <c r="N54">
        <f t="shared" si="75"/>
        <v>455000</v>
      </c>
      <c r="O54">
        <f t="shared" si="76"/>
        <v>1.9969902892117808</v>
      </c>
      <c r="Q54" t="s">
        <v>35</v>
      </c>
      <c r="R54" t="s">
        <v>36</v>
      </c>
      <c r="S54">
        <f t="shared" si="77"/>
        <v>17.5</v>
      </c>
      <c r="T54">
        <f t="shared" si="17"/>
        <v>0</v>
      </c>
      <c r="U54">
        <f t="shared" si="18"/>
        <v>37.5</v>
      </c>
      <c r="V54">
        <f t="shared" si="19"/>
        <v>1.1000000000000001</v>
      </c>
      <c r="W54">
        <v>0.9</v>
      </c>
      <c r="X54">
        <v>0</v>
      </c>
      <c r="Y54">
        <f t="shared" si="20"/>
        <v>26.332829622389642</v>
      </c>
      <c r="Z54">
        <v>0.75</v>
      </c>
      <c r="AD54">
        <f t="shared" si="64"/>
        <v>2.350134533617947E-2</v>
      </c>
      <c r="AK54">
        <f t="shared" si="65"/>
        <v>7.0401619555061065E-2</v>
      </c>
      <c r="AL54">
        <f t="shared" si="66"/>
        <v>1.070401619555061</v>
      </c>
      <c r="AM54">
        <v>-2.307229</v>
      </c>
      <c r="AN54">
        <v>0.5852366</v>
      </c>
      <c r="AO54">
        <v>0.201322</v>
      </c>
      <c r="AY54">
        <v>1.4274935</v>
      </c>
      <c r="AZ54">
        <v>-7.1050000000000002E-3</v>
      </c>
      <c r="BA54">
        <v>5.1415999999999996E-3</v>
      </c>
      <c r="BB54">
        <v>-1.4290590000000001</v>
      </c>
      <c r="BC54">
        <v>4.9200300000000002E-2</v>
      </c>
      <c r="BD54">
        <v>0.14513599999999999</v>
      </c>
      <c r="BE54">
        <v>2.0170299999999999E-2</v>
      </c>
      <c r="BF54">
        <v>-1.032025</v>
      </c>
      <c r="BH54">
        <f t="shared" si="67"/>
        <v>1</v>
      </c>
      <c r="BI54">
        <f t="shared" si="68"/>
        <v>0</v>
      </c>
      <c r="BJ54">
        <f t="shared" si="44"/>
        <v>0</v>
      </c>
      <c r="BM54">
        <f t="shared" si="47"/>
        <v>-0.51145365159113909</v>
      </c>
      <c r="BS54">
        <f t="shared" si="69"/>
        <v>-0.51145365159113909</v>
      </c>
      <c r="BT54">
        <f t="shared" si="70"/>
        <v>0</v>
      </c>
      <c r="BU54">
        <f t="shared" si="71"/>
        <v>-0.58479113632895929</v>
      </c>
      <c r="BV54">
        <f t="shared" si="59"/>
        <v>0.55722223314007857</v>
      </c>
      <c r="BW54">
        <f t="shared" si="60"/>
        <v>1.0000000000000001E-5</v>
      </c>
      <c r="BX54">
        <f t="shared" si="61"/>
        <v>0.55722223314007857</v>
      </c>
      <c r="BY54">
        <v>0.72299999999999998</v>
      </c>
      <c r="BZ54">
        <f t="shared" si="62"/>
        <v>0.01</v>
      </c>
      <c r="CA54">
        <f t="shared" si="63"/>
        <v>0.72299999999999998</v>
      </c>
      <c r="CB54">
        <v>0.3</v>
      </c>
      <c r="CC54">
        <v>0.3</v>
      </c>
      <c r="CD54">
        <v>0.3</v>
      </c>
    </row>
    <row r="55" spans="1:82" x14ac:dyDescent="0.25">
      <c r="A55">
        <v>32</v>
      </c>
      <c r="B55">
        <v>89</v>
      </c>
      <c r="C55" t="str">
        <f t="shared" si="52"/>
        <v>SSTens</v>
      </c>
      <c r="D55">
        <v>0.30480000000000002</v>
      </c>
      <c r="E55">
        <f t="shared" si="14"/>
        <v>304.8</v>
      </c>
      <c r="F55">
        <v>7.1399999999999996E-3</v>
      </c>
      <c r="G55">
        <f t="shared" si="15"/>
        <v>7.14</v>
      </c>
      <c r="H55">
        <f t="shared" si="16"/>
        <v>42.689075630252105</v>
      </c>
      <c r="I55">
        <v>30</v>
      </c>
      <c r="J55" t="s">
        <v>37</v>
      </c>
      <c r="K55">
        <f t="shared" si="72"/>
        <v>8</v>
      </c>
      <c r="L55">
        <f t="shared" si="73"/>
        <v>12</v>
      </c>
      <c r="M55">
        <f t="shared" si="74"/>
        <v>414000</v>
      </c>
      <c r="N55">
        <f t="shared" si="75"/>
        <v>517000</v>
      </c>
      <c r="O55">
        <f t="shared" si="76"/>
        <v>2.5466769467238102</v>
      </c>
      <c r="Q55" t="s">
        <v>35</v>
      </c>
      <c r="R55" t="s">
        <v>36</v>
      </c>
      <c r="S55">
        <f t="shared" si="77"/>
        <v>17.5</v>
      </c>
      <c r="T55">
        <f t="shared" si="17"/>
        <v>0</v>
      </c>
      <c r="U55">
        <f t="shared" si="18"/>
        <v>37.5</v>
      </c>
      <c r="V55">
        <f t="shared" si="19"/>
        <v>1.1000000000000001</v>
      </c>
      <c r="W55">
        <v>0.9</v>
      </c>
      <c r="X55">
        <v>0</v>
      </c>
      <c r="Y55">
        <f t="shared" si="20"/>
        <v>39.499244433584465</v>
      </c>
      <c r="Z55">
        <v>0.75</v>
      </c>
      <c r="AD55">
        <f t="shared" si="64"/>
        <v>3.4929626553889231E-2</v>
      </c>
      <c r="AK55">
        <f t="shared" si="65"/>
        <v>0.15301812852026347</v>
      </c>
      <c r="AL55">
        <f t="shared" si="66"/>
        <v>1.1530181285202634</v>
      </c>
      <c r="AM55">
        <v>-2.307229</v>
      </c>
      <c r="AN55">
        <v>0.5852366</v>
      </c>
      <c r="AO55">
        <v>0.201322</v>
      </c>
      <c r="AY55">
        <v>1.4274935</v>
      </c>
      <c r="AZ55">
        <v>-7.1050000000000002E-3</v>
      </c>
      <c r="BA55">
        <v>5.1415999999999996E-3</v>
      </c>
      <c r="BB55">
        <v>-1.4290590000000001</v>
      </c>
      <c r="BC55">
        <v>4.9200300000000002E-2</v>
      </c>
      <c r="BD55">
        <v>0.14513599999999999</v>
      </c>
      <c r="BE55">
        <v>2.0170299999999999E-2</v>
      </c>
      <c r="BF55">
        <v>-1.032025</v>
      </c>
      <c r="BH55">
        <f t="shared" si="67"/>
        <v>1</v>
      </c>
      <c r="BI55">
        <f t="shared" si="68"/>
        <v>0</v>
      </c>
      <c r="BJ55">
        <f t="shared" si="44"/>
        <v>0</v>
      </c>
      <c r="BM55">
        <f t="shared" si="47"/>
        <v>-0.60214698226649055</v>
      </c>
      <c r="BS55">
        <f t="shared" si="69"/>
        <v>-0.60214698226649055</v>
      </c>
      <c r="BT55">
        <f t="shared" si="70"/>
        <v>0</v>
      </c>
      <c r="BU55">
        <f t="shared" si="71"/>
        <v>-0.56189437101015471</v>
      </c>
      <c r="BV55">
        <f t="shared" si="59"/>
        <v>0.57012800624291049</v>
      </c>
      <c r="BW55">
        <f t="shared" si="60"/>
        <v>1.0000000000000001E-5</v>
      </c>
      <c r="BX55">
        <f t="shared" si="61"/>
        <v>0.57012800624291049</v>
      </c>
      <c r="BY55">
        <v>0.72299999999999998</v>
      </c>
      <c r="BZ55">
        <f t="shared" si="62"/>
        <v>0.01</v>
      </c>
      <c r="CA55">
        <f t="shared" si="63"/>
        <v>0.72299999999999998</v>
      </c>
      <c r="CB55">
        <v>0.3</v>
      </c>
      <c r="CC55">
        <v>0.3</v>
      </c>
      <c r="CD55">
        <v>0.3</v>
      </c>
    </row>
    <row r="56" spans="1:82" x14ac:dyDescent="0.25">
      <c r="A56">
        <v>33</v>
      </c>
      <c r="B56">
        <v>87</v>
      </c>
      <c r="C56" t="str">
        <f t="shared" si="52"/>
        <v>SSTens</v>
      </c>
      <c r="D56">
        <v>0.40639999999999998</v>
      </c>
      <c r="E56">
        <f t="shared" si="14"/>
        <v>406.4</v>
      </c>
      <c r="F56">
        <v>9.5299999999999985E-3</v>
      </c>
      <c r="G56">
        <f t="shared" si="15"/>
        <v>9.5299999999999994</v>
      </c>
      <c r="H56">
        <f t="shared" si="16"/>
        <v>42.644281217208821</v>
      </c>
      <c r="I56">
        <v>50</v>
      </c>
      <c r="J56" t="s">
        <v>39</v>
      </c>
      <c r="K56">
        <f t="shared" si="72"/>
        <v>14</v>
      </c>
      <c r="L56">
        <f t="shared" si="73"/>
        <v>15</v>
      </c>
      <c r="M56">
        <f t="shared" si="74"/>
        <v>483000</v>
      </c>
      <c r="N56">
        <f t="shared" si="75"/>
        <v>565000</v>
      </c>
      <c r="O56">
        <f t="shared" si="76"/>
        <v>2.8799444073326219</v>
      </c>
      <c r="Q56" t="s">
        <v>35</v>
      </c>
      <c r="R56" t="s">
        <v>36</v>
      </c>
      <c r="S56">
        <f t="shared" si="77"/>
        <v>17.5</v>
      </c>
      <c r="T56">
        <f t="shared" si="17"/>
        <v>0</v>
      </c>
      <c r="U56">
        <f t="shared" si="18"/>
        <v>37.5</v>
      </c>
      <c r="V56">
        <f t="shared" si="19"/>
        <v>1.1000000000000001</v>
      </c>
      <c r="W56">
        <v>0.9</v>
      </c>
      <c r="X56">
        <v>0</v>
      </c>
      <c r="Y56">
        <f t="shared" si="20"/>
        <v>52.665659244779285</v>
      </c>
      <c r="Z56">
        <v>0.75</v>
      </c>
      <c r="AD56">
        <f t="shared" si="64"/>
        <v>4.5980584899860635E-2</v>
      </c>
      <c r="AK56">
        <f t="shared" si="65"/>
        <v>0.22103278039106702</v>
      </c>
      <c r="AL56">
        <f t="shared" si="66"/>
        <v>1.221032780391067</v>
      </c>
      <c r="AM56">
        <v>-2.307229</v>
      </c>
      <c r="AN56">
        <v>0.5852366</v>
      </c>
      <c r="AO56">
        <v>0.201322</v>
      </c>
      <c r="AY56">
        <v>1.4274935</v>
      </c>
      <c r="AZ56">
        <v>-7.1050000000000002E-3</v>
      </c>
      <c r="BA56">
        <v>5.1415999999999996E-3</v>
      </c>
      <c r="BB56">
        <v>-1.4290590000000001</v>
      </c>
      <c r="BC56">
        <v>4.9200300000000002E-2</v>
      </c>
      <c r="BD56">
        <v>0.14513599999999999</v>
      </c>
      <c r="BE56">
        <v>2.0170299999999999E-2</v>
      </c>
      <c r="BF56">
        <v>-1.032025</v>
      </c>
      <c r="BH56">
        <f t="shared" si="67"/>
        <v>1</v>
      </c>
      <c r="BI56">
        <f t="shared" si="68"/>
        <v>0</v>
      </c>
      <c r="BJ56">
        <f t="shared" si="44"/>
        <v>0</v>
      </c>
      <c r="BM56">
        <f t="shared" si="47"/>
        <v>-0.6473721201748025</v>
      </c>
      <c r="BS56">
        <f t="shared" si="69"/>
        <v>-0.6473721201748025</v>
      </c>
      <c r="BT56">
        <f t="shared" si="70"/>
        <v>0</v>
      </c>
      <c r="BU56">
        <f t="shared" si="71"/>
        <v>-0.59642764612512122</v>
      </c>
      <c r="BV56">
        <f t="shared" si="59"/>
        <v>0.55077569153060479</v>
      </c>
      <c r="BW56">
        <f t="shared" si="60"/>
        <v>1.0000000000000001E-5</v>
      </c>
      <c r="BX56">
        <f t="shared" si="61"/>
        <v>0.55077569153060479</v>
      </c>
      <c r="BY56">
        <v>0.72299999999999998</v>
      </c>
      <c r="BZ56">
        <f t="shared" si="62"/>
        <v>0.01</v>
      </c>
      <c r="CA56">
        <f t="shared" si="63"/>
        <v>0.72299999999999998</v>
      </c>
      <c r="CB56">
        <v>0.3</v>
      </c>
      <c r="CC56">
        <v>0.3</v>
      </c>
      <c r="CD56">
        <v>0.3</v>
      </c>
    </row>
    <row r="57" spans="1:82" x14ac:dyDescent="0.25">
      <c r="A57">
        <v>34</v>
      </c>
      <c r="B57">
        <v>85</v>
      </c>
      <c r="C57" t="str">
        <f t="shared" si="52"/>
        <v>SSTens</v>
      </c>
      <c r="D57">
        <v>0.50800000000000001</v>
      </c>
      <c r="E57">
        <f t="shared" si="14"/>
        <v>508</v>
      </c>
      <c r="F57">
        <v>1.1130000000000001E-2</v>
      </c>
      <c r="G57">
        <f t="shared" si="15"/>
        <v>11.13</v>
      </c>
      <c r="H57">
        <f t="shared" si="16"/>
        <v>45.642407906558844</v>
      </c>
      <c r="I57">
        <v>100</v>
      </c>
      <c r="J57" t="s">
        <v>41</v>
      </c>
      <c r="K57">
        <f t="shared" si="72"/>
        <v>15</v>
      </c>
      <c r="L57">
        <f t="shared" si="73"/>
        <v>20</v>
      </c>
      <c r="M57">
        <f t="shared" si="74"/>
        <v>552000</v>
      </c>
      <c r="N57">
        <f t="shared" si="75"/>
        <v>625000</v>
      </c>
      <c r="O57">
        <f t="shared" si="76"/>
        <v>2.9888368774026359</v>
      </c>
      <c r="Q57" t="s">
        <v>35</v>
      </c>
      <c r="R57" t="s">
        <v>36</v>
      </c>
      <c r="S57">
        <f t="shared" si="77"/>
        <v>17.5</v>
      </c>
      <c r="T57">
        <f t="shared" si="17"/>
        <v>0</v>
      </c>
      <c r="U57">
        <f t="shared" si="18"/>
        <v>37.5</v>
      </c>
      <c r="V57">
        <f t="shared" si="19"/>
        <v>1.1000000000000001</v>
      </c>
      <c r="W57">
        <v>0.9</v>
      </c>
      <c r="X57">
        <v>0</v>
      </c>
      <c r="Y57">
        <f t="shared" si="20"/>
        <v>65.832074055974104</v>
      </c>
      <c r="Z57">
        <v>0.75</v>
      </c>
      <c r="AD57">
        <f t="shared" si="64"/>
        <v>5.6761916710913081E-2</v>
      </c>
      <c r="AK57">
        <f t="shared" si="65"/>
        <v>0.30141505236031529</v>
      </c>
      <c r="AL57">
        <f t="shared" si="66"/>
        <v>1.8014150523603152</v>
      </c>
      <c r="AM57">
        <v>-2.307229</v>
      </c>
      <c r="AN57">
        <v>0.5852366</v>
      </c>
      <c r="AO57">
        <v>0.201322</v>
      </c>
      <c r="AY57">
        <v>1.4274935</v>
      </c>
      <c r="AZ57">
        <v>-7.1050000000000002E-3</v>
      </c>
      <c r="BA57">
        <v>5.1415999999999996E-3</v>
      </c>
      <c r="BB57">
        <v>-1.4290590000000001</v>
      </c>
      <c r="BC57">
        <v>4.9200300000000002E-2</v>
      </c>
      <c r="BD57">
        <v>0.14513599999999999</v>
      </c>
      <c r="BE57">
        <v>2.0170299999999999E-2</v>
      </c>
      <c r="BF57">
        <v>-1.032025</v>
      </c>
      <c r="BH57">
        <f t="shared" si="67"/>
        <v>1</v>
      </c>
      <c r="BI57">
        <f t="shared" si="68"/>
        <v>0</v>
      </c>
      <c r="BJ57">
        <f t="shared" si="44"/>
        <v>0</v>
      </c>
      <c r="BM57">
        <f t="shared" si="47"/>
        <v>-0.70363623213972026</v>
      </c>
      <c r="BS57">
        <f t="shared" si="69"/>
        <v>-0.70363623213972026</v>
      </c>
      <c r="BT57">
        <f t="shared" si="70"/>
        <v>0</v>
      </c>
      <c r="BU57">
        <f t="shared" si="71"/>
        <v>-0.59886235386354869</v>
      </c>
      <c r="BV57">
        <f t="shared" si="59"/>
        <v>0.54943634481282166</v>
      </c>
      <c r="BW57">
        <f t="shared" si="60"/>
        <v>1.0000000000000001E-5</v>
      </c>
      <c r="BX57">
        <f t="shared" si="61"/>
        <v>0.54943634481282166</v>
      </c>
      <c r="BY57">
        <v>0.72299999999999998</v>
      </c>
      <c r="BZ57">
        <f t="shared" si="62"/>
        <v>0.01</v>
      </c>
      <c r="CA57">
        <f t="shared" si="63"/>
        <v>0.72299999999999998</v>
      </c>
      <c r="CB57">
        <v>0.3</v>
      </c>
      <c r="CC57">
        <v>0.3</v>
      </c>
      <c r="CD57">
        <v>0.3</v>
      </c>
    </row>
    <row r="58" spans="1:82" x14ac:dyDescent="0.25">
      <c r="A58">
        <v>35</v>
      </c>
      <c r="B58">
        <v>85</v>
      </c>
      <c r="C58" t="str">
        <f t="shared" si="52"/>
        <v>SSTens</v>
      </c>
      <c r="D58">
        <v>0.60960000000000003</v>
      </c>
      <c r="E58">
        <f t="shared" si="14"/>
        <v>609.6</v>
      </c>
      <c r="F58">
        <v>9.5299999999999985E-3</v>
      </c>
      <c r="G58">
        <f t="shared" si="15"/>
        <v>9.5299999999999994</v>
      </c>
      <c r="H58">
        <f t="shared" si="16"/>
        <v>63.966421825813235</v>
      </c>
      <c r="I58">
        <v>15</v>
      </c>
      <c r="J58" t="s">
        <v>34</v>
      </c>
      <c r="K58">
        <f t="shared" si="72"/>
        <v>8</v>
      </c>
      <c r="L58">
        <f t="shared" si="73"/>
        <v>10</v>
      </c>
      <c r="M58">
        <f t="shared" si="74"/>
        <v>359000</v>
      </c>
      <c r="N58">
        <f t="shared" si="75"/>
        <v>455000</v>
      </c>
      <c r="O58">
        <f t="shared" si="76"/>
        <v>1.9969902892117808</v>
      </c>
      <c r="Q58" t="s">
        <v>35</v>
      </c>
      <c r="R58" t="s">
        <v>38</v>
      </c>
      <c r="S58">
        <f t="shared" si="77"/>
        <v>18</v>
      </c>
      <c r="T58">
        <f t="shared" si="17"/>
        <v>0</v>
      </c>
      <c r="U58">
        <f t="shared" si="18"/>
        <v>75</v>
      </c>
      <c r="V58">
        <f t="shared" si="19"/>
        <v>0.72</v>
      </c>
      <c r="W58">
        <v>0.9</v>
      </c>
      <c r="X58">
        <v>0</v>
      </c>
      <c r="Y58">
        <f t="shared" si="20"/>
        <v>103.41620360793024</v>
      </c>
      <c r="Z58">
        <v>0.75</v>
      </c>
      <c r="AD58">
        <f t="shared" si="64"/>
        <v>8.5938878264467361E-2</v>
      </c>
      <c r="AK58">
        <f t="shared" si="65"/>
        <v>0.34319449854464201</v>
      </c>
      <c r="AL58">
        <f t="shared" si="66"/>
        <v>1.343194498544642</v>
      </c>
      <c r="AM58">
        <v>-2.307229</v>
      </c>
      <c r="AN58">
        <v>0.5852366</v>
      </c>
      <c r="AO58">
        <v>0.201322</v>
      </c>
      <c r="AY58">
        <v>1.4274935</v>
      </c>
      <c r="AZ58">
        <v>-7.1050000000000002E-3</v>
      </c>
      <c r="BA58">
        <v>5.1415999999999996E-3</v>
      </c>
      <c r="BB58">
        <v>-1.4290590000000001</v>
      </c>
      <c r="BC58">
        <v>4.9200300000000002E-2</v>
      </c>
      <c r="BD58">
        <v>0.14513599999999999</v>
      </c>
      <c r="BE58">
        <v>2.0170299999999999E-2</v>
      </c>
      <c r="BF58">
        <v>-1.032025</v>
      </c>
      <c r="BH58">
        <f t="shared" si="67"/>
        <v>1</v>
      </c>
      <c r="BI58">
        <f t="shared" si="68"/>
        <v>0</v>
      </c>
      <c r="BJ58">
        <f t="shared" si="44"/>
        <v>0</v>
      </c>
      <c r="BM58">
        <f t="shared" si="47"/>
        <v>-0.64451052521418639</v>
      </c>
      <c r="BS58">
        <f t="shared" si="69"/>
        <v>-0.64451052521418639</v>
      </c>
      <c r="BT58">
        <f t="shared" si="70"/>
        <v>0</v>
      </c>
      <c r="BU58">
        <f t="shared" si="71"/>
        <v>-0.35698842861680458</v>
      </c>
      <c r="BV58">
        <f t="shared" si="59"/>
        <v>0.69978059511718083</v>
      </c>
      <c r="BW58">
        <f t="shared" si="60"/>
        <v>1.0000000000000001E-5</v>
      </c>
      <c r="BX58">
        <f t="shared" si="61"/>
        <v>0.69978059511718083</v>
      </c>
      <c r="BY58">
        <v>0.72299999999999998</v>
      </c>
      <c r="BZ58">
        <f t="shared" si="62"/>
        <v>0.01</v>
      </c>
      <c r="CA58">
        <f t="shared" si="63"/>
        <v>0.72299999999999998</v>
      </c>
      <c r="CB58">
        <v>0.3</v>
      </c>
      <c r="CC58">
        <v>0.3</v>
      </c>
      <c r="CD58">
        <v>0.3</v>
      </c>
    </row>
    <row r="59" spans="1:82" x14ac:dyDescent="0.25">
      <c r="A59">
        <v>36</v>
      </c>
      <c r="B59">
        <v>89</v>
      </c>
      <c r="C59" t="str">
        <f t="shared" si="52"/>
        <v>SSTens</v>
      </c>
      <c r="D59">
        <v>0.76200000000000001</v>
      </c>
      <c r="E59">
        <f t="shared" si="14"/>
        <v>762</v>
      </c>
      <c r="F59">
        <v>1.2699999999999999E-2</v>
      </c>
      <c r="G59">
        <f t="shared" si="15"/>
        <v>12.7</v>
      </c>
      <c r="H59">
        <f t="shared" si="16"/>
        <v>60</v>
      </c>
      <c r="I59">
        <v>30</v>
      </c>
      <c r="J59" t="s">
        <v>37</v>
      </c>
      <c r="K59">
        <f t="shared" si="72"/>
        <v>8</v>
      </c>
      <c r="L59">
        <f t="shared" si="73"/>
        <v>12</v>
      </c>
      <c r="M59">
        <f t="shared" si="74"/>
        <v>414000</v>
      </c>
      <c r="N59">
        <f t="shared" si="75"/>
        <v>517000</v>
      </c>
      <c r="O59">
        <f t="shared" si="76"/>
        <v>2.5466769467238102</v>
      </c>
      <c r="Q59" t="s">
        <v>35</v>
      </c>
      <c r="R59" t="s">
        <v>38</v>
      </c>
      <c r="S59">
        <f t="shared" si="77"/>
        <v>18</v>
      </c>
      <c r="T59">
        <f t="shared" si="17"/>
        <v>0</v>
      </c>
      <c r="U59">
        <f t="shared" si="18"/>
        <v>75</v>
      </c>
      <c r="V59">
        <f t="shared" si="19"/>
        <v>0.72</v>
      </c>
      <c r="W59">
        <v>0.9</v>
      </c>
      <c r="X59">
        <v>0</v>
      </c>
      <c r="Y59">
        <f t="shared" si="20"/>
        <v>129.2702545099128</v>
      </c>
      <c r="Z59">
        <v>1.5</v>
      </c>
      <c r="AD59">
        <f t="shared" si="64"/>
        <v>0.10764414471571518</v>
      </c>
      <c r="AK59">
        <f t="shared" si="65"/>
        <v>0.46262651833971924</v>
      </c>
      <c r="AL59">
        <f t="shared" si="66"/>
        <v>1.4626265183397194</v>
      </c>
      <c r="AM59">
        <v>-2.307229</v>
      </c>
      <c r="AN59">
        <v>0.5852366</v>
      </c>
      <c r="AO59">
        <v>0.201322</v>
      </c>
      <c r="AY59">
        <v>1.4274935</v>
      </c>
      <c r="AZ59">
        <v>-7.1050000000000002E-3</v>
      </c>
      <c r="BA59">
        <v>5.1415999999999996E-3</v>
      </c>
      <c r="BB59">
        <v>-1.4290590000000001</v>
      </c>
      <c r="BC59">
        <v>4.9200300000000002E-2</v>
      </c>
      <c r="BD59">
        <v>0.14513599999999999</v>
      </c>
      <c r="BE59">
        <v>2.0170299999999999E-2</v>
      </c>
      <c r="BF59">
        <v>-1.032025</v>
      </c>
      <c r="BH59">
        <f t="shared" si="67"/>
        <v>1</v>
      </c>
      <c r="BI59">
        <f t="shared" si="68"/>
        <v>0</v>
      </c>
      <c r="BJ59">
        <f t="shared" si="44"/>
        <v>0</v>
      </c>
      <c r="BM59">
        <f t="shared" si="47"/>
        <v>-4.6730844270599627E-2</v>
      </c>
      <c r="BS59">
        <f t="shared" si="69"/>
        <v>-4.6730844270599627E-2</v>
      </c>
      <c r="BT59">
        <f t="shared" si="70"/>
        <v>0</v>
      </c>
      <c r="BU59">
        <f t="shared" si="71"/>
        <v>1.8835024417450885E-2</v>
      </c>
      <c r="BV59">
        <f t="shared" si="59"/>
        <v>1.0190135223999457</v>
      </c>
      <c r="BW59">
        <f t="shared" si="60"/>
        <v>1.0000000000000001E-5</v>
      </c>
      <c r="BX59">
        <f t="shared" si="61"/>
        <v>1.0190135223999457</v>
      </c>
      <c r="BY59">
        <v>0.72299999999999998</v>
      </c>
      <c r="BZ59">
        <f t="shared" si="62"/>
        <v>0.01</v>
      </c>
      <c r="CA59">
        <f t="shared" si="63"/>
        <v>0.72299999999999998</v>
      </c>
      <c r="CB59">
        <v>0.3</v>
      </c>
      <c r="CC59">
        <v>0.3</v>
      </c>
      <c r="CD59">
        <v>0.3</v>
      </c>
    </row>
    <row r="60" spans="1:82" x14ac:dyDescent="0.25">
      <c r="A60">
        <v>37</v>
      </c>
      <c r="B60">
        <v>87</v>
      </c>
      <c r="C60" t="str">
        <f t="shared" si="52"/>
        <v>SSTens</v>
      </c>
      <c r="D60">
        <v>0.86360000000000003</v>
      </c>
      <c r="E60">
        <f t="shared" si="14"/>
        <v>863.6</v>
      </c>
      <c r="F60">
        <v>1.1130000000000001E-2</v>
      </c>
      <c r="G60">
        <f t="shared" si="15"/>
        <v>11.13</v>
      </c>
      <c r="H60">
        <f t="shared" si="16"/>
        <v>77.592093441150041</v>
      </c>
      <c r="I60">
        <v>50</v>
      </c>
      <c r="J60" t="s">
        <v>39</v>
      </c>
      <c r="K60">
        <f t="shared" si="72"/>
        <v>14</v>
      </c>
      <c r="L60">
        <f t="shared" si="73"/>
        <v>15</v>
      </c>
      <c r="M60">
        <f t="shared" si="74"/>
        <v>483000</v>
      </c>
      <c r="N60">
        <f t="shared" si="75"/>
        <v>565000</v>
      </c>
      <c r="O60">
        <f t="shared" si="76"/>
        <v>2.8799444073326219</v>
      </c>
      <c r="Q60" t="s">
        <v>35</v>
      </c>
      <c r="R60" t="s">
        <v>38</v>
      </c>
      <c r="S60">
        <f t="shared" si="77"/>
        <v>18</v>
      </c>
      <c r="T60">
        <f t="shared" si="17"/>
        <v>0</v>
      </c>
      <c r="U60">
        <f t="shared" si="18"/>
        <v>75</v>
      </c>
      <c r="V60">
        <f t="shared" si="19"/>
        <v>0.72</v>
      </c>
      <c r="W60">
        <v>0.9</v>
      </c>
      <c r="X60">
        <v>0</v>
      </c>
      <c r="Y60">
        <f t="shared" si="20"/>
        <v>146.50628844456784</v>
      </c>
      <c r="Z60">
        <v>1.5</v>
      </c>
      <c r="AD60">
        <f t="shared" si="64"/>
        <v>0.12199149455168937</v>
      </c>
      <c r="AK60">
        <f t="shared" si="65"/>
        <v>0.57931434087634726</v>
      </c>
      <c r="AL60">
        <f t="shared" si="66"/>
        <v>1.5793143408763473</v>
      </c>
      <c r="AM60">
        <v>-2.307229</v>
      </c>
      <c r="AN60">
        <v>0.5852366</v>
      </c>
      <c r="AO60">
        <v>0.201322</v>
      </c>
      <c r="AY60">
        <v>1.4274935</v>
      </c>
      <c r="AZ60">
        <v>-7.1050000000000002E-3</v>
      </c>
      <c r="BA60">
        <v>5.1415999999999996E-3</v>
      </c>
      <c r="BB60">
        <v>-1.4290590000000001</v>
      </c>
      <c r="BC60">
        <v>4.9200300000000002E-2</v>
      </c>
      <c r="BD60">
        <v>0.14513599999999999</v>
      </c>
      <c r="BE60">
        <v>2.0170299999999999E-2</v>
      </c>
      <c r="BF60">
        <v>-1.032025</v>
      </c>
      <c r="BH60">
        <f t="shared" si="67"/>
        <v>1</v>
      </c>
      <c r="BI60">
        <f t="shared" si="68"/>
        <v>0</v>
      </c>
      <c r="BJ60">
        <f t="shared" si="44"/>
        <v>0</v>
      </c>
      <c r="BM60">
        <f t="shared" si="47"/>
        <v>-0.13656097636803749</v>
      </c>
      <c r="BS60">
        <f t="shared" si="69"/>
        <v>-0.13656097636803749</v>
      </c>
      <c r="BT60">
        <f t="shared" si="70"/>
        <v>0</v>
      </c>
      <c r="BU60">
        <f t="shared" si="71"/>
        <v>3.4566429204756499E-2</v>
      </c>
      <c r="BV60">
        <f t="shared" si="59"/>
        <v>1.0351707916646211</v>
      </c>
      <c r="BW60">
        <f t="shared" si="60"/>
        <v>1.0000000000000001E-5</v>
      </c>
      <c r="BX60">
        <f t="shared" si="61"/>
        <v>1.0351707916646211</v>
      </c>
      <c r="BY60">
        <v>0.72299999999999998</v>
      </c>
      <c r="BZ60">
        <f t="shared" si="62"/>
        <v>0.01</v>
      </c>
      <c r="CA60">
        <f t="shared" si="63"/>
        <v>0.72299999999999998</v>
      </c>
      <c r="CB60">
        <v>0.3</v>
      </c>
      <c r="CC60">
        <v>0.3</v>
      </c>
      <c r="CD60">
        <v>0.3</v>
      </c>
    </row>
    <row r="61" spans="1:82" x14ac:dyDescent="0.25">
      <c r="A61">
        <v>38</v>
      </c>
      <c r="B61">
        <v>89</v>
      </c>
      <c r="C61" t="str">
        <f t="shared" si="52"/>
        <v>SSTens</v>
      </c>
      <c r="D61">
        <v>1.0668</v>
      </c>
      <c r="E61">
        <f t="shared" si="14"/>
        <v>1066.8</v>
      </c>
      <c r="F61">
        <v>1.2699999999999999E-2</v>
      </c>
      <c r="G61">
        <f t="shared" si="15"/>
        <v>12.7</v>
      </c>
      <c r="H61">
        <f t="shared" si="16"/>
        <v>84</v>
      </c>
      <c r="I61">
        <v>100</v>
      </c>
      <c r="J61" t="s">
        <v>41</v>
      </c>
      <c r="K61">
        <f t="shared" si="72"/>
        <v>15</v>
      </c>
      <c r="L61">
        <f t="shared" si="73"/>
        <v>20</v>
      </c>
      <c r="M61">
        <f t="shared" si="74"/>
        <v>552000</v>
      </c>
      <c r="N61">
        <f t="shared" si="75"/>
        <v>625000</v>
      </c>
      <c r="O61">
        <f t="shared" si="76"/>
        <v>2.9888368774026359</v>
      </c>
      <c r="Q61" t="s">
        <v>35</v>
      </c>
      <c r="R61" t="s">
        <v>40</v>
      </c>
      <c r="S61">
        <f t="shared" si="77"/>
        <v>18.5</v>
      </c>
      <c r="T61">
        <f t="shared" si="17"/>
        <v>0</v>
      </c>
      <c r="U61">
        <f t="shared" si="18"/>
        <v>125</v>
      </c>
      <c r="V61">
        <f t="shared" si="19"/>
        <v>0.4</v>
      </c>
      <c r="W61">
        <v>0.9</v>
      </c>
      <c r="X61">
        <v>0</v>
      </c>
      <c r="Y61">
        <f t="shared" si="20"/>
        <v>167.57255214247957</v>
      </c>
      <c r="Z61">
        <v>1.5</v>
      </c>
      <c r="AD61">
        <f t="shared" si="64"/>
        <v>0.13917170396098252</v>
      </c>
      <c r="AK61">
        <f t="shared" si="65"/>
        <v>0.70118132861093019</v>
      </c>
      <c r="AL61">
        <f t="shared" si="66"/>
        <v>2.2011813286109301</v>
      </c>
      <c r="AM61">
        <v>-2.307229</v>
      </c>
      <c r="AN61">
        <v>0.5852366</v>
      </c>
      <c r="AO61">
        <v>0.201322</v>
      </c>
      <c r="AY61">
        <v>1.4274935</v>
      </c>
      <c r="AZ61">
        <v>-7.1050000000000002E-3</v>
      </c>
      <c r="BA61">
        <v>5.1415999999999996E-3</v>
      </c>
      <c r="BB61">
        <v>-1.4290590000000001</v>
      </c>
      <c r="BC61">
        <v>4.9200300000000002E-2</v>
      </c>
      <c r="BD61">
        <v>0.14513599999999999</v>
      </c>
      <c r="BE61">
        <v>2.0170299999999999E-2</v>
      </c>
      <c r="BF61">
        <v>-1.032025</v>
      </c>
      <c r="BH61">
        <f t="shared" si="67"/>
        <v>1</v>
      </c>
      <c r="BI61">
        <f t="shared" si="68"/>
        <v>0</v>
      </c>
      <c r="BJ61">
        <f t="shared" si="44"/>
        <v>0</v>
      </c>
      <c r="BM61">
        <f t="shared" si="47"/>
        <v>-0.19777054799268215</v>
      </c>
      <c r="BS61">
        <f t="shared" si="69"/>
        <v>-0.19777054799268215</v>
      </c>
      <c r="BT61">
        <f t="shared" si="70"/>
        <v>0</v>
      </c>
      <c r="BU61">
        <f t="shared" si="71"/>
        <v>-1.0808663411078889E-2</v>
      </c>
      <c r="BV61">
        <f t="shared" si="59"/>
        <v>0.98924954030109691</v>
      </c>
      <c r="BW61">
        <f t="shared" si="60"/>
        <v>1.0000000000000001E-5</v>
      </c>
      <c r="BX61">
        <f t="shared" si="61"/>
        <v>0.98924954030109691</v>
      </c>
      <c r="BY61">
        <v>0.72299999999999998</v>
      </c>
      <c r="BZ61">
        <f t="shared" si="62"/>
        <v>0.01</v>
      </c>
      <c r="CA61">
        <f t="shared" si="63"/>
        <v>0.72299999999999998</v>
      </c>
      <c r="CB61">
        <v>0.3</v>
      </c>
      <c r="CC61">
        <v>0.3</v>
      </c>
      <c r="CD61">
        <v>0.3</v>
      </c>
    </row>
    <row r="62" spans="1:82" x14ac:dyDescent="0.25">
      <c r="A62">
        <v>39</v>
      </c>
      <c r="B62">
        <v>85</v>
      </c>
      <c r="C62" t="str">
        <f t="shared" si="52"/>
        <v>SSTens</v>
      </c>
      <c r="D62">
        <v>0.60960000000000003</v>
      </c>
      <c r="E62">
        <f t="shared" si="14"/>
        <v>609.6</v>
      </c>
      <c r="F62">
        <v>1.1130000000000001E-2</v>
      </c>
      <c r="G62">
        <f t="shared" si="15"/>
        <v>11.13</v>
      </c>
      <c r="H62">
        <f t="shared" si="16"/>
        <v>54.770889487870619</v>
      </c>
      <c r="I62">
        <v>150</v>
      </c>
      <c r="J62" t="s">
        <v>64</v>
      </c>
      <c r="K62">
        <f t="shared" si="72"/>
        <v>3</v>
      </c>
      <c r="L62">
        <f t="shared" si="73"/>
        <v>9</v>
      </c>
      <c r="M62">
        <f t="shared" si="74"/>
        <v>290000</v>
      </c>
      <c r="N62">
        <f t="shared" si="75"/>
        <v>414000</v>
      </c>
      <c r="O62">
        <f t="shared" si="76"/>
        <v>1.7363704307629526</v>
      </c>
      <c r="Q62" t="s">
        <v>35</v>
      </c>
      <c r="R62" t="s">
        <v>40</v>
      </c>
      <c r="S62">
        <f t="shared" si="77"/>
        <v>18.5</v>
      </c>
      <c r="T62">
        <f t="shared" si="17"/>
        <v>0</v>
      </c>
      <c r="U62">
        <f t="shared" si="18"/>
        <v>125</v>
      </c>
      <c r="V62">
        <f t="shared" si="19"/>
        <v>0.4</v>
      </c>
      <c r="W62">
        <v>0.9</v>
      </c>
      <c r="X62">
        <v>0</v>
      </c>
      <c r="Y62">
        <f t="shared" si="20"/>
        <v>95.755744081416907</v>
      </c>
      <c r="Z62">
        <v>7.5</v>
      </c>
      <c r="AD62">
        <f t="shared" si="64"/>
        <v>7.9294795208237082E-2</v>
      </c>
      <c r="AK62">
        <f t="shared" si="65"/>
        <v>0.42306301468311602</v>
      </c>
      <c r="AL62">
        <f t="shared" si="66"/>
        <v>1.923063014683116</v>
      </c>
      <c r="AM62">
        <v>-2.307229</v>
      </c>
      <c r="AN62">
        <v>0.5852366</v>
      </c>
      <c r="AO62">
        <v>0.201322</v>
      </c>
      <c r="AY62">
        <v>1.4274935</v>
      </c>
      <c r="AZ62">
        <v>-7.1050000000000002E-3</v>
      </c>
      <c r="BA62">
        <v>5.1415999999999996E-3</v>
      </c>
      <c r="BB62">
        <v>-1.4290590000000001</v>
      </c>
      <c r="BC62">
        <v>4.9200300000000002E-2</v>
      </c>
      <c r="BD62">
        <v>0.14513599999999999</v>
      </c>
      <c r="BE62">
        <v>2.0170299999999999E-2</v>
      </c>
      <c r="BF62">
        <v>-1.032025</v>
      </c>
      <c r="BH62">
        <f t="shared" si="67"/>
        <v>0</v>
      </c>
      <c r="BI62">
        <f t="shared" si="68"/>
        <v>1</v>
      </c>
      <c r="BJ62">
        <f t="shared" si="44"/>
        <v>0</v>
      </c>
      <c r="BM62">
        <f t="shared" si="47"/>
        <v>2.3499863959925666</v>
      </c>
      <c r="BS62">
        <f t="shared" si="69"/>
        <v>0</v>
      </c>
      <c r="BT62">
        <f t="shared" si="70"/>
        <v>2.3499863959925666</v>
      </c>
      <c r="BU62">
        <f t="shared" si="71"/>
        <v>17.660464038190291</v>
      </c>
      <c r="BV62">
        <f t="shared" si="59"/>
        <v>100</v>
      </c>
      <c r="BW62">
        <f t="shared" si="60"/>
        <v>1.0000000000000001E-5</v>
      </c>
      <c r="BX62">
        <f t="shared" si="61"/>
        <v>100</v>
      </c>
      <c r="BY62">
        <v>0.72299999999999998</v>
      </c>
      <c r="BZ62">
        <f t="shared" si="62"/>
        <v>0.01</v>
      </c>
      <c r="CA62">
        <f t="shared" si="63"/>
        <v>0.72299999999999998</v>
      </c>
      <c r="CB62">
        <v>0.3</v>
      </c>
      <c r="CC62">
        <v>0.3</v>
      </c>
      <c r="CD62">
        <v>0.3</v>
      </c>
    </row>
    <row r="63" spans="1:82" x14ac:dyDescent="0.25">
      <c r="A63">
        <v>40</v>
      </c>
      <c r="B63">
        <v>87</v>
      </c>
      <c r="C63" t="str">
        <f t="shared" si="52"/>
        <v>SSTens</v>
      </c>
      <c r="D63">
        <v>0.60960000000000003</v>
      </c>
      <c r="E63">
        <f t="shared" si="14"/>
        <v>609.6</v>
      </c>
      <c r="F63">
        <v>1.1130000000000001E-2</v>
      </c>
      <c r="G63">
        <f t="shared" si="15"/>
        <v>11.13</v>
      </c>
      <c r="H63">
        <f t="shared" si="16"/>
        <v>54.770889487870619</v>
      </c>
      <c r="I63">
        <v>200</v>
      </c>
      <c r="J63" t="s">
        <v>65</v>
      </c>
      <c r="K63">
        <f t="shared" si="72"/>
        <v>3</v>
      </c>
      <c r="L63">
        <f t="shared" si="73"/>
        <v>8</v>
      </c>
      <c r="M63">
        <f t="shared" si="74"/>
        <v>241000</v>
      </c>
      <c r="N63">
        <f t="shared" si="75"/>
        <v>344000</v>
      </c>
      <c r="O63">
        <f t="shared" si="76"/>
        <v>1.1599577949833839</v>
      </c>
      <c r="Q63" t="s">
        <v>35</v>
      </c>
      <c r="R63" t="s">
        <v>40</v>
      </c>
      <c r="S63">
        <f t="shared" si="77"/>
        <v>18.5</v>
      </c>
      <c r="T63">
        <f t="shared" si="17"/>
        <v>0</v>
      </c>
      <c r="U63">
        <f t="shared" si="18"/>
        <v>125</v>
      </c>
      <c r="V63">
        <f t="shared" si="19"/>
        <v>0.4</v>
      </c>
      <c r="W63">
        <v>0.9</v>
      </c>
      <c r="X63">
        <v>0</v>
      </c>
      <c r="Y63">
        <f t="shared" si="20"/>
        <v>95.755744081416907</v>
      </c>
      <c r="Z63">
        <v>3.5</v>
      </c>
      <c r="AD63">
        <f t="shared" si="64"/>
        <v>7.8028077275326749E-2</v>
      </c>
      <c r="AK63">
        <f t="shared" si="65"/>
        <v>0.43296023982302467</v>
      </c>
      <c r="AL63">
        <f t="shared" si="66"/>
        <v>1.9329602398230246</v>
      </c>
      <c r="AM63">
        <v>-2.307229</v>
      </c>
      <c r="AN63">
        <v>0.5852366</v>
      </c>
      <c r="AO63">
        <v>0.201322</v>
      </c>
      <c r="AY63">
        <v>1.4274935</v>
      </c>
      <c r="AZ63">
        <v>-7.1050000000000002E-3</v>
      </c>
      <c r="BA63">
        <v>5.1415999999999996E-3</v>
      </c>
      <c r="BB63">
        <v>-1.4290590000000001</v>
      </c>
      <c r="BC63">
        <v>4.9200300000000002E-2</v>
      </c>
      <c r="BD63">
        <v>0.14513599999999999</v>
      </c>
      <c r="BE63">
        <v>2.0170299999999999E-2</v>
      </c>
      <c r="BF63">
        <v>-1.032025</v>
      </c>
      <c r="BH63">
        <f t="shared" si="67"/>
        <v>0</v>
      </c>
      <c r="BI63">
        <f t="shared" si="68"/>
        <v>0</v>
      </c>
      <c r="BJ63">
        <f t="shared" si="44"/>
        <v>0</v>
      </c>
      <c r="BM63">
        <f t="shared" si="47"/>
        <v>0</v>
      </c>
      <c r="BS63">
        <f t="shared" si="69"/>
        <v>0</v>
      </c>
      <c r="BT63">
        <f t="shared" si="70"/>
        <v>0</v>
      </c>
      <c r="BU63">
        <f t="shared" si="71"/>
        <v>3.5566068246042359E-2</v>
      </c>
      <c r="BV63">
        <f t="shared" si="59"/>
        <v>1.0362061061865622</v>
      </c>
      <c r="BW63">
        <f t="shared" si="60"/>
        <v>1.0000000000000001E-5</v>
      </c>
      <c r="BX63">
        <f t="shared" si="61"/>
        <v>1.0362061061865622</v>
      </c>
      <c r="BY63">
        <v>0.72299999999999998</v>
      </c>
      <c r="BZ63">
        <f t="shared" si="62"/>
        <v>0.01</v>
      </c>
      <c r="CA63">
        <f t="shared" si="63"/>
        <v>0.72299999999999998</v>
      </c>
      <c r="CB63">
        <v>0.3</v>
      </c>
      <c r="CC63">
        <v>0.3</v>
      </c>
      <c r="CD63">
        <v>0.3</v>
      </c>
    </row>
    <row r="65" spans="1:82" x14ac:dyDescent="0.25">
      <c r="E65" t="s">
        <v>2</v>
      </c>
      <c r="G65" t="s">
        <v>4</v>
      </c>
      <c r="J65" t="s">
        <v>7</v>
      </c>
      <c r="K65" t="s">
        <v>8</v>
      </c>
      <c r="L65" t="s">
        <v>9</v>
      </c>
      <c r="M65" t="s">
        <v>10</v>
      </c>
      <c r="P65" t="s">
        <v>72</v>
      </c>
      <c r="Q65" t="s">
        <v>13</v>
      </c>
      <c r="S65" t="s">
        <v>15</v>
      </c>
      <c r="T65" t="s">
        <v>16</v>
      </c>
      <c r="U65" t="s">
        <v>17</v>
      </c>
      <c r="V65" t="s">
        <v>18</v>
      </c>
      <c r="W65" t="s">
        <v>19</v>
      </c>
      <c r="X65" t="s">
        <v>20</v>
      </c>
      <c r="Y65" t="s">
        <v>21</v>
      </c>
      <c r="Z65" t="s">
        <v>29</v>
      </c>
      <c r="BP65" t="s">
        <v>73</v>
      </c>
      <c r="BQ65" t="s">
        <v>74</v>
      </c>
      <c r="BR65" t="s">
        <v>75</v>
      </c>
      <c r="BV65" t="s">
        <v>31</v>
      </c>
      <c r="BY65" t="s">
        <v>32</v>
      </c>
      <c r="CB65" t="s">
        <v>33</v>
      </c>
    </row>
    <row r="66" spans="1:82" x14ac:dyDescent="0.25">
      <c r="A66">
        <v>41</v>
      </c>
      <c r="B66">
        <v>176</v>
      </c>
      <c r="C66" t="str">
        <f t="shared" ref="C66:C109" si="78">IF(AND(B66&gt;=0,B66&lt;=5),"BainEtal_Normal",IF(AND(B66&gt;5,B66&lt;90),"SSTens",IF(AND(B66&gt;=90,B66&lt;175),"SSComp",IF(AND(B66&gt;=175,B66&lt;=180),"BainEtal_Reverse"))))</f>
        <v>BainEtal_Reverse</v>
      </c>
      <c r="E66">
        <v>610</v>
      </c>
      <c r="G66">
        <v>10.199999999999999</v>
      </c>
      <c r="J66" t="s">
        <v>34</v>
      </c>
      <c r="K66">
        <v>8</v>
      </c>
      <c r="L66">
        <v>10</v>
      </c>
      <c r="M66">
        <v>359000</v>
      </c>
      <c r="P66">
        <v>100</v>
      </c>
      <c r="Q66" t="s">
        <v>42</v>
      </c>
      <c r="S66">
        <v>19</v>
      </c>
      <c r="T66">
        <v>38</v>
      </c>
      <c r="U66">
        <v>40</v>
      </c>
      <c r="V66">
        <v>0.75</v>
      </c>
      <c r="W66">
        <v>0.75</v>
      </c>
      <c r="X66">
        <v>1.2</v>
      </c>
      <c r="Y66">
        <v>23.723510319999999</v>
      </c>
      <c r="Z66">
        <v>0.5</v>
      </c>
      <c r="BP66">
        <v>1234.3048779999999</v>
      </c>
      <c r="BQ66">
        <v>307.95887750000003</v>
      </c>
      <c r="BR66">
        <v>50</v>
      </c>
      <c r="BV66">
        <v>3.0857599999999999E-2</v>
      </c>
      <c r="BW66">
        <f>IF(OR($C66="SSComp",$C66="BainEtal_Reverse"),BV66,0.00001)</f>
        <v>3.0857599999999999E-2</v>
      </c>
      <c r="BX66">
        <f>IF(OR($C66="SSTens",$C66="BainEtal_Normal"),BV66,0.00001)</f>
        <v>1.0000000000000001E-5</v>
      </c>
      <c r="BY66">
        <v>0.45</v>
      </c>
      <c r="BZ66">
        <f t="shared" ref="BZ66:BZ109" si="79">IF(OR($C66="SSComp",$C66="BainEtal_Reverse"),BY66,0.01)</f>
        <v>0.45</v>
      </c>
      <c r="CA66">
        <f t="shared" ref="CA66" si="80">IF(OR($C66="SSTens",$C66="BainEtal_Normal"),BY66,0.01)</f>
        <v>0.01</v>
      </c>
      <c r="CB66">
        <v>0.3</v>
      </c>
      <c r="CC66">
        <v>0.3</v>
      </c>
      <c r="CD66">
        <v>0.3</v>
      </c>
    </row>
    <row r="67" spans="1:82" x14ac:dyDescent="0.25">
      <c r="A67">
        <v>42</v>
      </c>
      <c r="B67">
        <v>179</v>
      </c>
      <c r="C67" t="str">
        <f t="shared" si="78"/>
        <v>BainEtal_Reverse</v>
      </c>
      <c r="E67">
        <v>560</v>
      </c>
      <c r="G67">
        <v>7.1</v>
      </c>
      <c r="J67" t="s">
        <v>37</v>
      </c>
      <c r="K67">
        <v>8</v>
      </c>
      <c r="L67">
        <v>12</v>
      </c>
      <c r="M67">
        <v>414000</v>
      </c>
      <c r="P67">
        <v>100</v>
      </c>
      <c r="Q67" t="s">
        <v>42</v>
      </c>
      <c r="S67">
        <v>18</v>
      </c>
      <c r="T67">
        <v>32</v>
      </c>
      <c r="U67">
        <v>33.5</v>
      </c>
      <c r="V67">
        <v>0.6</v>
      </c>
      <c r="W67">
        <v>0.55000000000000004</v>
      </c>
      <c r="X67">
        <v>1.2</v>
      </c>
      <c r="Y67">
        <v>12.05453361</v>
      </c>
      <c r="Z67">
        <v>0.3</v>
      </c>
      <c r="BP67">
        <v>977.45236279999995</v>
      </c>
      <c r="BQ67">
        <v>398.01646820000002</v>
      </c>
      <c r="BR67">
        <v>50</v>
      </c>
      <c r="BV67">
        <v>2.4436300000000001E-2</v>
      </c>
      <c r="BW67">
        <f t="shared" ref="BW67:BW109" si="81">IF(OR($C67="SSComp",$C67="BainEtal_Reverse"),BV67,0.00001)</f>
        <v>2.4436300000000001E-2</v>
      </c>
      <c r="BX67">
        <f t="shared" ref="BX67:BX105" si="82">IF(OR($C67="SSTens",$C67="BainEtal_Normal"),BV67,0.00001)</f>
        <v>1.0000000000000001E-5</v>
      </c>
      <c r="BY67">
        <v>0.45</v>
      </c>
      <c r="BZ67">
        <f t="shared" si="79"/>
        <v>0.45</v>
      </c>
      <c r="CA67">
        <f t="shared" ref="CA67:CA109" si="83">IF(OR($C67="SSTens",$C67="BainEtal_Normal"),BY67,0.01)</f>
        <v>0.01</v>
      </c>
      <c r="CB67">
        <v>0.3</v>
      </c>
      <c r="CC67">
        <v>0.3</v>
      </c>
      <c r="CD67">
        <v>0.3</v>
      </c>
    </row>
    <row r="68" spans="1:82" x14ac:dyDescent="0.25">
      <c r="A68">
        <v>43</v>
      </c>
      <c r="B68">
        <v>180</v>
      </c>
      <c r="C68" t="str">
        <f t="shared" si="78"/>
        <v>BainEtal_Reverse</v>
      </c>
      <c r="E68">
        <v>560</v>
      </c>
      <c r="G68">
        <v>7.1</v>
      </c>
      <c r="J68" t="s">
        <v>37</v>
      </c>
      <c r="K68">
        <v>8</v>
      </c>
      <c r="L68">
        <v>12</v>
      </c>
      <c r="M68">
        <v>414000</v>
      </c>
      <c r="P68">
        <v>200</v>
      </c>
      <c r="Q68" t="s">
        <v>42</v>
      </c>
      <c r="S68">
        <v>19</v>
      </c>
      <c r="T68">
        <v>38</v>
      </c>
      <c r="U68">
        <v>48</v>
      </c>
      <c r="V68">
        <v>0.7</v>
      </c>
      <c r="W68">
        <v>0.65</v>
      </c>
      <c r="X68">
        <v>1.8</v>
      </c>
      <c r="Y68">
        <v>27.674087950000001</v>
      </c>
      <c r="Z68">
        <v>0.6</v>
      </c>
      <c r="BP68">
        <v>2243.977539</v>
      </c>
      <c r="BQ68">
        <v>209.52160710000001</v>
      </c>
      <c r="BR68">
        <v>100</v>
      </c>
      <c r="BV68">
        <v>0.1122433</v>
      </c>
      <c r="BW68">
        <f t="shared" si="81"/>
        <v>0.1122433</v>
      </c>
      <c r="BX68">
        <f t="shared" si="82"/>
        <v>1.0000000000000001E-5</v>
      </c>
      <c r="BY68">
        <v>0.45</v>
      </c>
      <c r="BZ68">
        <f t="shared" si="79"/>
        <v>0.45</v>
      </c>
      <c r="CA68">
        <f t="shared" si="83"/>
        <v>0.01</v>
      </c>
      <c r="CB68">
        <v>0.3</v>
      </c>
      <c r="CC68">
        <v>0.3</v>
      </c>
      <c r="CD68">
        <v>0.3</v>
      </c>
    </row>
    <row r="69" spans="1:82" x14ac:dyDescent="0.25">
      <c r="A69">
        <v>44</v>
      </c>
      <c r="B69">
        <v>177</v>
      </c>
      <c r="C69" t="str">
        <f t="shared" si="78"/>
        <v>BainEtal_Reverse</v>
      </c>
      <c r="E69">
        <v>560</v>
      </c>
      <c r="G69">
        <v>7.1</v>
      </c>
      <c r="J69" t="s">
        <v>64</v>
      </c>
      <c r="K69">
        <v>3</v>
      </c>
      <c r="L69">
        <v>9</v>
      </c>
      <c r="M69">
        <v>290000</v>
      </c>
      <c r="P69">
        <v>300</v>
      </c>
      <c r="Q69" t="s">
        <v>42</v>
      </c>
      <c r="S69">
        <v>20</v>
      </c>
      <c r="T69">
        <v>44</v>
      </c>
      <c r="U69">
        <v>62.2</v>
      </c>
      <c r="V69">
        <v>0.8</v>
      </c>
      <c r="W69">
        <v>0.75</v>
      </c>
      <c r="X69">
        <v>2.4</v>
      </c>
      <c r="Y69">
        <v>54.839880450000003</v>
      </c>
      <c r="Z69">
        <v>1</v>
      </c>
      <c r="BP69">
        <v>4446.7394979999999</v>
      </c>
      <c r="BQ69">
        <v>95.9923967</v>
      </c>
      <c r="BR69">
        <v>95.9923967</v>
      </c>
      <c r="BV69">
        <v>2.2897476999999999</v>
      </c>
      <c r="BW69">
        <f t="shared" si="81"/>
        <v>2.2897476999999999</v>
      </c>
      <c r="BX69">
        <f t="shared" si="82"/>
        <v>1.0000000000000001E-5</v>
      </c>
      <c r="BY69">
        <v>0.45</v>
      </c>
      <c r="BZ69">
        <f t="shared" si="79"/>
        <v>0.45</v>
      </c>
      <c r="CA69">
        <f t="shared" si="83"/>
        <v>0.01</v>
      </c>
      <c r="CB69">
        <v>0.3</v>
      </c>
      <c r="CC69">
        <v>0.3</v>
      </c>
      <c r="CD69">
        <v>0.3</v>
      </c>
    </row>
    <row r="70" spans="1:82" x14ac:dyDescent="0.25">
      <c r="A70">
        <v>45</v>
      </c>
      <c r="B70">
        <v>177</v>
      </c>
      <c r="C70" t="str">
        <f t="shared" si="78"/>
        <v>BainEtal_Reverse</v>
      </c>
      <c r="E70">
        <v>1257</v>
      </c>
      <c r="G70">
        <v>6.5</v>
      </c>
      <c r="J70" t="s">
        <v>65</v>
      </c>
      <c r="K70">
        <v>3</v>
      </c>
      <c r="L70">
        <v>8</v>
      </c>
      <c r="M70">
        <v>241000</v>
      </c>
      <c r="P70">
        <v>100</v>
      </c>
      <c r="Q70" t="s">
        <v>42</v>
      </c>
      <c r="S70">
        <v>18</v>
      </c>
      <c r="T70">
        <v>32</v>
      </c>
      <c r="U70">
        <v>33.5</v>
      </c>
      <c r="V70">
        <v>0.6</v>
      </c>
      <c r="W70">
        <v>0.55000000000000004</v>
      </c>
      <c r="X70">
        <v>1.2</v>
      </c>
      <c r="Y70">
        <v>27.05812276</v>
      </c>
      <c r="Z70">
        <v>0.3</v>
      </c>
      <c r="BP70">
        <v>1059.621441</v>
      </c>
      <c r="BQ70">
        <v>249.48299940000001</v>
      </c>
      <c r="BR70">
        <v>50</v>
      </c>
      <c r="BV70">
        <v>2.64906E-2</v>
      </c>
      <c r="BW70">
        <f t="shared" si="81"/>
        <v>2.64906E-2</v>
      </c>
      <c r="BX70">
        <f t="shared" si="82"/>
        <v>1.0000000000000001E-5</v>
      </c>
      <c r="BY70">
        <v>0.45</v>
      </c>
      <c r="BZ70">
        <f t="shared" si="79"/>
        <v>0.45</v>
      </c>
      <c r="CA70">
        <f t="shared" si="83"/>
        <v>0.01</v>
      </c>
      <c r="CB70">
        <v>0.3</v>
      </c>
      <c r="CC70">
        <v>0.3</v>
      </c>
      <c r="CD70">
        <v>0.3</v>
      </c>
    </row>
    <row r="71" spans="1:82" x14ac:dyDescent="0.25">
      <c r="A71">
        <v>46</v>
      </c>
      <c r="B71">
        <v>178</v>
      </c>
      <c r="C71" t="str">
        <f t="shared" si="78"/>
        <v>BainEtal_Reverse</v>
      </c>
      <c r="E71">
        <v>1257</v>
      </c>
      <c r="G71">
        <v>6.5</v>
      </c>
      <c r="J71" t="s">
        <v>34</v>
      </c>
      <c r="K71">
        <v>8</v>
      </c>
      <c r="L71">
        <v>10</v>
      </c>
      <c r="M71">
        <v>359000</v>
      </c>
      <c r="P71">
        <v>200</v>
      </c>
      <c r="Q71" t="s">
        <v>42</v>
      </c>
      <c r="S71">
        <v>19</v>
      </c>
      <c r="T71">
        <v>38</v>
      </c>
      <c r="U71">
        <v>48</v>
      </c>
      <c r="V71">
        <v>0.7</v>
      </c>
      <c r="W71">
        <v>0.65</v>
      </c>
      <c r="X71">
        <v>1.8</v>
      </c>
      <c r="Y71">
        <v>62.118443849999998</v>
      </c>
      <c r="Z71">
        <v>0.6</v>
      </c>
      <c r="BP71">
        <v>2432.6164659999999</v>
      </c>
      <c r="BQ71">
        <v>177.15355159999999</v>
      </c>
      <c r="BR71">
        <v>100</v>
      </c>
      <c r="BV71">
        <v>0.12343610000000001</v>
      </c>
      <c r="BW71">
        <f t="shared" si="81"/>
        <v>0.12343610000000001</v>
      </c>
      <c r="BX71">
        <f t="shared" si="82"/>
        <v>1.0000000000000001E-5</v>
      </c>
      <c r="BY71">
        <v>0.45</v>
      </c>
      <c r="BZ71">
        <f t="shared" si="79"/>
        <v>0.45</v>
      </c>
      <c r="CA71">
        <f t="shared" si="83"/>
        <v>0.01</v>
      </c>
      <c r="CB71">
        <v>0.3</v>
      </c>
      <c r="CC71">
        <v>0.3</v>
      </c>
      <c r="CD71">
        <v>0.3</v>
      </c>
    </row>
    <row r="72" spans="1:82" x14ac:dyDescent="0.25">
      <c r="A72">
        <v>47</v>
      </c>
      <c r="B72">
        <v>175</v>
      </c>
      <c r="C72" t="str">
        <f t="shared" si="78"/>
        <v>BainEtal_Reverse</v>
      </c>
      <c r="E72">
        <v>1257</v>
      </c>
      <c r="G72">
        <v>6.5</v>
      </c>
      <c r="J72" t="s">
        <v>64</v>
      </c>
      <c r="K72">
        <v>3</v>
      </c>
      <c r="L72">
        <v>9</v>
      </c>
      <c r="M72">
        <v>290000</v>
      </c>
      <c r="P72">
        <v>300</v>
      </c>
      <c r="Q72" t="s">
        <v>42</v>
      </c>
      <c r="S72">
        <v>20</v>
      </c>
      <c r="T72">
        <v>44</v>
      </c>
      <c r="U72">
        <v>62.2</v>
      </c>
      <c r="V72">
        <v>0.8</v>
      </c>
      <c r="W72">
        <v>0.75</v>
      </c>
      <c r="X72">
        <v>2.4</v>
      </c>
      <c r="Y72">
        <v>123.0959459</v>
      </c>
      <c r="Z72">
        <v>1</v>
      </c>
      <c r="BP72">
        <v>4820.552584</v>
      </c>
      <c r="BQ72">
        <v>90.33357694</v>
      </c>
      <c r="BR72">
        <v>90.33357694</v>
      </c>
      <c r="BV72">
        <v>2.7526799999999998</v>
      </c>
      <c r="BW72">
        <f t="shared" si="81"/>
        <v>2.7526799999999998</v>
      </c>
      <c r="BX72">
        <f t="shared" si="82"/>
        <v>1.0000000000000001E-5</v>
      </c>
      <c r="BY72">
        <v>0.45</v>
      </c>
      <c r="BZ72">
        <f t="shared" si="79"/>
        <v>0.45</v>
      </c>
      <c r="CA72">
        <f t="shared" si="83"/>
        <v>0.01</v>
      </c>
      <c r="CB72">
        <v>0.3</v>
      </c>
      <c r="CC72">
        <v>0.3</v>
      </c>
      <c r="CD72">
        <v>0.3</v>
      </c>
    </row>
    <row r="73" spans="1:82" x14ac:dyDescent="0.25">
      <c r="A73">
        <v>48</v>
      </c>
      <c r="B73">
        <v>178</v>
      </c>
      <c r="C73" t="str">
        <f t="shared" si="78"/>
        <v>BainEtal_Reverse</v>
      </c>
      <c r="E73">
        <v>1723</v>
      </c>
      <c r="G73">
        <v>9.5</v>
      </c>
      <c r="J73" t="s">
        <v>39</v>
      </c>
      <c r="K73">
        <v>14</v>
      </c>
      <c r="L73">
        <v>15</v>
      </c>
      <c r="M73">
        <v>483000</v>
      </c>
      <c r="P73">
        <v>100</v>
      </c>
      <c r="Q73" t="s">
        <v>42</v>
      </c>
      <c r="S73">
        <v>18</v>
      </c>
      <c r="T73">
        <v>32</v>
      </c>
      <c r="U73">
        <v>33.5</v>
      </c>
      <c r="V73">
        <v>0.6</v>
      </c>
      <c r="W73">
        <v>0.55000000000000004</v>
      </c>
      <c r="X73">
        <v>1.2</v>
      </c>
      <c r="Y73">
        <v>37.089216800000003</v>
      </c>
      <c r="Z73">
        <v>0.3</v>
      </c>
      <c r="BP73">
        <v>725.25390489999995</v>
      </c>
      <c r="BQ73">
        <v>584.57292270000005</v>
      </c>
      <c r="BR73">
        <v>50</v>
      </c>
      <c r="BV73">
        <v>1.81313E-2</v>
      </c>
      <c r="BW73">
        <f t="shared" si="81"/>
        <v>1.81313E-2</v>
      </c>
      <c r="BX73">
        <f t="shared" si="82"/>
        <v>1.0000000000000001E-5</v>
      </c>
      <c r="BY73">
        <v>0.45</v>
      </c>
      <c r="BZ73">
        <f t="shared" si="79"/>
        <v>0.45</v>
      </c>
      <c r="CA73">
        <f t="shared" si="83"/>
        <v>0.01</v>
      </c>
      <c r="CB73">
        <v>0.3</v>
      </c>
      <c r="CC73">
        <v>0.3</v>
      </c>
      <c r="CD73">
        <v>0.3</v>
      </c>
    </row>
    <row r="74" spans="1:82" x14ac:dyDescent="0.25">
      <c r="A74">
        <v>49</v>
      </c>
      <c r="B74">
        <v>178</v>
      </c>
      <c r="C74" t="str">
        <f t="shared" si="78"/>
        <v>BainEtal_Reverse</v>
      </c>
      <c r="E74">
        <v>1723</v>
      </c>
      <c r="G74">
        <v>9.5</v>
      </c>
      <c r="J74" t="s">
        <v>64</v>
      </c>
      <c r="K74">
        <v>3</v>
      </c>
      <c r="L74">
        <v>9</v>
      </c>
      <c r="M74">
        <v>290000</v>
      </c>
      <c r="P74">
        <v>200</v>
      </c>
      <c r="Q74" t="s">
        <v>42</v>
      </c>
      <c r="S74">
        <v>19</v>
      </c>
      <c r="T74">
        <v>38</v>
      </c>
      <c r="U74">
        <v>48</v>
      </c>
      <c r="V74">
        <v>0.7</v>
      </c>
      <c r="W74">
        <v>0.65</v>
      </c>
      <c r="X74">
        <v>1.8</v>
      </c>
      <c r="Y74">
        <v>85.147238470000005</v>
      </c>
      <c r="Z74">
        <v>0.6</v>
      </c>
      <c r="BP74">
        <v>1664.9951799999999</v>
      </c>
      <c r="BQ74">
        <v>209.7891731</v>
      </c>
      <c r="BR74">
        <v>100</v>
      </c>
      <c r="BV74">
        <v>8.3419099999999996E-2</v>
      </c>
      <c r="BW74">
        <f t="shared" si="81"/>
        <v>8.3419099999999996E-2</v>
      </c>
      <c r="BX74">
        <f t="shared" si="82"/>
        <v>1.0000000000000001E-5</v>
      </c>
      <c r="BY74">
        <v>0.45</v>
      </c>
      <c r="BZ74">
        <f t="shared" si="79"/>
        <v>0.45</v>
      </c>
      <c r="CA74">
        <f t="shared" si="83"/>
        <v>0.01</v>
      </c>
      <c r="CB74">
        <v>0.3</v>
      </c>
      <c r="CC74">
        <v>0.3</v>
      </c>
      <c r="CD74">
        <v>0.3</v>
      </c>
    </row>
    <row r="75" spans="1:82" x14ac:dyDescent="0.25">
      <c r="A75">
        <v>50</v>
      </c>
      <c r="B75">
        <v>176</v>
      </c>
      <c r="C75" t="str">
        <f t="shared" si="78"/>
        <v>BainEtal_Reverse</v>
      </c>
      <c r="E75">
        <v>1723</v>
      </c>
      <c r="G75">
        <v>9.5</v>
      </c>
      <c r="J75" t="s">
        <v>64</v>
      </c>
      <c r="K75">
        <v>3</v>
      </c>
      <c r="L75">
        <v>9</v>
      </c>
      <c r="M75">
        <v>290000</v>
      </c>
      <c r="P75">
        <v>300</v>
      </c>
      <c r="Q75" t="s">
        <v>42</v>
      </c>
      <c r="S75">
        <v>20</v>
      </c>
      <c r="T75">
        <v>44</v>
      </c>
      <c r="U75">
        <v>62.2</v>
      </c>
      <c r="V75">
        <v>0.8</v>
      </c>
      <c r="W75">
        <v>0.75</v>
      </c>
      <c r="X75">
        <v>2.4</v>
      </c>
      <c r="Y75">
        <v>168.73056070000001</v>
      </c>
      <c r="Z75">
        <v>1</v>
      </c>
      <c r="BP75">
        <v>3299.4090630000001</v>
      </c>
      <c r="BQ75">
        <v>125.57334109999999</v>
      </c>
      <c r="BR75">
        <v>125.57334109999999</v>
      </c>
      <c r="BV75">
        <v>1.7483107</v>
      </c>
      <c r="BW75">
        <f t="shared" si="81"/>
        <v>1.7483107</v>
      </c>
      <c r="BX75">
        <f t="shared" si="82"/>
        <v>1.0000000000000001E-5</v>
      </c>
      <c r="BY75">
        <v>0.45</v>
      </c>
      <c r="BZ75">
        <f t="shared" si="79"/>
        <v>0.45</v>
      </c>
      <c r="CA75">
        <f t="shared" si="83"/>
        <v>0.01</v>
      </c>
      <c r="CB75">
        <v>0.3</v>
      </c>
      <c r="CC75">
        <v>0.3</v>
      </c>
      <c r="CD75">
        <v>0.3</v>
      </c>
    </row>
    <row r="76" spans="1:82" x14ac:dyDescent="0.25">
      <c r="A76">
        <v>51</v>
      </c>
      <c r="B76">
        <v>175</v>
      </c>
      <c r="C76" t="str">
        <f t="shared" si="78"/>
        <v>BainEtal_Reverse</v>
      </c>
      <c r="E76">
        <v>168</v>
      </c>
      <c r="G76">
        <v>4.8</v>
      </c>
      <c r="J76" t="s">
        <v>34</v>
      </c>
      <c r="K76">
        <v>8</v>
      </c>
      <c r="L76">
        <v>10</v>
      </c>
      <c r="M76">
        <v>359000</v>
      </c>
      <c r="P76">
        <v>100</v>
      </c>
      <c r="Q76" t="s">
        <v>42</v>
      </c>
      <c r="S76">
        <v>18</v>
      </c>
      <c r="T76">
        <v>32</v>
      </c>
      <c r="U76">
        <v>33.5</v>
      </c>
      <c r="V76">
        <v>0.6</v>
      </c>
      <c r="W76">
        <v>0.55000000000000004</v>
      </c>
      <c r="X76">
        <v>1.2</v>
      </c>
      <c r="Y76">
        <v>3.6163600819999999</v>
      </c>
      <c r="Z76">
        <v>0.3</v>
      </c>
      <c r="BP76">
        <v>1469.4689109999999</v>
      </c>
      <c r="BQ76">
        <v>250.59552020000001</v>
      </c>
      <c r="BR76">
        <v>50</v>
      </c>
      <c r="BV76">
        <v>3.6736699999999997E-2</v>
      </c>
      <c r="BW76">
        <f t="shared" si="81"/>
        <v>3.6736699999999997E-2</v>
      </c>
      <c r="BX76">
        <f t="shared" si="82"/>
        <v>1.0000000000000001E-5</v>
      </c>
      <c r="BY76">
        <v>0.45</v>
      </c>
      <c r="BZ76">
        <f t="shared" si="79"/>
        <v>0.45</v>
      </c>
      <c r="CA76">
        <f t="shared" si="83"/>
        <v>0.01</v>
      </c>
      <c r="CB76">
        <v>0.3</v>
      </c>
      <c r="CC76">
        <v>0.3</v>
      </c>
      <c r="CD76">
        <v>0.3</v>
      </c>
    </row>
    <row r="77" spans="1:82" x14ac:dyDescent="0.25">
      <c r="A77">
        <v>52</v>
      </c>
      <c r="B77">
        <v>175</v>
      </c>
      <c r="C77" t="str">
        <f t="shared" si="78"/>
        <v>BainEtal_Reverse</v>
      </c>
      <c r="E77">
        <v>168</v>
      </c>
      <c r="G77">
        <v>4.8</v>
      </c>
      <c r="J77" t="s">
        <v>64</v>
      </c>
      <c r="K77">
        <v>3</v>
      </c>
      <c r="L77">
        <v>9</v>
      </c>
      <c r="M77">
        <v>290000</v>
      </c>
      <c r="P77">
        <v>200</v>
      </c>
      <c r="Q77" t="s">
        <v>42</v>
      </c>
      <c r="S77">
        <v>19</v>
      </c>
      <c r="T77">
        <v>38</v>
      </c>
      <c r="U77">
        <v>48</v>
      </c>
      <c r="V77">
        <v>0.7</v>
      </c>
      <c r="W77">
        <v>0.65</v>
      </c>
      <c r="X77">
        <v>1.8</v>
      </c>
      <c r="Y77">
        <v>8.3022263859999992</v>
      </c>
      <c r="Z77">
        <v>0.6</v>
      </c>
      <c r="BP77">
        <v>3373.5201390000002</v>
      </c>
      <c r="BQ77">
        <v>112.3792277</v>
      </c>
      <c r="BR77">
        <v>100</v>
      </c>
      <c r="BV77">
        <v>0.3660738</v>
      </c>
      <c r="BW77">
        <f t="shared" si="81"/>
        <v>0.3660738</v>
      </c>
      <c r="BX77">
        <f t="shared" si="82"/>
        <v>1.0000000000000001E-5</v>
      </c>
      <c r="BY77">
        <v>0.45</v>
      </c>
      <c r="BZ77">
        <f t="shared" si="79"/>
        <v>0.45</v>
      </c>
      <c r="CA77">
        <f t="shared" si="83"/>
        <v>0.01</v>
      </c>
      <c r="CB77">
        <v>0.3</v>
      </c>
      <c r="CC77">
        <v>0.3</v>
      </c>
      <c r="CD77">
        <v>0.3</v>
      </c>
    </row>
    <row r="78" spans="1:82" x14ac:dyDescent="0.25">
      <c r="A78">
        <v>53</v>
      </c>
      <c r="B78">
        <v>175</v>
      </c>
      <c r="C78" t="str">
        <f t="shared" si="78"/>
        <v>BainEtal_Reverse</v>
      </c>
      <c r="E78">
        <v>168</v>
      </c>
      <c r="G78">
        <v>4.8</v>
      </c>
      <c r="J78" t="s">
        <v>41</v>
      </c>
      <c r="K78">
        <v>15</v>
      </c>
      <c r="L78">
        <v>20</v>
      </c>
      <c r="M78">
        <v>552000</v>
      </c>
      <c r="P78">
        <v>300</v>
      </c>
      <c r="Q78" t="s">
        <v>42</v>
      </c>
      <c r="S78">
        <v>20</v>
      </c>
      <c r="T78">
        <v>44</v>
      </c>
      <c r="U78">
        <v>62.2</v>
      </c>
      <c r="V78">
        <v>0.8</v>
      </c>
      <c r="W78">
        <v>0.75</v>
      </c>
      <c r="X78">
        <v>2.4</v>
      </c>
      <c r="Y78">
        <v>16.451964140000001</v>
      </c>
      <c r="Z78">
        <v>1</v>
      </c>
      <c r="BP78">
        <v>6685.0781649999999</v>
      </c>
      <c r="BQ78">
        <v>109.07765000000001</v>
      </c>
      <c r="BR78">
        <v>109.07765000000001</v>
      </c>
      <c r="BV78">
        <v>68.558872100000002</v>
      </c>
      <c r="BW78">
        <f t="shared" si="81"/>
        <v>68.558872100000002</v>
      </c>
      <c r="BX78">
        <f t="shared" si="82"/>
        <v>1.0000000000000001E-5</v>
      </c>
      <c r="BY78">
        <v>0.45</v>
      </c>
      <c r="BZ78">
        <f t="shared" si="79"/>
        <v>0.45</v>
      </c>
      <c r="CA78">
        <f t="shared" si="83"/>
        <v>0.01</v>
      </c>
      <c r="CB78">
        <v>0.3</v>
      </c>
      <c r="CC78">
        <v>0.3</v>
      </c>
      <c r="CD78">
        <v>0.3</v>
      </c>
    </row>
    <row r="79" spans="1:82" x14ac:dyDescent="0.25">
      <c r="A79">
        <v>54</v>
      </c>
      <c r="B79">
        <v>176</v>
      </c>
      <c r="C79" t="str">
        <f t="shared" si="78"/>
        <v>BainEtal_Reverse</v>
      </c>
      <c r="E79">
        <v>762</v>
      </c>
      <c r="G79">
        <v>9.5</v>
      </c>
      <c r="J79" t="s">
        <v>41</v>
      </c>
      <c r="K79">
        <v>15</v>
      </c>
      <c r="L79">
        <v>20</v>
      </c>
      <c r="M79">
        <v>552000</v>
      </c>
      <c r="P79">
        <v>100</v>
      </c>
      <c r="Q79" t="s">
        <v>42</v>
      </c>
      <c r="S79">
        <v>18</v>
      </c>
      <c r="T79">
        <v>32</v>
      </c>
      <c r="U79">
        <v>33.5</v>
      </c>
      <c r="V79">
        <v>0.6</v>
      </c>
      <c r="W79">
        <v>0.55000000000000004</v>
      </c>
      <c r="X79">
        <v>1.2</v>
      </c>
      <c r="Y79">
        <v>16.40277609</v>
      </c>
      <c r="Z79">
        <v>0.3</v>
      </c>
      <c r="BP79">
        <v>730.36066300000005</v>
      </c>
      <c r="BQ79">
        <v>636.81414540000003</v>
      </c>
      <c r="BR79">
        <v>50</v>
      </c>
      <c r="BV79">
        <v>1.8259000000000001E-2</v>
      </c>
      <c r="BW79">
        <f t="shared" si="81"/>
        <v>1.8259000000000001E-2</v>
      </c>
      <c r="BX79">
        <f t="shared" si="82"/>
        <v>1.0000000000000001E-5</v>
      </c>
      <c r="BY79">
        <v>0.45</v>
      </c>
      <c r="BZ79">
        <f t="shared" si="79"/>
        <v>0.45</v>
      </c>
      <c r="CA79">
        <f t="shared" si="83"/>
        <v>0.01</v>
      </c>
      <c r="CB79">
        <v>0.3</v>
      </c>
      <c r="CC79">
        <v>0.3</v>
      </c>
      <c r="CD79">
        <v>0.3</v>
      </c>
    </row>
    <row r="80" spans="1:82" x14ac:dyDescent="0.25">
      <c r="A80">
        <v>55</v>
      </c>
      <c r="B80">
        <v>177</v>
      </c>
      <c r="C80" t="str">
        <f t="shared" si="78"/>
        <v>BainEtal_Reverse</v>
      </c>
      <c r="E80">
        <v>762</v>
      </c>
      <c r="G80">
        <v>9.5</v>
      </c>
      <c r="J80" t="s">
        <v>34</v>
      </c>
      <c r="K80">
        <v>8</v>
      </c>
      <c r="L80">
        <v>10</v>
      </c>
      <c r="M80">
        <v>359000</v>
      </c>
      <c r="P80">
        <v>200</v>
      </c>
      <c r="Q80" t="s">
        <v>42</v>
      </c>
      <c r="S80">
        <v>19</v>
      </c>
      <c r="T80">
        <v>38</v>
      </c>
      <c r="U80">
        <v>48</v>
      </c>
      <c r="V80">
        <v>0.7</v>
      </c>
      <c r="W80">
        <v>0.65</v>
      </c>
      <c r="X80">
        <v>1.8</v>
      </c>
      <c r="Y80">
        <v>37.656526820000003</v>
      </c>
      <c r="Z80">
        <v>0.6</v>
      </c>
      <c r="BP80">
        <v>1676.7189739999999</v>
      </c>
      <c r="BQ80">
        <v>242.6722742</v>
      </c>
      <c r="BR80">
        <v>100</v>
      </c>
      <c r="BV80">
        <v>8.3866099999999999E-2</v>
      </c>
      <c r="BW80">
        <f t="shared" si="81"/>
        <v>8.3866099999999999E-2</v>
      </c>
      <c r="BX80">
        <f t="shared" si="82"/>
        <v>1.0000000000000001E-5</v>
      </c>
      <c r="BY80">
        <v>0.45</v>
      </c>
      <c r="BZ80">
        <f t="shared" si="79"/>
        <v>0.45</v>
      </c>
      <c r="CA80">
        <f t="shared" si="83"/>
        <v>0.01</v>
      </c>
      <c r="CB80">
        <v>0.3</v>
      </c>
      <c r="CC80">
        <v>0.3</v>
      </c>
      <c r="CD80">
        <v>0.3</v>
      </c>
    </row>
    <row r="81" spans="1:82" x14ac:dyDescent="0.25">
      <c r="A81">
        <v>56</v>
      </c>
      <c r="B81">
        <v>179</v>
      </c>
      <c r="C81" t="str">
        <f t="shared" si="78"/>
        <v>BainEtal_Reverse</v>
      </c>
      <c r="E81">
        <v>762</v>
      </c>
      <c r="G81">
        <v>9.5</v>
      </c>
      <c r="J81" t="s">
        <v>41</v>
      </c>
      <c r="K81">
        <v>15</v>
      </c>
      <c r="L81">
        <v>20</v>
      </c>
      <c r="M81">
        <v>552000</v>
      </c>
      <c r="P81">
        <v>300</v>
      </c>
      <c r="Q81" t="s">
        <v>42</v>
      </c>
      <c r="S81">
        <v>20</v>
      </c>
      <c r="T81">
        <v>44</v>
      </c>
      <c r="U81">
        <v>62.2</v>
      </c>
      <c r="V81">
        <v>0.8</v>
      </c>
      <c r="W81">
        <v>0.75</v>
      </c>
      <c r="X81">
        <v>2.4</v>
      </c>
      <c r="Y81">
        <v>74.621408759999994</v>
      </c>
      <c r="Z81">
        <v>1</v>
      </c>
      <c r="BP81">
        <v>3322.6413189999998</v>
      </c>
      <c r="BQ81">
        <v>200.65724950000001</v>
      </c>
      <c r="BR81">
        <v>150</v>
      </c>
      <c r="BV81">
        <v>0.27227249999999997</v>
      </c>
      <c r="BW81">
        <f t="shared" si="81"/>
        <v>0.27227249999999997</v>
      </c>
      <c r="BX81">
        <f t="shared" si="82"/>
        <v>1.0000000000000001E-5</v>
      </c>
      <c r="BY81">
        <v>0.45</v>
      </c>
      <c r="BZ81">
        <f t="shared" si="79"/>
        <v>0.45</v>
      </c>
      <c r="CA81">
        <f t="shared" si="83"/>
        <v>0.01</v>
      </c>
      <c r="CB81">
        <v>0.3</v>
      </c>
      <c r="CC81">
        <v>0.3</v>
      </c>
      <c r="CD81">
        <v>0.3</v>
      </c>
    </row>
    <row r="82" spans="1:82" x14ac:dyDescent="0.25">
      <c r="A82">
        <v>57</v>
      </c>
      <c r="B82">
        <v>177</v>
      </c>
      <c r="C82" t="str">
        <f t="shared" si="78"/>
        <v>BainEtal_Reverse</v>
      </c>
      <c r="E82">
        <v>610</v>
      </c>
      <c r="G82">
        <v>6.4</v>
      </c>
      <c r="J82" t="s">
        <v>34</v>
      </c>
      <c r="K82">
        <v>8</v>
      </c>
      <c r="L82">
        <v>10</v>
      </c>
      <c r="M82">
        <v>359000</v>
      </c>
      <c r="P82">
        <v>100</v>
      </c>
      <c r="Q82" t="s">
        <v>42</v>
      </c>
      <c r="S82">
        <v>18</v>
      </c>
      <c r="T82">
        <v>32</v>
      </c>
      <c r="U82">
        <v>33.5</v>
      </c>
      <c r="V82">
        <v>0.6</v>
      </c>
      <c r="W82">
        <v>0.55000000000000004</v>
      </c>
      <c r="X82">
        <v>1.2</v>
      </c>
      <c r="Y82">
        <v>13.13083125</v>
      </c>
      <c r="Z82">
        <v>0.3</v>
      </c>
      <c r="BP82">
        <v>1081.9648259999999</v>
      </c>
      <c r="BQ82">
        <v>327.81318340000001</v>
      </c>
      <c r="BR82">
        <v>50</v>
      </c>
      <c r="BV82">
        <v>2.70491E-2</v>
      </c>
      <c r="BW82">
        <f t="shared" si="81"/>
        <v>2.70491E-2</v>
      </c>
      <c r="BX82">
        <f t="shared" si="82"/>
        <v>1.0000000000000001E-5</v>
      </c>
      <c r="BY82">
        <v>0.45</v>
      </c>
      <c r="BZ82">
        <f t="shared" si="79"/>
        <v>0.45</v>
      </c>
      <c r="CA82">
        <f t="shared" si="83"/>
        <v>0.01</v>
      </c>
      <c r="CB82">
        <v>0.3</v>
      </c>
      <c r="CC82">
        <v>0.3</v>
      </c>
      <c r="CD82">
        <v>0.3</v>
      </c>
    </row>
    <row r="83" spans="1:82" x14ac:dyDescent="0.25">
      <c r="A83">
        <v>58</v>
      </c>
      <c r="B83">
        <v>180</v>
      </c>
      <c r="C83" t="str">
        <f t="shared" si="78"/>
        <v>BainEtal_Reverse</v>
      </c>
      <c r="E83">
        <v>610</v>
      </c>
      <c r="G83">
        <v>6.4</v>
      </c>
      <c r="J83" t="s">
        <v>41</v>
      </c>
      <c r="K83">
        <v>15</v>
      </c>
      <c r="L83">
        <v>20</v>
      </c>
      <c r="M83">
        <v>552000</v>
      </c>
      <c r="P83">
        <v>200</v>
      </c>
      <c r="Q83" t="s">
        <v>42</v>
      </c>
      <c r="S83">
        <v>19</v>
      </c>
      <c r="T83">
        <v>38</v>
      </c>
      <c r="U83">
        <v>48</v>
      </c>
      <c r="V83">
        <v>0.7</v>
      </c>
      <c r="W83">
        <v>0.65</v>
      </c>
      <c r="X83">
        <v>1.8</v>
      </c>
      <c r="Y83">
        <v>30.144988659999999</v>
      </c>
      <c r="Z83">
        <v>0.6</v>
      </c>
      <c r="BP83">
        <v>2483.9110930000002</v>
      </c>
      <c r="BQ83">
        <v>238.38257490000001</v>
      </c>
      <c r="BR83">
        <v>100</v>
      </c>
      <c r="BV83">
        <v>0.1241956</v>
      </c>
      <c r="BW83">
        <f t="shared" si="81"/>
        <v>0.1241956</v>
      </c>
      <c r="BX83">
        <f t="shared" si="82"/>
        <v>1.0000000000000001E-5</v>
      </c>
      <c r="BY83">
        <v>0.45</v>
      </c>
      <c r="BZ83">
        <f t="shared" si="79"/>
        <v>0.45</v>
      </c>
      <c r="CA83">
        <f t="shared" si="83"/>
        <v>0.01</v>
      </c>
      <c r="CB83">
        <v>0.3</v>
      </c>
      <c r="CC83">
        <v>0.3</v>
      </c>
      <c r="CD83">
        <v>0.3</v>
      </c>
    </row>
    <row r="84" spans="1:82" x14ac:dyDescent="0.25">
      <c r="A84">
        <v>59</v>
      </c>
      <c r="B84">
        <v>177</v>
      </c>
      <c r="C84" t="str">
        <f t="shared" si="78"/>
        <v>BainEtal_Reverse</v>
      </c>
      <c r="E84">
        <v>610</v>
      </c>
      <c r="G84">
        <v>6.4</v>
      </c>
      <c r="J84" t="s">
        <v>64</v>
      </c>
      <c r="K84">
        <v>3</v>
      </c>
      <c r="L84">
        <v>9</v>
      </c>
      <c r="M84">
        <v>290000</v>
      </c>
      <c r="P84">
        <v>300</v>
      </c>
      <c r="Q84" t="s">
        <v>42</v>
      </c>
      <c r="S84">
        <v>20</v>
      </c>
      <c r="T84">
        <v>44</v>
      </c>
      <c r="U84">
        <v>62.2</v>
      </c>
      <c r="V84">
        <v>0.8</v>
      </c>
      <c r="W84">
        <v>0.75</v>
      </c>
      <c r="X84">
        <v>2.4</v>
      </c>
      <c r="Y84">
        <v>59.736298349999998</v>
      </c>
      <c r="Z84">
        <v>1</v>
      </c>
      <c r="BP84">
        <v>4922.1997000000001</v>
      </c>
      <c r="BQ84">
        <v>87.994095999999999</v>
      </c>
      <c r="BR84">
        <v>87.994095999999999</v>
      </c>
      <c r="BV84">
        <v>2.6189157999999999</v>
      </c>
      <c r="BW84">
        <f t="shared" si="81"/>
        <v>2.6189157999999999</v>
      </c>
      <c r="BX84">
        <f t="shared" si="82"/>
        <v>1.0000000000000001E-5</v>
      </c>
      <c r="BY84">
        <v>0.45</v>
      </c>
      <c r="BZ84">
        <f t="shared" si="79"/>
        <v>0.45</v>
      </c>
      <c r="CA84">
        <f t="shared" si="83"/>
        <v>0.01</v>
      </c>
      <c r="CB84">
        <v>0.3</v>
      </c>
      <c r="CC84">
        <v>0.3</v>
      </c>
      <c r="CD84">
        <v>0.3</v>
      </c>
    </row>
    <row r="85" spans="1:82" x14ac:dyDescent="0.25">
      <c r="A85">
        <v>60</v>
      </c>
      <c r="B85">
        <v>175</v>
      </c>
      <c r="C85" t="str">
        <f t="shared" si="78"/>
        <v>BainEtal_Reverse</v>
      </c>
      <c r="E85">
        <v>406</v>
      </c>
      <c r="G85">
        <v>9.5</v>
      </c>
      <c r="J85" t="s">
        <v>34</v>
      </c>
      <c r="K85">
        <v>8</v>
      </c>
      <c r="L85">
        <v>10</v>
      </c>
      <c r="M85">
        <v>359000</v>
      </c>
      <c r="P85">
        <v>100</v>
      </c>
      <c r="Q85" t="s">
        <v>42</v>
      </c>
      <c r="S85">
        <v>18</v>
      </c>
      <c r="T85">
        <v>32</v>
      </c>
      <c r="U85">
        <v>33.5</v>
      </c>
      <c r="V85">
        <v>0.6</v>
      </c>
      <c r="W85">
        <v>0.55000000000000004</v>
      </c>
      <c r="X85">
        <v>1.2</v>
      </c>
      <c r="Y85">
        <v>8.7395368659999999</v>
      </c>
      <c r="Z85">
        <v>0.3</v>
      </c>
      <c r="BP85">
        <v>738.53613459999997</v>
      </c>
      <c r="BQ85">
        <v>455.79616240000001</v>
      </c>
      <c r="BR85">
        <v>50</v>
      </c>
      <c r="BV85">
        <v>1.8463400000000001E-2</v>
      </c>
      <c r="BW85">
        <f t="shared" si="81"/>
        <v>1.8463400000000001E-2</v>
      </c>
      <c r="BX85">
        <f t="shared" si="82"/>
        <v>1.0000000000000001E-5</v>
      </c>
      <c r="BY85">
        <v>0.45</v>
      </c>
      <c r="BZ85">
        <f t="shared" si="79"/>
        <v>0.45</v>
      </c>
      <c r="CA85">
        <f t="shared" si="83"/>
        <v>0.01</v>
      </c>
      <c r="CB85">
        <v>0.3</v>
      </c>
      <c r="CC85">
        <v>0.3</v>
      </c>
      <c r="CD85">
        <v>0.3</v>
      </c>
    </row>
    <row r="86" spans="1:82" x14ac:dyDescent="0.25">
      <c r="A86">
        <v>61</v>
      </c>
      <c r="B86">
        <v>176</v>
      </c>
      <c r="C86" t="str">
        <f t="shared" si="78"/>
        <v>BainEtal_Reverse</v>
      </c>
      <c r="E86">
        <v>406</v>
      </c>
      <c r="G86">
        <v>9.5</v>
      </c>
      <c r="J86" t="s">
        <v>65</v>
      </c>
      <c r="K86">
        <v>3</v>
      </c>
      <c r="L86">
        <v>8</v>
      </c>
      <c r="M86">
        <v>241000</v>
      </c>
      <c r="P86">
        <v>200</v>
      </c>
      <c r="Q86" t="s">
        <v>42</v>
      </c>
      <c r="S86">
        <v>19</v>
      </c>
      <c r="T86">
        <v>38</v>
      </c>
      <c r="U86">
        <v>48</v>
      </c>
      <c r="V86">
        <v>0.7</v>
      </c>
      <c r="W86">
        <v>0.65</v>
      </c>
      <c r="X86">
        <v>1.8</v>
      </c>
      <c r="Y86">
        <v>20.06371377</v>
      </c>
      <c r="Z86">
        <v>0.6</v>
      </c>
      <c r="BP86">
        <v>1695.48774</v>
      </c>
      <c r="BQ86">
        <v>177.87598059999999</v>
      </c>
      <c r="BR86">
        <v>100</v>
      </c>
      <c r="BV86">
        <v>8.6470099999999994E-2</v>
      </c>
      <c r="BW86">
        <f t="shared" si="81"/>
        <v>8.6470099999999994E-2</v>
      </c>
      <c r="BX86">
        <f t="shared" si="82"/>
        <v>1.0000000000000001E-5</v>
      </c>
      <c r="BY86">
        <v>0.45</v>
      </c>
      <c r="BZ86">
        <f t="shared" si="79"/>
        <v>0.45</v>
      </c>
      <c r="CA86">
        <f t="shared" si="83"/>
        <v>0.01</v>
      </c>
      <c r="CB86">
        <v>0.3</v>
      </c>
      <c r="CC86">
        <v>0.3</v>
      </c>
      <c r="CD86">
        <v>0.3</v>
      </c>
    </row>
    <row r="87" spans="1:82" x14ac:dyDescent="0.25">
      <c r="A87">
        <v>62</v>
      </c>
      <c r="B87">
        <v>177</v>
      </c>
      <c r="C87" t="str">
        <f t="shared" si="78"/>
        <v>BainEtal_Reverse</v>
      </c>
      <c r="E87">
        <v>406</v>
      </c>
      <c r="G87">
        <v>9.5</v>
      </c>
      <c r="J87" t="s">
        <v>65</v>
      </c>
      <c r="K87">
        <v>3</v>
      </c>
      <c r="L87">
        <v>8</v>
      </c>
      <c r="M87">
        <v>241000</v>
      </c>
      <c r="P87">
        <v>300</v>
      </c>
      <c r="Q87" t="s">
        <v>42</v>
      </c>
      <c r="S87">
        <v>20</v>
      </c>
      <c r="T87">
        <v>44</v>
      </c>
      <c r="U87">
        <v>62.2</v>
      </c>
      <c r="V87">
        <v>0.8</v>
      </c>
      <c r="W87">
        <v>0.75</v>
      </c>
      <c r="X87">
        <v>2.4</v>
      </c>
      <c r="Y87">
        <v>39.758913329999999</v>
      </c>
      <c r="Z87">
        <v>1</v>
      </c>
      <c r="BP87">
        <v>3359.8341209999999</v>
      </c>
      <c r="BQ87">
        <v>106.4710864</v>
      </c>
      <c r="BR87">
        <v>106.4710864</v>
      </c>
      <c r="BV87">
        <v>1.5838037</v>
      </c>
      <c r="BW87">
        <f t="shared" si="81"/>
        <v>1.5838037</v>
      </c>
      <c r="BX87">
        <f t="shared" si="82"/>
        <v>1.0000000000000001E-5</v>
      </c>
      <c r="BY87">
        <v>0.45</v>
      </c>
      <c r="BZ87">
        <f t="shared" si="79"/>
        <v>0.45</v>
      </c>
      <c r="CA87">
        <f t="shared" si="83"/>
        <v>0.01</v>
      </c>
      <c r="CB87">
        <v>0.3</v>
      </c>
      <c r="CC87">
        <v>0.3</v>
      </c>
      <c r="CD87">
        <v>0.3</v>
      </c>
    </row>
    <row r="88" spans="1:82" x14ac:dyDescent="0.25">
      <c r="A88">
        <v>63</v>
      </c>
      <c r="B88">
        <v>179</v>
      </c>
      <c r="C88" t="str">
        <f t="shared" si="78"/>
        <v>BainEtal_Reverse</v>
      </c>
      <c r="E88">
        <v>610</v>
      </c>
      <c r="G88">
        <v>10.199999999999999</v>
      </c>
      <c r="J88" t="s">
        <v>34</v>
      </c>
      <c r="K88">
        <v>8</v>
      </c>
      <c r="L88">
        <v>10</v>
      </c>
      <c r="M88">
        <v>359000</v>
      </c>
      <c r="P88">
        <v>100</v>
      </c>
      <c r="Q88" t="s">
        <v>35</v>
      </c>
      <c r="S88">
        <v>19</v>
      </c>
      <c r="T88">
        <v>38</v>
      </c>
      <c r="U88">
        <v>40</v>
      </c>
      <c r="V88">
        <v>0.75</v>
      </c>
      <c r="W88">
        <v>0.75</v>
      </c>
      <c r="X88">
        <v>1.2</v>
      </c>
      <c r="Y88">
        <v>57.49114556</v>
      </c>
      <c r="Z88">
        <v>0.5</v>
      </c>
      <c r="BP88">
        <v>2991.193143</v>
      </c>
      <c r="BQ88">
        <v>146.99126380000001</v>
      </c>
      <c r="BR88">
        <v>50</v>
      </c>
      <c r="BV88">
        <v>7.4788400000000005E-2</v>
      </c>
      <c r="BW88">
        <f t="shared" si="81"/>
        <v>7.4788400000000005E-2</v>
      </c>
      <c r="BX88">
        <f t="shared" si="82"/>
        <v>1.0000000000000001E-5</v>
      </c>
      <c r="BY88">
        <v>0.45</v>
      </c>
      <c r="BZ88">
        <f t="shared" si="79"/>
        <v>0.45</v>
      </c>
      <c r="CA88">
        <f t="shared" si="83"/>
        <v>0.01</v>
      </c>
      <c r="CB88">
        <v>0.3</v>
      </c>
      <c r="CC88">
        <v>0.3</v>
      </c>
      <c r="CD88">
        <v>0.3</v>
      </c>
    </row>
    <row r="89" spans="1:82" x14ac:dyDescent="0.25">
      <c r="A89">
        <v>64</v>
      </c>
      <c r="B89">
        <v>177</v>
      </c>
      <c r="C89" t="str">
        <f t="shared" si="78"/>
        <v>BainEtal_Reverse</v>
      </c>
      <c r="E89">
        <v>560</v>
      </c>
      <c r="G89">
        <v>7.1</v>
      </c>
      <c r="J89" t="s">
        <v>37</v>
      </c>
      <c r="K89">
        <v>8</v>
      </c>
      <c r="L89">
        <v>12</v>
      </c>
      <c r="M89">
        <v>414000</v>
      </c>
      <c r="P89">
        <v>100</v>
      </c>
      <c r="Q89" t="s">
        <v>35</v>
      </c>
      <c r="S89">
        <v>18</v>
      </c>
      <c r="T89">
        <v>32</v>
      </c>
      <c r="U89">
        <v>33.5</v>
      </c>
      <c r="V89">
        <v>0.6</v>
      </c>
      <c r="W89">
        <v>0.55000000000000004</v>
      </c>
      <c r="X89">
        <v>1.2</v>
      </c>
      <c r="Y89">
        <v>35.36176691</v>
      </c>
      <c r="Z89">
        <v>0.3</v>
      </c>
      <c r="BP89">
        <v>2867.3396870000001</v>
      </c>
      <c r="BQ89">
        <v>161.1675936</v>
      </c>
      <c r="BR89">
        <v>50</v>
      </c>
      <c r="BV89">
        <v>7.16836E-2</v>
      </c>
      <c r="BW89">
        <f t="shared" si="81"/>
        <v>7.16836E-2</v>
      </c>
      <c r="BX89">
        <f t="shared" si="82"/>
        <v>1.0000000000000001E-5</v>
      </c>
      <c r="BY89">
        <v>0.45</v>
      </c>
      <c r="BZ89">
        <f t="shared" si="79"/>
        <v>0.45</v>
      </c>
      <c r="CA89">
        <f t="shared" si="83"/>
        <v>0.01</v>
      </c>
      <c r="CB89">
        <v>0.3</v>
      </c>
      <c r="CC89">
        <v>0.3</v>
      </c>
      <c r="CD89">
        <v>0.3</v>
      </c>
    </row>
    <row r="90" spans="1:82" x14ac:dyDescent="0.25">
      <c r="A90">
        <v>65</v>
      </c>
      <c r="B90">
        <v>180</v>
      </c>
      <c r="C90" t="str">
        <f t="shared" si="78"/>
        <v>BainEtal_Reverse</v>
      </c>
      <c r="E90">
        <v>560</v>
      </c>
      <c r="G90">
        <v>7.1</v>
      </c>
      <c r="J90" t="s">
        <v>37</v>
      </c>
      <c r="K90">
        <v>8</v>
      </c>
      <c r="L90">
        <v>12</v>
      </c>
      <c r="M90">
        <v>414000</v>
      </c>
      <c r="P90">
        <v>200</v>
      </c>
      <c r="Q90" t="s">
        <v>35</v>
      </c>
      <c r="S90">
        <v>19</v>
      </c>
      <c r="T90">
        <v>38</v>
      </c>
      <c r="U90">
        <v>48</v>
      </c>
      <c r="V90">
        <v>0.7</v>
      </c>
      <c r="W90">
        <v>0.65</v>
      </c>
      <c r="X90">
        <v>1.8</v>
      </c>
      <c r="Y90">
        <v>59.11220737</v>
      </c>
      <c r="Z90">
        <v>0.6</v>
      </c>
      <c r="BP90">
        <v>4793.1648489999998</v>
      </c>
      <c r="BQ90">
        <v>110.58326479999999</v>
      </c>
      <c r="BR90">
        <v>100</v>
      </c>
      <c r="BV90">
        <v>1.0951253000000001</v>
      </c>
      <c r="BW90">
        <f t="shared" si="81"/>
        <v>1.0951253000000001</v>
      </c>
      <c r="BX90">
        <f t="shared" si="82"/>
        <v>1.0000000000000001E-5</v>
      </c>
      <c r="BY90">
        <v>0.45</v>
      </c>
      <c r="BZ90">
        <f t="shared" si="79"/>
        <v>0.45</v>
      </c>
      <c r="CA90">
        <f t="shared" si="83"/>
        <v>0.01</v>
      </c>
      <c r="CB90">
        <v>0.3</v>
      </c>
      <c r="CC90">
        <v>0.3</v>
      </c>
      <c r="CD90">
        <v>0.3</v>
      </c>
    </row>
    <row r="91" spans="1:82" x14ac:dyDescent="0.25">
      <c r="A91">
        <v>66</v>
      </c>
      <c r="B91">
        <v>179</v>
      </c>
      <c r="C91" t="str">
        <f t="shared" si="78"/>
        <v>BainEtal_Reverse</v>
      </c>
      <c r="E91">
        <v>560</v>
      </c>
      <c r="G91">
        <v>7.1</v>
      </c>
      <c r="J91" t="s">
        <v>64</v>
      </c>
      <c r="K91">
        <v>3</v>
      </c>
      <c r="L91">
        <v>9</v>
      </c>
      <c r="M91">
        <v>290000</v>
      </c>
      <c r="P91">
        <v>300</v>
      </c>
      <c r="Q91" t="s">
        <v>35</v>
      </c>
      <c r="S91">
        <v>20</v>
      </c>
      <c r="T91">
        <v>44</v>
      </c>
      <c r="U91">
        <v>62.2</v>
      </c>
      <c r="V91">
        <v>0.8</v>
      </c>
      <c r="W91">
        <v>0.75</v>
      </c>
      <c r="X91">
        <v>2.4</v>
      </c>
      <c r="Y91">
        <v>87.542364250000006</v>
      </c>
      <c r="Z91">
        <v>1</v>
      </c>
      <c r="BP91">
        <v>7098.4488959999999</v>
      </c>
      <c r="BQ91">
        <v>62.522269739999999</v>
      </c>
      <c r="BR91">
        <v>62.522269739999999</v>
      </c>
      <c r="BV91">
        <v>3.2873344000000002</v>
      </c>
      <c r="BW91">
        <f t="shared" si="81"/>
        <v>3.2873344000000002</v>
      </c>
      <c r="BX91">
        <f t="shared" si="82"/>
        <v>1.0000000000000001E-5</v>
      </c>
      <c r="BY91">
        <v>0.45</v>
      </c>
      <c r="BZ91">
        <f t="shared" si="79"/>
        <v>0.45</v>
      </c>
      <c r="CA91">
        <f t="shared" si="83"/>
        <v>0.01</v>
      </c>
      <c r="CB91">
        <v>0.3</v>
      </c>
      <c r="CC91">
        <v>0.3</v>
      </c>
      <c r="CD91">
        <v>0.3</v>
      </c>
    </row>
    <row r="92" spans="1:82" x14ac:dyDescent="0.25">
      <c r="A92">
        <v>67</v>
      </c>
      <c r="B92">
        <v>176</v>
      </c>
      <c r="C92" t="str">
        <f t="shared" si="78"/>
        <v>BainEtal_Reverse</v>
      </c>
      <c r="E92">
        <v>1257</v>
      </c>
      <c r="G92">
        <v>6.5</v>
      </c>
      <c r="J92" t="s">
        <v>65</v>
      </c>
      <c r="K92">
        <v>3</v>
      </c>
      <c r="L92">
        <v>8</v>
      </c>
      <c r="M92">
        <v>241000</v>
      </c>
      <c r="P92">
        <v>100</v>
      </c>
      <c r="Q92" t="s">
        <v>35</v>
      </c>
      <c r="S92">
        <v>18</v>
      </c>
      <c r="T92">
        <v>32</v>
      </c>
      <c r="U92">
        <v>33.5</v>
      </c>
      <c r="V92">
        <v>0.6</v>
      </c>
      <c r="W92">
        <v>0.55000000000000004</v>
      </c>
      <c r="X92">
        <v>1.2</v>
      </c>
      <c r="Y92">
        <v>79.374537509999996</v>
      </c>
      <c r="Z92">
        <v>0.3</v>
      </c>
      <c r="BP92">
        <v>3108.3812630000002</v>
      </c>
      <c r="BQ92">
        <v>97.444123289999993</v>
      </c>
      <c r="BR92">
        <v>50</v>
      </c>
      <c r="BV92">
        <v>7.8484399999999996E-2</v>
      </c>
      <c r="BW92">
        <f t="shared" si="81"/>
        <v>7.8484399999999996E-2</v>
      </c>
      <c r="BX92">
        <f t="shared" si="82"/>
        <v>1.0000000000000001E-5</v>
      </c>
      <c r="BY92">
        <v>0.45</v>
      </c>
      <c r="BZ92">
        <f t="shared" si="79"/>
        <v>0.45</v>
      </c>
      <c r="CA92">
        <f t="shared" si="83"/>
        <v>0.01</v>
      </c>
      <c r="CB92">
        <v>0.3</v>
      </c>
      <c r="CC92">
        <v>0.3</v>
      </c>
      <c r="CD92">
        <v>0.3</v>
      </c>
    </row>
    <row r="93" spans="1:82" x14ac:dyDescent="0.25">
      <c r="A93">
        <v>68</v>
      </c>
      <c r="B93">
        <v>178</v>
      </c>
      <c r="C93" t="str">
        <f t="shared" si="78"/>
        <v>BainEtal_Reverse</v>
      </c>
      <c r="E93">
        <v>1257</v>
      </c>
      <c r="G93">
        <v>6.5</v>
      </c>
      <c r="J93" t="s">
        <v>34</v>
      </c>
      <c r="K93">
        <v>8</v>
      </c>
      <c r="L93">
        <v>10</v>
      </c>
      <c r="M93">
        <v>359000</v>
      </c>
      <c r="P93">
        <v>200</v>
      </c>
      <c r="Q93" t="s">
        <v>35</v>
      </c>
      <c r="S93">
        <v>19</v>
      </c>
      <c r="T93">
        <v>38</v>
      </c>
      <c r="U93">
        <v>48</v>
      </c>
      <c r="V93">
        <v>0.7</v>
      </c>
      <c r="W93">
        <v>0.65</v>
      </c>
      <c r="X93">
        <v>1.8</v>
      </c>
      <c r="Y93">
        <v>132.68579399999999</v>
      </c>
      <c r="Z93">
        <v>0.6</v>
      </c>
      <c r="BP93">
        <v>5196.1000219999996</v>
      </c>
      <c r="BQ93">
        <v>91.491185990000005</v>
      </c>
      <c r="BR93">
        <v>91.491185990000005</v>
      </c>
      <c r="BV93">
        <v>3.1041672</v>
      </c>
      <c r="BW93">
        <f t="shared" si="81"/>
        <v>3.1041672</v>
      </c>
      <c r="BX93">
        <f t="shared" si="82"/>
        <v>1.0000000000000001E-5</v>
      </c>
      <c r="BY93">
        <v>0.45</v>
      </c>
      <c r="BZ93">
        <f t="shared" si="79"/>
        <v>0.45</v>
      </c>
      <c r="CA93">
        <f t="shared" si="83"/>
        <v>0.01</v>
      </c>
      <c r="CB93">
        <v>0.3</v>
      </c>
      <c r="CC93">
        <v>0.3</v>
      </c>
      <c r="CD93">
        <v>0.3</v>
      </c>
    </row>
    <row r="94" spans="1:82" x14ac:dyDescent="0.25">
      <c r="A94">
        <v>69</v>
      </c>
      <c r="B94">
        <v>180</v>
      </c>
      <c r="C94" t="str">
        <f t="shared" si="78"/>
        <v>BainEtal_Reverse</v>
      </c>
      <c r="E94">
        <v>1257</v>
      </c>
      <c r="G94">
        <v>6.5</v>
      </c>
      <c r="J94" t="s">
        <v>64</v>
      </c>
      <c r="K94">
        <v>3</v>
      </c>
      <c r="L94">
        <v>9</v>
      </c>
      <c r="M94">
        <v>290000</v>
      </c>
      <c r="P94">
        <v>300</v>
      </c>
      <c r="Q94" t="s">
        <v>35</v>
      </c>
      <c r="S94">
        <v>20</v>
      </c>
      <c r="T94">
        <v>44</v>
      </c>
      <c r="U94">
        <v>62.2</v>
      </c>
      <c r="V94">
        <v>0.8</v>
      </c>
      <c r="W94">
        <v>0.75</v>
      </c>
      <c r="X94">
        <v>2.4</v>
      </c>
      <c r="Y94">
        <v>196.50134259999999</v>
      </c>
      <c r="Z94">
        <v>1</v>
      </c>
      <c r="BP94">
        <v>7695.1766989999996</v>
      </c>
      <c r="BQ94">
        <v>57.868806139999997</v>
      </c>
      <c r="BR94">
        <v>57.868806139999997</v>
      </c>
      <c r="BV94">
        <v>3.3932481999999999</v>
      </c>
      <c r="BW94">
        <f t="shared" si="81"/>
        <v>3.3932481999999999</v>
      </c>
      <c r="BX94">
        <f t="shared" si="82"/>
        <v>1.0000000000000001E-5</v>
      </c>
      <c r="BY94">
        <v>0.45</v>
      </c>
      <c r="BZ94">
        <f t="shared" si="79"/>
        <v>0.45</v>
      </c>
      <c r="CA94">
        <f t="shared" si="83"/>
        <v>0.01</v>
      </c>
      <c r="CB94">
        <v>0.3</v>
      </c>
      <c r="CC94">
        <v>0.3</v>
      </c>
      <c r="CD94">
        <v>0.3</v>
      </c>
    </row>
    <row r="95" spans="1:82" x14ac:dyDescent="0.25">
      <c r="A95">
        <v>70</v>
      </c>
      <c r="B95">
        <v>176</v>
      </c>
      <c r="C95" t="str">
        <f t="shared" si="78"/>
        <v>BainEtal_Reverse</v>
      </c>
      <c r="E95">
        <v>1723</v>
      </c>
      <c r="G95">
        <v>9.5</v>
      </c>
      <c r="J95" t="s">
        <v>39</v>
      </c>
      <c r="K95">
        <v>14</v>
      </c>
      <c r="L95">
        <v>15</v>
      </c>
      <c r="M95">
        <v>483000</v>
      </c>
      <c r="P95">
        <v>100</v>
      </c>
      <c r="Q95" t="s">
        <v>35</v>
      </c>
      <c r="S95">
        <v>18</v>
      </c>
      <c r="T95">
        <v>32</v>
      </c>
      <c r="U95">
        <v>33.5</v>
      </c>
      <c r="V95">
        <v>0.6</v>
      </c>
      <c r="W95">
        <v>0.55000000000000004</v>
      </c>
      <c r="X95">
        <v>1.2</v>
      </c>
      <c r="Y95">
        <v>108.8005793</v>
      </c>
      <c r="Z95">
        <v>0.3</v>
      </c>
      <c r="BP95">
        <v>2127.5198500000001</v>
      </c>
      <c r="BQ95">
        <v>234.8272054</v>
      </c>
      <c r="BR95">
        <v>50</v>
      </c>
      <c r="BV95">
        <v>5.3187999999999999E-2</v>
      </c>
      <c r="BW95">
        <f t="shared" si="81"/>
        <v>5.3187999999999999E-2</v>
      </c>
      <c r="BX95">
        <f t="shared" si="82"/>
        <v>1.0000000000000001E-5</v>
      </c>
      <c r="BY95">
        <v>0.45</v>
      </c>
      <c r="BZ95">
        <f t="shared" si="79"/>
        <v>0.45</v>
      </c>
      <c r="CA95">
        <f t="shared" si="83"/>
        <v>0.01</v>
      </c>
      <c r="CB95">
        <v>0.3</v>
      </c>
      <c r="CC95">
        <v>0.3</v>
      </c>
      <c r="CD95">
        <v>0.3</v>
      </c>
    </row>
    <row r="96" spans="1:82" x14ac:dyDescent="0.25">
      <c r="A96">
        <v>71</v>
      </c>
      <c r="B96">
        <v>176</v>
      </c>
      <c r="C96" t="str">
        <f t="shared" si="78"/>
        <v>BainEtal_Reverse</v>
      </c>
      <c r="E96">
        <v>1723</v>
      </c>
      <c r="G96">
        <v>9.5</v>
      </c>
      <c r="J96" t="s">
        <v>64</v>
      </c>
      <c r="K96">
        <v>3</v>
      </c>
      <c r="L96">
        <v>9</v>
      </c>
      <c r="M96">
        <v>290000</v>
      </c>
      <c r="P96">
        <v>200</v>
      </c>
      <c r="Q96" t="s">
        <v>35</v>
      </c>
      <c r="S96">
        <v>19</v>
      </c>
      <c r="T96">
        <v>38</v>
      </c>
      <c r="U96">
        <v>48</v>
      </c>
      <c r="V96">
        <v>0.7</v>
      </c>
      <c r="W96">
        <v>0.65</v>
      </c>
      <c r="X96">
        <v>1.8</v>
      </c>
      <c r="Y96">
        <v>181.87559519999999</v>
      </c>
      <c r="Z96">
        <v>0.6</v>
      </c>
      <c r="BP96">
        <v>3556.4510930000001</v>
      </c>
      <c r="BQ96">
        <v>107.8452269</v>
      </c>
      <c r="BR96">
        <v>100</v>
      </c>
      <c r="BV96">
        <v>0.51253950000000004</v>
      </c>
      <c r="BW96">
        <f t="shared" si="81"/>
        <v>0.51253950000000004</v>
      </c>
      <c r="BX96">
        <f t="shared" si="82"/>
        <v>1.0000000000000001E-5</v>
      </c>
      <c r="BY96">
        <v>0.45</v>
      </c>
      <c r="BZ96">
        <f t="shared" si="79"/>
        <v>0.45</v>
      </c>
      <c r="CA96">
        <f t="shared" si="83"/>
        <v>0.01</v>
      </c>
      <c r="CB96">
        <v>0.3</v>
      </c>
      <c r="CC96">
        <v>0.3</v>
      </c>
      <c r="CD96">
        <v>0.3</v>
      </c>
    </row>
    <row r="97" spans="1:82" x14ac:dyDescent="0.25">
      <c r="A97">
        <v>72</v>
      </c>
      <c r="B97">
        <v>176</v>
      </c>
      <c r="C97" t="str">
        <f t="shared" si="78"/>
        <v>BainEtal_Reverse</v>
      </c>
      <c r="E97">
        <v>1723</v>
      </c>
      <c r="G97">
        <v>9.5</v>
      </c>
      <c r="J97" t="s">
        <v>64</v>
      </c>
      <c r="K97">
        <v>3</v>
      </c>
      <c r="L97">
        <v>9</v>
      </c>
      <c r="M97">
        <v>290000</v>
      </c>
      <c r="P97">
        <v>300</v>
      </c>
      <c r="Q97" t="s">
        <v>35</v>
      </c>
      <c r="S97">
        <v>20</v>
      </c>
      <c r="T97">
        <v>44</v>
      </c>
      <c r="U97">
        <v>62.2</v>
      </c>
      <c r="V97">
        <v>0.8</v>
      </c>
      <c r="W97">
        <v>0.75</v>
      </c>
      <c r="X97">
        <v>2.4</v>
      </c>
      <c r="Y97">
        <v>269.34909570000002</v>
      </c>
      <c r="Z97">
        <v>1</v>
      </c>
      <c r="BP97">
        <v>5266.9347129999996</v>
      </c>
      <c r="BQ97">
        <v>80.689737109999996</v>
      </c>
      <c r="BR97">
        <v>80.689737109999996</v>
      </c>
      <c r="BV97">
        <v>2.1998313</v>
      </c>
      <c r="BW97">
        <f t="shared" si="81"/>
        <v>2.1998313</v>
      </c>
      <c r="BX97">
        <f t="shared" si="82"/>
        <v>1.0000000000000001E-5</v>
      </c>
      <c r="BY97">
        <v>0.45</v>
      </c>
      <c r="BZ97">
        <f t="shared" si="79"/>
        <v>0.45</v>
      </c>
      <c r="CA97">
        <f t="shared" si="83"/>
        <v>0.01</v>
      </c>
      <c r="CB97">
        <v>0.3</v>
      </c>
      <c r="CC97">
        <v>0.3</v>
      </c>
      <c r="CD97">
        <v>0.3</v>
      </c>
    </row>
    <row r="98" spans="1:82" x14ac:dyDescent="0.25">
      <c r="A98">
        <v>73</v>
      </c>
      <c r="B98">
        <v>180</v>
      </c>
      <c r="C98" t="str">
        <f t="shared" si="78"/>
        <v>BainEtal_Reverse</v>
      </c>
      <c r="E98">
        <v>168</v>
      </c>
      <c r="G98">
        <v>4.8</v>
      </c>
      <c r="J98" t="s">
        <v>34</v>
      </c>
      <c r="K98">
        <v>8</v>
      </c>
      <c r="L98">
        <v>10</v>
      </c>
      <c r="M98">
        <v>359000</v>
      </c>
      <c r="P98">
        <v>100</v>
      </c>
      <c r="Q98" t="s">
        <v>35</v>
      </c>
      <c r="S98">
        <v>18</v>
      </c>
      <c r="T98">
        <v>32</v>
      </c>
      <c r="U98">
        <v>33.5</v>
      </c>
      <c r="V98">
        <v>0.6</v>
      </c>
      <c r="W98">
        <v>0.55000000000000004</v>
      </c>
      <c r="X98">
        <v>1.2</v>
      </c>
      <c r="Y98">
        <v>10.60853007</v>
      </c>
      <c r="Z98">
        <v>0.3</v>
      </c>
      <c r="BP98">
        <v>4310.6617649999998</v>
      </c>
      <c r="BQ98">
        <v>102.24046</v>
      </c>
      <c r="BR98">
        <v>50</v>
      </c>
      <c r="BV98">
        <v>0.1082434</v>
      </c>
      <c r="BW98">
        <f t="shared" si="81"/>
        <v>0.1082434</v>
      </c>
      <c r="BX98">
        <f t="shared" si="82"/>
        <v>1.0000000000000001E-5</v>
      </c>
      <c r="BY98">
        <v>0.45</v>
      </c>
      <c r="BZ98">
        <f t="shared" si="79"/>
        <v>0.45</v>
      </c>
      <c r="CA98">
        <f t="shared" si="83"/>
        <v>0.01</v>
      </c>
      <c r="CB98">
        <v>0.3</v>
      </c>
      <c r="CC98">
        <v>0.3</v>
      </c>
      <c r="CD98">
        <v>0.3</v>
      </c>
    </row>
    <row r="99" spans="1:82" x14ac:dyDescent="0.25">
      <c r="A99">
        <v>74</v>
      </c>
      <c r="B99">
        <v>176</v>
      </c>
      <c r="C99" t="str">
        <f t="shared" si="78"/>
        <v>BainEtal_Reverse</v>
      </c>
      <c r="E99">
        <v>168</v>
      </c>
      <c r="G99">
        <v>4.8</v>
      </c>
      <c r="J99" t="s">
        <v>64</v>
      </c>
      <c r="K99">
        <v>3</v>
      </c>
      <c r="L99">
        <v>9</v>
      </c>
      <c r="M99">
        <v>290000</v>
      </c>
      <c r="P99">
        <v>200</v>
      </c>
      <c r="Q99" t="s">
        <v>35</v>
      </c>
      <c r="S99">
        <v>19</v>
      </c>
      <c r="T99">
        <v>38</v>
      </c>
      <c r="U99">
        <v>48</v>
      </c>
      <c r="V99">
        <v>0.7</v>
      </c>
      <c r="W99">
        <v>0.65</v>
      </c>
      <c r="X99">
        <v>1.8</v>
      </c>
      <c r="Y99">
        <v>17.733662209999999</v>
      </c>
      <c r="Z99">
        <v>0.6</v>
      </c>
      <c r="BP99">
        <v>7205.882353</v>
      </c>
      <c r="BQ99">
        <v>59.303779749999997</v>
      </c>
      <c r="BR99">
        <v>59.303779749999997</v>
      </c>
      <c r="BV99">
        <v>2.3135973999999999</v>
      </c>
      <c r="BW99">
        <f t="shared" si="81"/>
        <v>2.3135973999999999</v>
      </c>
      <c r="BX99">
        <f t="shared" si="82"/>
        <v>1.0000000000000001E-5</v>
      </c>
      <c r="BY99">
        <v>0.45</v>
      </c>
      <c r="BZ99">
        <f t="shared" si="79"/>
        <v>0.45</v>
      </c>
      <c r="CA99">
        <f t="shared" si="83"/>
        <v>0.01</v>
      </c>
      <c r="CB99">
        <v>0.3</v>
      </c>
      <c r="CC99">
        <v>0.3</v>
      </c>
      <c r="CD99">
        <v>0.3</v>
      </c>
    </row>
    <row r="100" spans="1:82" x14ac:dyDescent="0.25">
      <c r="A100">
        <v>75</v>
      </c>
      <c r="B100">
        <v>178</v>
      </c>
      <c r="C100" t="str">
        <f t="shared" si="78"/>
        <v>BainEtal_Reverse</v>
      </c>
      <c r="E100">
        <v>168</v>
      </c>
      <c r="G100">
        <v>4.8</v>
      </c>
      <c r="J100" t="s">
        <v>41</v>
      </c>
      <c r="K100">
        <v>15</v>
      </c>
      <c r="L100">
        <v>20</v>
      </c>
      <c r="M100">
        <v>552000</v>
      </c>
      <c r="P100">
        <v>300</v>
      </c>
      <c r="Q100" t="s">
        <v>35</v>
      </c>
      <c r="S100">
        <v>20</v>
      </c>
      <c r="T100">
        <v>44</v>
      </c>
      <c r="U100">
        <v>62.2</v>
      </c>
      <c r="V100">
        <v>0.8</v>
      </c>
      <c r="W100">
        <v>0.75</v>
      </c>
      <c r="X100">
        <v>2.4</v>
      </c>
      <c r="Y100">
        <v>26.262709269999998</v>
      </c>
      <c r="Z100">
        <v>1</v>
      </c>
      <c r="BP100">
        <v>10671.56863</v>
      </c>
      <c r="BQ100">
        <v>73.637422060000006</v>
      </c>
      <c r="BR100">
        <v>73.637422060000006</v>
      </c>
      <c r="BV100">
        <v>100</v>
      </c>
      <c r="BW100">
        <f t="shared" si="81"/>
        <v>100</v>
      </c>
      <c r="BX100">
        <f t="shared" si="82"/>
        <v>1.0000000000000001E-5</v>
      </c>
      <c r="BY100">
        <v>0.45</v>
      </c>
      <c r="BZ100">
        <f t="shared" si="79"/>
        <v>0.45</v>
      </c>
      <c r="CA100">
        <f t="shared" si="83"/>
        <v>0.01</v>
      </c>
      <c r="CB100">
        <v>0.3</v>
      </c>
      <c r="CC100">
        <v>0.3</v>
      </c>
      <c r="CD100">
        <v>0.3</v>
      </c>
    </row>
    <row r="101" spans="1:82" x14ac:dyDescent="0.25">
      <c r="A101">
        <v>76</v>
      </c>
      <c r="B101">
        <v>180</v>
      </c>
      <c r="C101" t="str">
        <f t="shared" si="78"/>
        <v>BainEtal_Reverse</v>
      </c>
      <c r="E101">
        <v>762</v>
      </c>
      <c r="G101">
        <v>9.5</v>
      </c>
      <c r="J101" t="s">
        <v>41</v>
      </c>
      <c r="K101">
        <v>15</v>
      </c>
      <c r="L101">
        <v>20</v>
      </c>
      <c r="M101">
        <v>552000</v>
      </c>
      <c r="P101">
        <v>100</v>
      </c>
      <c r="Q101" t="s">
        <v>35</v>
      </c>
      <c r="S101">
        <v>18</v>
      </c>
      <c r="T101">
        <v>32</v>
      </c>
      <c r="U101">
        <v>33.5</v>
      </c>
      <c r="V101">
        <v>0.6</v>
      </c>
      <c r="W101">
        <v>0.55000000000000004</v>
      </c>
      <c r="X101">
        <v>1.2</v>
      </c>
      <c r="Y101">
        <v>48.117261399999997</v>
      </c>
      <c r="Z101">
        <v>0.3</v>
      </c>
      <c r="BP101">
        <v>2142.5004370000001</v>
      </c>
      <c r="BQ101">
        <v>260.84833689999999</v>
      </c>
      <c r="BR101">
        <v>50</v>
      </c>
      <c r="BV101">
        <v>5.3562499999999999E-2</v>
      </c>
      <c r="BW101">
        <f t="shared" si="81"/>
        <v>5.3562499999999999E-2</v>
      </c>
      <c r="BX101">
        <f t="shared" si="82"/>
        <v>1.0000000000000001E-5</v>
      </c>
      <c r="BY101">
        <v>0.45</v>
      </c>
      <c r="BZ101">
        <f t="shared" si="79"/>
        <v>0.45</v>
      </c>
      <c r="CA101">
        <f t="shared" si="83"/>
        <v>0.01</v>
      </c>
      <c r="CB101">
        <v>0.3</v>
      </c>
      <c r="CC101">
        <v>0.3</v>
      </c>
      <c r="CD101">
        <v>0.3</v>
      </c>
    </row>
    <row r="102" spans="1:82" x14ac:dyDescent="0.25">
      <c r="A102">
        <v>77</v>
      </c>
      <c r="B102">
        <v>176</v>
      </c>
      <c r="C102" t="str">
        <f t="shared" si="78"/>
        <v>BainEtal_Reverse</v>
      </c>
      <c r="E102">
        <v>762</v>
      </c>
      <c r="G102">
        <v>9.5</v>
      </c>
      <c r="J102" t="s">
        <v>34</v>
      </c>
      <c r="K102">
        <v>8</v>
      </c>
      <c r="L102">
        <v>10</v>
      </c>
      <c r="M102">
        <v>359000</v>
      </c>
      <c r="P102">
        <v>200</v>
      </c>
      <c r="Q102" t="s">
        <v>35</v>
      </c>
      <c r="S102">
        <v>19</v>
      </c>
      <c r="T102">
        <v>38</v>
      </c>
      <c r="U102">
        <v>48</v>
      </c>
      <c r="V102">
        <v>0.7</v>
      </c>
      <c r="W102">
        <v>0.65</v>
      </c>
      <c r="X102">
        <v>1.8</v>
      </c>
      <c r="Y102">
        <v>80.434825029999999</v>
      </c>
      <c r="Z102">
        <v>0.6</v>
      </c>
      <c r="BP102">
        <v>3581.4932680000002</v>
      </c>
      <c r="BQ102">
        <v>127.5713159</v>
      </c>
      <c r="BR102">
        <v>100</v>
      </c>
      <c r="BV102">
        <v>0.30625750000000002</v>
      </c>
      <c r="BW102">
        <f t="shared" si="81"/>
        <v>0.30625750000000002</v>
      </c>
      <c r="BX102">
        <f t="shared" si="82"/>
        <v>1.0000000000000001E-5</v>
      </c>
      <c r="BY102">
        <v>0.45</v>
      </c>
      <c r="BZ102">
        <f t="shared" si="79"/>
        <v>0.45</v>
      </c>
      <c r="CA102">
        <f t="shared" si="83"/>
        <v>0.01</v>
      </c>
      <c r="CB102">
        <v>0.3</v>
      </c>
      <c r="CC102">
        <v>0.3</v>
      </c>
      <c r="CD102">
        <v>0.3</v>
      </c>
    </row>
    <row r="103" spans="1:82" x14ac:dyDescent="0.25">
      <c r="A103">
        <v>78</v>
      </c>
      <c r="B103">
        <v>178</v>
      </c>
      <c r="C103" t="str">
        <f t="shared" si="78"/>
        <v>BainEtal_Reverse</v>
      </c>
      <c r="E103">
        <v>762</v>
      </c>
      <c r="G103">
        <v>9.5</v>
      </c>
      <c r="J103" t="s">
        <v>41</v>
      </c>
      <c r="K103">
        <v>15</v>
      </c>
      <c r="L103">
        <v>20</v>
      </c>
      <c r="M103">
        <v>552000</v>
      </c>
      <c r="P103">
        <v>300</v>
      </c>
      <c r="Q103" t="s">
        <v>35</v>
      </c>
      <c r="S103">
        <v>20</v>
      </c>
      <c r="T103">
        <v>44</v>
      </c>
      <c r="U103">
        <v>62.2</v>
      </c>
      <c r="V103">
        <v>0.8</v>
      </c>
      <c r="W103">
        <v>0.75</v>
      </c>
      <c r="X103">
        <v>2.4</v>
      </c>
      <c r="Y103">
        <v>119.1201456</v>
      </c>
      <c r="Z103">
        <v>1</v>
      </c>
      <c r="BP103">
        <v>5304.0209830000003</v>
      </c>
      <c r="BQ103">
        <v>133.9112705</v>
      </c>
      <c r="BR103">
        <v>133.9112705</v>
      </c>
      <c r="BV103">
        <v>39.613304399999997</v>
      </c>
      <c r="BW103">
        <f t="shared" si="81"/>
        <v>39.613304399999997</v>
      </c>
      <c r="BX103">
        <f t="shared" si="82"/>
        <v>1.0000000000000001E-5</v>
      </c>
      <c r="BY103">
        <v>0.45</v>
      </c>
      <c r="BZ103">
        <f t="shared" si="79"/>
        <v>0.45</v>
      </c>
      <c r="CA103">
        <f t="shared" si="83"/>
        <v>0.01</v>
      </c>
      <c r="CB103">
        <v>0.3</v>
      </c>
      <c r="CC103">
        <v>0.3</v>
      </c>
      <c r="CD103">
        <v>0.3</v>
      </c>
    </row>
    <row r="104" spans="1:82" x14ac:dyDescent="0.25">
      <c r="A104">
        <v>79</v>
      </c>
      <c r="B104">
        <v>175</v>
      </c>
      <c r="C104" t="str">
        <f t="shared" si="78"/>
        <v>BainEtal_Reverse</v>
      </c>
      <c r="E104">
        <v>610</v>
      </c>
      <c r="G104">
        <v>6.4</v>
      </c>
      <c r="J104" t="s">
        <v>34</v>
      </c>
      <c r="K104">
        <v>8</v>
      </c>
      <c r="L104">
        <v>10</v>
      </c>
      <c r="M104">
        <v>359000</v>
      </c>
      <c r="P104">
        <v>100</v>
      </c>
      <c r="Q104" t="s">
        <v>35</v>
      </c>
      <c r="S104">
        <v>18</v>
      </c>
      <c r="T104">
        <v>32</v>
      </c>
      <c r="U104">
        <v>33.5</v>
      </c>
      <c r="V104">
        <v>0.6</v>
      </c>
      <c r="W104">
        <v>0.55000000000000004</v>
      </c>
      <c r="X104">
        <v>1.2</v>
      </c>
      <c r="Y104">
        <v>38.519067530000001</v>
      </c>
      <c r="Z104">
        <v>0.3</v>
      </c>
      <c r="BP104">
        <v>3173.9251989999998</v>
      </c>
      <c r="BQ104">
        <v>131.54341969999999</v>
      </c>
      <c r="BR104">
        <v>50</v>
      </c>
      <c r="BV104">
        <v>7.9364599999999993E-2</v>
      </c>
      <c r="BW104">
        <f t="shared" si="81"/>
        <v>7.9364599999999993E-2</v>
      </c>
      <c r="BX104">
        <f t="shared" si="82"/>
        <v>1.0000000000000001E-5</v>
      </c>
      <c r="BY104">
        <v>0.45</v>
      </c>
      <c r="BZ104">
        <f t="shared" si="79"/>
        <v>0.45</v>
      </c>
      <c r="CA104">
        <f t="shared" si="83"/>
        <v>0.01</v>
      </c>
      <c r="CB104">
        <v>0.3</v>
      </c>
      <c r="CC104">
        <v>0.3</v>
      </c>
      <c r="CD104">
        <v>0.3</v>
      </c>
    </row>
    <row r="105" spans="1:82" x14ac:dyDescent="0.25">
      <c r="A105">
        <v>80</v>
      </c>
      <c r="B105">
        <v>176</v>
      </c>
      <c r="C105" t="str">
        <f t="shared" si="78"/>
        <v>BainEtal_Reverse</v>
      </c>
      <c r="E105">
        <v>610</v>
      </c>
      <c r="G105">
        <v>6.4</v>
      </c>
      <c r="J105" t="s">
        <v>41</v>
      </c>
      <c r="K105">
        <v>15</v>
      </c>
      <c r="L105">
        <v>20</v>
      </c>
      <c r="M105">
        <v>552000</v>
      </c>
      <c r="P105">
        <v>200</v>
      </c>
      <c r="Q105" t="s">
        <v>35</v>
      </c>
      <c r="S105">
        <v>19</v>
      </c>
      <c r="T105">
        <v>38</v>
      </c>
      <c r="U105">
        <v>48</v>
      </c>
      <c r="V105">
        <v>0.7</v>
      </c>
      <c r="W105">
        <v>0.65</v>
      </c>
      <c r="X105">
        <v>1.8</v>
      </c>
      <c r="Y105">
        <v>64.39008303</v>
      </c>
      <c r="Z105">
        <v>0.6</v>
      </c>
      <c r="BP105">
        <v>5305.6660039999997</v>
      </c>
      <c r="BQ105">
        <v>126.62735549999999</v>
      </c>
      <c r="BR105">
        <v>100</v>
      </c>
      <c r="BV105">
        <v>0.35110530000000001</v>
      </c>
      <c r="BW105">
        <f t="shared" si="81"/>
        <v>0.35110530000000001</v>
      </c>
      <c r="BX105">
        <f t="shared" si="82"/>
        <v>1.0000000000000001E-5</v>
      </c>
      <c r="BY105">
        <v>0.45</v>
      </c>
      <c r="BZ105">
        <f t="shared" si="79"/>
        <v>0.45</v>
      </c>
      <c r="CA105">
        <f t="shared" si="83"/>
        <v>0.01</v>
      </c>
      <c r="CB105">
        <v>0.3</v>
      </c>
      <c r="CC105">
        <v>0.3</v>
      </c>
      <c r="CD105">
        <v>0.3</v>
      </c>
    </row>
    <row r="106" spans="1:82" x14ac:dyDescent="0.25">
      <c r="A106">
        <v>81</v>
      </c>
      <c r="B106">
        <v>179</v>
      </c>
      <c r="C106" t="str">
        <f t="shared" si="78"/>
        <v>BainEtal_Reverse</v>
      </c>
      <c r="E106">
        <v>610</v>
      </c>
      <c r="G106">
        <v>6.4</v>
      </c>
      <c r="J106" t="s">
        <v>64</v>
      </c>
      <c r="K106">
        <v>3</v>
      </c>
      <c r="L106">
        <v>9</v>
      </c>
      <c r="M106">
        <v>290000</v>
      </c>
      <c r="P106">
        <v>300</v>
      </c>
      <c r="Q106" t="s">
        <v>35</v>
      </c>
      <c r="S106">
        <v>20</v>
      </c>
      <c r="T106">
        <v>44</v>
      </c>
      <c r="U106">
        <v>62.2</v>
      </c>
      <c r="V106">
        <v>0.8</v>
      </c>
      <c r="W106">
        <v>0.75</v>
      </c>
      <c r="X106">
        <v>2.4</v>
      </c>
      <c r="Y106">
        <v>95.358646769999993</v>
      </c>
      <c r="Z106">
        <v>1</v>
      </c>
      <c r="BP106">
        <v>7857.438701</v>
      </c>
      <c r="BQ106">
        <v>57.088164460000002</v>
      </c>
      <c r="BR106">
        <v>57.088164460000002</v>
      </c>
      <c r="BV106">
        <v>3.6344853000000001</v>
      </c>
      <c r="BW106">
        <f>IF(OR($C106="SSComp",$C106="BainEtal_Reverse"),BV106,0.00001)</f>
        <v>3.6344853000000001</v>
      </c>
      <c r="BX106">
        <f>IF(OR($C106="SSTens",$C106="BainEtal_Normal"),BV106,0.00001)</f>
        <v>1.0000000000000001E-5</v>
      </c>
      <c r="BY106">
        <v>0.45</v>
      </c>
      <c r="BZ106">
        <f t="shared" si="79"/>
        <v>0.45</v>
      </c>
      <c r="CA106">
        <f t="shared" si="83"/>
        <v>0.01</v>
      </c>
      <c r="CB106">
        <v>0.3</v>
      </c>
      <c r="CC106">
        <v>0.3</v>
      </c>
      <c r="CD106">
        <v>0.3</v>
      </c>
    </row>
    <row r="107" spans="1:82" x14ac:dyDescent="0.25">
      <c r="A107">
        <v>82</v>
      </c>
      <c r="B107">
        <v>179</v>
      </c>
      <c r="C107" t="str">
        <f t="shared" si="78"/>
        <v>BainEtal_Reverse</v>
      </c>
      <c r="E107">
        <v>406</v>
      </c>
      <c r="G107">
        <v>9.5</v>
      </c>
      <c r="J107" t="s">
        <v>34</v>
      </c>
      <c r="K107">
        <v>8</v>
      </c>
      <c r="L107">
        <v>10</v>
      </c>
      <c r="M107">
        <v>359000</v>
      </c>
      <c r="P107">
        <v>100</v>
      </c>
      <c r="Q107" t="s">
        <v>35</v>
      </c>
      <c r="S107">
        <v>18</v>
      </c>
      <c r="T107">
        <v>32</v>
      </c>
      <c r="U107">
        <v>33.5</v>
      </c>
      <c r="V107">
        <v>0.6</v>
      </c>
      <c r="W107">
        <v>0.55000000000000004</v>
      </c>
      <c r="X107">
        <v>1.2</v>
      </c>
      <c r="Y107">
        <v>25.637281009999999</v>
      </c>
      <c r="Z107">
        <v>0.3</v>
      </c>
      <c r="BP107">
        <v>2166.4830419999998</v>
      </c>
      <c r="BQ107">
        <v>185.9265235</v>
      </c>
      <c r="BR107">
        <v>50</v>
      </c>
      <c r="BV107">
        <v>5.4162299999999997E-2</v>
      </c>
      <c r="BW107">
        <f t="shared" si="81"/>
        <v>5.4162299999999997E-2</v>
      </c>
      <c r="BX107">
        <f t="shared" ref="BX107:BX109" si="84">IF(OR($C107="SSTens",$C107="BainEtal_Normal"),BV107,0.00001)</f>
        <v>1.0000000000000001E-5</v>
      </c>
      <c r="BY107">
        <v>0.45</v>
      </c>
      <c r="BZ107">
        <f t="shared" si="79"/>
        <v>0.45</v>
      </c>
      <c r="CA107">
        <f t="shared" si="83"/>
        <v>0.01</v>
      </c>
      <c r="CB107">
        <v>0.3</v>
      </c>
      <c r="CC107">
        <v>0.3</v>
      </c>
      <c r="CD107">
        <v>0.3</v>
      </c>
    </row>
    <row r="108" spans="1:82" x14ac:dyDescent="0.25">
      <c r="A108">
        <v>83</v>
      </c>
      <c r="B108">
        <v>178</v>
      </c>
      <c r="C108" t="str">
        <f t="shared" si="78"/>
        <v>BainEtal_Reverse</v>
      </c>
      <c r="E108">
        <v>406</v>
      </c>
      <c r="G108">
        <v>9.5</v>
      </c>
      <c r="J108" t="s">
        <v>65</v>
      </c>
      <c r="K108">
        <v>3</v>
      </c>
      <c r="L108">
        <v>8</v>
      </c>
      <c r="M108">
        <v>241000</v>
      </c>
      <c r="P108">
        <v>200</v>
      </c>
      <c r="Q108" t="s">
        <v>35</v>
      </c>
      <c r="S108">
        <v>19</v>
      </c>
      <c r="T108">
        <v>38</v>
      </c>
      <c r="U108">
        <v>48</v>
      </c>
      <c r="V108">
        <v>0.7</v>
      </c>
      <c r="W108">
        <v>0.65</v>
      </c>
      <c r="X108">
        <v>1.8</v>
      </c>
      <c r="Y108">
        <v>42.856350339999999</v>
      </c>
      <c r="Z108">
        <v>0.6</v>
      </c>
      <c r="BP108">
        <v>3621.5835929999998</v>
      </c>
      <c r="BQ108">
        <v>93.226872830000005</v>
      </c>
      <c r="BR108">
        <v>93.226872830000005</v>
      </c>
      <c r="BV108">
        <v>1.003781</v>
      </c>
      <c r="BW108">
        <f t="shared" si="81"/>
        <v>1.003781</v>
      </c>
      <c r="BX108">
        <f t="shared" si="84"/>
        <v>1.0000000000000001E-5</v>
      </c>
      <c r="BY108">
        <v>0.45</v>
      </c>
      <c r="BZ108">
        <f t="shared" si="79"/>
        <v>0.45</v>
      </c>
      <c r="CA108">
        <f t="shared" si="83"/>
        <v>0.01</v>
      </c>
      <c r="CB108">
        <v>0.3</v>
      </c>
      <c r="CC108">
        <v>0.3</v>
      </c>
      <c r="CD108">
        <v>0.3</v>
      </c>
    </row>
    <row r="109" spans="1:82" x14ac:dyDescent="0.25">
      <c r="A109">
        <v>84</v>
      </c>
      <c r="B109">
        <v>178</v>
      </c>
      <c r="C109" t="str">
        <f t="shared" si="78"/>
        <v>BainEtal_Reverse</v>
      </c>
      <c r="E109">
        <v>406</v>
      </c>
      <c r="G109">
        <v>9.5</v>
      </c>
      <c r="J109" t="s">
        <v>65</v>
      </c>
      <c r="K109">
        <v>3</v>
      </c>
      <c r="L109">
        <v>8</v>
      </c>
      <c r="M109">
        <v>241000</v>
      </c>
      <c r="P109">
        <v>300</v>
      </c>
      <c r="Q109" t="s">
        <v>35</v>
      </c>
      <c r="S109">
        <v>20</v>
      </c>
      <c r="T109">
        <v>44</v>
      </c>
      <c r="U109">
        <v>62.2</v>
      </c>
      <c r="V109">
        <v>0.8</v>
      </c>
      <c r="W109">
        <v>0.75</v>
      </c>
      <c r="X109">
        <v>2.4</v>
      </c>
      <c r="Y109">
        <v>63.468214080000003</v>
      </c>
      <c r="Z109">
        <v>1</v>
      </c>
      <c r="BP109">
        <v>5363.3928450000003</v>
      </c>
      <c r="BQ109">
        <v>69.752292960000005</v>
      </c>
      <c r="BR109">
        <v>69.752292960000005</v>
      </c>
      <c r="BV109">
        <v>2.2893572999999998</v>
      </c>
      <c r="BW109">
        <f t="shared" si="81"/>
        <v>2.2893572999999998</v>
      </c>
      <c r="BX109">
        <f t="shared" si="84"/>
        <v>1.0000000000000001E-5</v>
      </c>
      <c r="BY109">
        <v>0.45</v>
      </c>
      <c r="BZ109">
        <f t="shared" si="79"/>
        <v>0.45</v>
      </c>
      <c r="CA109">
        <f t="shared" si="83"/>
        <v>0.01</v>
      </c>
      <c r="CB109">
        <v>0.3</v>
      </c>
      <c r="CC109">
        <v>0.3</v>
      </c>
      <c r="CD109">
        <v>0.3</v>
      </c>
    </row>
    <row r="111" spans="1:82" x14ac:dyDescent="0.25">
      <c r="E111" t="s">
        <v>2</v>
      </c>
      <c r="G111" t="s">
        <v>4</v>
      </c>
      <c r="J111" t="s">
        <v>7</v>
      </c>
      <c r="K111" t="s">
        <v>8</v>
      </c>
      <c r="L111" t="s">
        <v>9</v>
      </c>
      <c r="M111" t="s">
        <v>10</v>
      </c>
      <c r="P111" t="s">
        <v>72</v>
      </c>
      <c r="Q111" t="s">
        <v>13</v>
      </c>
      <c r="S111" t="s">
        <v>15</v>
      </c>
      <c r="T111" t="s">
        <v>16</v>
      </c>
      <c r="U111" t="s">
        <v>17</v>
      </c>
      <c r="V111" t="s">
        <v>18</v>
      </c>
      <c r="W111" t="s">
        <v>19</v>
      </c>
      <c r="X111" t="s">
        <v>20</v>
      </c>
      <c r="Y111" t="s">
        <v>21</v>
      </c>
      <c r="Z111" t="s">
        <v>29</v>
      </c>
      <c r="BP111" t="s">
        <v>73</v>
      </c>
      <c r="BQ111" t="s">
        <v>74</v>
      </c>
      <c r="BR111" t="s">
        <v>75</v>
      </c>
      <c r="BV111" t="s">
        <v>31</v>
      </c>
      <c r="BY111" t="s">
        <v>32</v>
      </c>
      <c r="CB111" t="s">
        <v>33</v>
      </c>
    </row>
    <row r="112" spans="1:82" x14ac:dyDescent="0.25">
      <c r="A112">
        <f>A109+1</f>
        <v>85</v>
      </c>
      <c r="B112">
        <v>3</v>
      </c>
      <c r="C112" t="str">
        <f t="shared" ref="C112:C155" si="85">IF(AND(B112&gt;=0,B112&lt;=5),"BainEtal_Normal",IF(AND(B112&gt;5,B112&lt;90),"SSTens",IF(AND(B112&gt;=90,B112&lt;175),"SSComp",IF(AND(B112&gt;=175,B112&lt;=180),"BainEtal_Reverse"))))</f>
        <v>BainEtal_Normal</v>
      </c>
      <c r="E112">
        <v>610</v>
      </c>
      <c r="G112">
        <v>10.199999999999999</v>
      </c>
      <c r="J112" t="s">
        <v>34</v>
      </c>
      <c r="K112">
        <v>8</v>
      </c>
      <c r="L112">
        <v>10</v>
      </c>
      <c r="M112">
        <v>359000</v>
      </c>
      <c r="P112">
        <v>100</v>
      </c>
      <c r="Q112" t="s">
        <v>42</v>
      </c>
      <c r="S112">
        <v>19</v>
      </c>
      <c r="T112">
        <v>38</v>
      </c>
      <c r="U112">
        <v>40</v>
      </c>
      <c r="V112">
        <v>0.75</v>
      </c>
      <c r="W112">
        <v>0.75</v>
      </c>
      <c r="X112">
        <v>1.2</v>
      </c>
      <c r="Y112">
        <v>23.723510319999999</v>
      </c>
      <c r="Z112">
        <v>0.5</v>
      </c>
      <c r="BP112">
        <v>1234.3048779999999</v>
      </c>
      <c r="BQ112">
        <v>307.95887750000003</v>
      </c>
      <c r="BR112">
        <v>50</v>
      </c>
      <c r="BV112">
        <v>3.0857599999999999E-2</v>
      </c>
      <c r="BW112">
        <f t="shared" ref="BW112:BW155" si="86">IF(OR($C112="SSComp",$C112="BainEtal_Reverse"),BV112,0.00001)</f>
        <v>1.0000000000000001E-5</v>
      </c>
      <c r="BX112">
        <f t="shared" ref="BX112" si="87">IF(OR($C112="SSTens",$C112="BainEtal_Normal"),BV112,0.00001)</f>
        <v>3.0857599999999999E-2</v>
      </c>
      <c r="BY112">
        <v>0.45</v>
      </c>
      <c r="BZ112">
        <f t="shared" ref="BZ112:BZ155" si="88">IF(OR($C112="SSComp",$C112="BainEtal_Reverse"),BY112,0.01)</f>
        <v>0.01</v>
      </c>
      <c r="CA112">
        <f t="shared" ref="CA112" si="89">IF(OR($C112="SSTens",$C112="BainEtal_Normal"),BY112,0.01)</f>
        <v>0.45</v>
      </c>
      <c r="CB112">
        <v>0.3</v>
      </c>
      <c r="CC112">
        <v>0.3</v>
      </c>
      <c r="CD112">
        <v>0.3</v>
      </c>
    </row>
    <row r="113" spans="1:82" x14ac:dyDescent="0.25">
      <c r="A113">
        <f>A112+1</f>
        <v>86</v>
      </c>
      <c r="B113">
        <v>2</v>
      </c>
      <c r="C113" t="str">
        <f t="shared" si="85"/>
        <v>BainEtal_Normal</v>
      </c>
      <c r="E113">
        <v>560</v>
      </c>
      <c r="G113">
        <v>7.1</v>
      </c>
      <c r="J113" t="s">
        <v>37</v>
      </c>
      <c r="K113">
        <v>8</v>
      </c>
      <c r="L113">
        <v>12</v>
      </c>
      <c r="M113">
        <v>414000</v>
      </c>
      <c r="P113">
        <v>100</v>
      </c>
      <c r="Q113" t="s">
        <v>42</v>
      </c>
      <c r="S113">
        <v>18</v>
      </c>
      <c r="T113">
        <v>32</v>
      </c>
      <c r="U113">
        <v>33.5</v>
      </c>
      <c r="V113">
        <v>0.6</v>
      </c>
      <c r="W113">
        <v>0.55000000000000004</v>
      </c>
      <c r="X113">
        <v>1.2</v>
      </c>
      <c r="Y113">
        <v>12.05453361</v>
      </c>
      <c r="Z113">
        <v>0.3</v>
      </c>
      <c r="BP113">
        <v>977.45236279999995</v>
      </c>
      <c r="BQ113">
        <v>398.01646820000002</v>
      </c>
      <c r="BR113">
        <v>50</v>
      </c>
      <c r="BV113">
        <v>2.4436300000000001E-2</v>
      </c>
      <c r="BW113">
        <f t="shared" si="86"/>
        <v>1.0000000000000001E-5</v>
      </c>
      <c r="BX113">
        <f t="shared" ref="BX113:BX155" si="90">IF(OR($C113="SSTens",$C113="BainEtal_Normal"),BV113,0.00001)</f>
        <v>2.4436300000000001E-2</v>
      </c>
      <c r="BY113">
        <v>0.45</v>
      </c>
      <c r="BZ113">
        <f t="shared" si="88"/>
        <v>0.01</v>
      </c>
      <c r="CA113">
        <f t="shared" ref="CA113:CA155" si="91">IF(OR($C113="SSTens",$C113="BainEtal_Normal"),BY113,0.01)</f>
        <v>0.45</v>
      </c>
      <c r="CB113">
        <v>0.3</v>
      </c>
      <c r="CC113">
        <v>0.3</v>
      </c>
      <c r="CD113">
        <v>0.3</v>
      </c>
    </row>
    <row r="114" spans="1:82" x14ac:dyDescent="0.25">
      <c r="A114">
        <f t="shared" ref="A114:A155" si="92">A113+1</f>
        <v>87</v>
      </c>
      <c r="B114">
        <v>5</v>
      </c>
      <c r="C114" t="str">
        <f t="shared" si="85"/>
        <v>BainEtal_Normal</v>
      </c>
      <c r="E114">
        <v>560</v>
      </c>
      <c r="G114">
        <v>7.1</v>
      </c>
      <c r="J114" t="s">
        <v>37</v>
      </c>
      <c r="K114">
        <v>8</v>
      </c>
      <c r="L114">
        <v>12</v>
      </c>
      <c r="M114">
        <v>414000</v>
      </c>
      <c r="P114">
        <v>200</v>
      </c>
      <c r="Q114" t="s">
        <v>42</v>
      </c>
      <c r="S114">
        <v>19</v>
      </c>
      <c r="T114">
        <v>38</v>
      </c>
      <c r="U114">
        <v>48</v>
      </c>
      <c r="V114">
        <v>0.7</v>
      </c>
      <c r="W114">
        <v>0.65</v>
      </c>
      <c r="X114">
        <v>1.8</v>
      </c>
      <c r="Y114">
        <v>27.674087950000001</v>
      </c>
      <c r="Z114">
        <v>0.6</v>
      </c>
      <c r="BP114">
        <v>2243.977539</v>
      </c>
      <c r="BQ114">
        <v>209.52160710000001</v>
      </c>
      <c r="BR114">
        <v>100</v>
      </c>
      <c r="BV114">
        <v>0.1122433</v>
      </c>
      <c r="BW114">
        <f t="shared" si="86"/>
        <v>1.0000000000000001E-5</v>
      </c>
      <c r="BX114">
        <f t="shared" si="90"/>
        <v>0.1122433</v>
      </c>
      <c r="BY114">
        <v>0.45</v>
      </c>
      <c r="BZ114">
        <f t="shared" si="88"/>
        <v>0.01</v>
      </c>
      <c r="CA114">
        <f t="shared" si="91"/>
        <v>0.45</v>
      </c>
      <c r="CB114">
        <v>0.3</v>
      </c>
      <c r="CC114">
        <v>0.3</v>
      </c>
      <c r="CD114">
        <v>0.3</v>
      </c>
    </row>
    <row r="115" spans="1:82" x14ac:dyDescent="0.25">
      <c r="A115">
        <f t="shared" si="92"/>
        <v>88</v>
      </c>
      <c r="B115">
        <v>0</v>
      </c>
      <c r="C115" t="str">
        <f t="shared" si="85"/>
        <v>BainEtal_Normal</v>
      </c>
      <c r="E115">
        <v>560</v>
      </c>
      <c r="G115">
        <v>7.1</v>
      </c>
      <c r="J115" t="s">
        <v>64</v>
      </c>
      <c r="K115">
        <v>3</v>
      </c>
      <c r="L115">
        <v>9</v>
      </c>
      <c r="M115">
        <v>290000</v>
      </c>
      <c r="P115">
        <v>300</v>
      </c>
      <c r="Q115" t="s">
        <v>42</v>
      </c>
      <c r="S115">
        <v>20</v>
      </c>
      <c r="T115">
        <v>44</v>
      </c>
      <c r="U115">
        <v>62.2</v>
      </c>
      <c r="V115">
        <v>0.8</v>
      </c>
      <c r="W115">
        <v>0.75</v>
      </c>
      <c r="X115">
        <v>2.4</v>
      </c>
      <c r="Y115">
        <v>54.839880450000003</v>
      </c>
      <c r="Z115">
        <v>1</v>
      </c>
      <c r="BP115">
        <v>4446.7394979999999</v>
      </c>
      <c r="BQ115">
        <v>95.9923967</v>
      </c>
      <c r="BR115">
        <v>95.9923967</v>
      </c>
      <c r="BV115">
        <v>2.2897476999999999</v>
      </c>
      <c r="BW115">
        <f t="shared" si="86"/>
        <v>1.0000000000000001E-5</v>
      </c>
      <c r="BX115">
        <f t="shared" si="90"/>
        <v>2.2897476999999999</v>
      </c>
      <c r="BY115">
        <v>0.45</v>
      </c>
      <c r="BZ115">
        <f t="shared" si="88"/>
        <v>0.01</v>
      </c>
      <c r="CA115">
        <f t="shared" si="91"/>
        <v>0.45</v>
      </c>
      <c r="CB115">
        <v>0.3</v>
      </c>
      <c r="CC115">
        <v>0.3</v>
      </c>
      <c r="CD115">
        <v>0.3</v>
      </c>
    </row>
    <row r="116" spans="1:82" x14ac:dyDescent="0.25">
      <c r="A116">
        <f t="shared" si="92"/>
        <v>89</v>
      </c>
      <c r="B116">
        <v>2</v>
      </c>
      <c r="C116" t="str">
        <f t="shared" si="85"/>
        <v>BainEtal_Normal</v>
      </c>
      <c r="E116">
        <v>1257</v>
      </c>
      <c r="G116">
        <v>6.5</v>
      </c>
      <c r="J116" t="s">
        <v>65</v>
      </c>
      <c r="K116">
        <v>3</v>
      </c>
      <c r="L116">
        <v>8</v>
      </c>
      <c r="M116">
        <v>241000</v>
      </c>
      <c r="P116">
        <v>100</v>
      </c>
      <c r="Q116" t="s">
        <v>42</v>
      </c>
      <c r="S116">
        <v>18</v>
      </c>
      <c r="T116">
        <v>32</v>
      </c>
      <c r="U116">
        <v>33.5</v>
      </c>
      <c r="V116">
        <v>0.6</v>
      </c>
      <c r="W116">
        <v>0.55000000000000004</v>
      </c>
      <c r="X116">
        <v>1.2</v>
      </c>
      <c r="Y116">
        <v>27.05812276</v>
      </c>
      <c r="Z116">
        <v>0.3</v>
      </c>
      <c r="BP116">
        <v>1059.621441</v>
      </c>
      <c r="BQ116">
        <v>249.48299940000001</v>
      </c>
      <c r="BR116">
        <v>50</v>
      </c>
      <c r="BV116">
        <v>2.64906E-2</v>
      </c>
      <c r="BW116">
        <f t="shared" si="86"/>
        <v>1.0000000000000001E-5</v>
      </c>
      <c r="BX116">
        <f t="shared" si="90"/>
        <v>2.64906E-2</v>
      </c>
      <c r="BY116">
        <v>0.45</v>
      </c>
      <c r="BZ116">
        <f t="shared" si="88"/>
        <v>0.01</v>
      </c>
      <c r="CA116">
        <f t="shared" si="91"/>
        <v>0.45</v>
      </c>
      <c r="CB116">
        <v>0.3</v>
      </c>
      <c r="CC116">
        <v>0.3</v>
      </c>
      <c r="CD116">
        <v>0.3</v>
      </c>
    </row>
    <row r="117" spans="1:82" x14ac:dyDescent="0.25">
      <c r="A117">
        <f t="shared" si="92"/>
        <v>90</v>
      </c>
      <c r="B117">
        <v>4</v>
      </c>
      <c r="C117" t="str">
        <f t="shared" si="85"/>
        <v>BainEtal_Normal</v>
      </c>
      <c r="E117">
        <v>1257</v>
      </c>
      <c r="G117">
        <v>6.5</v>
      </c>
      <c r="J117" t="s">
        <v>34</v>
      </c>
      <c r="K117">
        <v>8</v>
      </c>
      <c r="L117">
        <v>10</v>
      </c>
      <c r="M117">
        <v>359000</v>
      </c>
      <c r="P117">
        <v>200</v>
      </c>
      <c r="Q117" t="s">
        <v>42</v>
      </c>
      <c r="S117">
        <v>19</v>
      </c>
      <c r="T117">
        <v>38</v>
      </c>
      <c r="U117">
        <v>48</v>
      </c>
      <c r="V117">
        <v>0.7</v>
      </c>
      <c r="W117">
        <v>0.65</v>
      </c>
      <c r="X117">
        <v>1.8</v>
      </c>
      <c r="Y117">
        <v>62.118443849999998</v>
      </c>
      <c r="Z117">
        <v>0.6</v>
      </c>
      <c r="BP117">
        <v>2432.6164659999999</v>
      </c>
      <c r="BQ117">
        <v>177.15355159999999</v>
      </c>
      <c r="BR117">
        <v>100</v>
      </c>
      <c r="BV117">
        <v>0.12343610000000001</v>
      </c>
      <c r="BW117">
        <f t="shared" si="86"/>
        <v>1.0000000000000001E-5</v>
      </c>
      <c r="BX117">
        <f t="shared" si="90"/>
        <v>0.12343610000000001</v>
      </c>
      <c r="BY117">
        <v>0.45</v>
      </c>
      <c r="BZ117">
        <f t="shared" si="88"/>
        <v>0.01</v>
      </c>
      <c r="CA117">
        <f t="shared" si="91"/>
        <v>0.45</v>
      </c>
      <c r="CB117">
        <v>0.3</v>
      </c>
      <c r="CC117">
        <v>0.3</v>
      </c>
      <c r="CD117">
        <v>0.3</v>
      </c>
    </row>
    <row r="118" spans="1:82" x14ac:dyDescent="0.25">
      <c r="A118">
        <f t="shared" si="92"/>
        <v>91</v>
      </c>
      <c r="B118">
        <v>1</v>
      </c>
      <c r="C118" t="str">
        <f t="shared" si="85"/>
        <v>BainEtal_Normal</v>
      </c>
      <c r="E118">
        <v>1257</v>
      </c>
      <c r="G118">
        <v>6.5</v>
      </c>
      <c r="J118" t="s">
        <v>64</v>
      </c>
      <c r="K118">
        <v>3</v>
      </c>
      <c r="L118">
        <v>9</v>
      </c>
      <c r="M118">
        <v>290000</v>
      </c>
      <c r="P118">
        <v>300</v>
      </c>
      <c r="Q118" t="s">
        <v>42</v>
      </c>
      <c r="S118">
        <v>20</v>
      </c>
      <c r="T118">
        <v>44</v>
      </c>
      <c r="U118">
        <v>62.2</v>
      </c>
      <c r="V118">
        <v>0.8</v>
      </c>
      <c r="W118">
        <v>0.75</v>
      </c>
      <c r="X118">
        <v>2.4</v>
      </c>
      <c r="Y118">
        <v>123.0959459</v>
      </c>
      <c r="Z118">
        <v>1</v>
      </c>
      <c r="BP118">
        <v>4820.552584</v>
      </c>
      <c r="BQ118">
        <v>90.33357694</v>
      </c>
      <c r="BR118">
        <v>90.33357694</v>
      </c>
      <c r="BV118">
        <v>2.7526799999999998</v>
      </c>
      <c r="BW118">
        <f t="shared" si="86"/>
        <v>1.0000000000000001E-5</v>
      </c>
      <c r="BX118">
        <f t="shared" si="90"/>
        <v>2.7526799999999998</v>
      </c>
      <c r="BY118">
        <v>0.45</v>
      </c>
      <c r="BZ118">
        <f t="shared" si="88"/>
        <v>0.01</v>
      </c>
      <c r="CA118">
        <f t="shared" si="91"/>
        <v>0.45</v>
      </c>
      <c r="CB118">
        <v>0.3</v>
      </c>
      <c r="CC118">
        <v>0.3</v>
      </c>
      <c r="CD118">
        <v>0.3</v>
      </c>
    </row>
    <row r="119" spans="1:82" x14ac:dyDescent="0.25">
      <c r="A119">
        <f t="shared" si="92"/>
        <v>92</v>
      </c>
      <c r="B119">
        <v>5</v>
      </c>
      <c r="C119" t="str">
        <f t="shared" si="85"/>
        <v>BainEtal_Normal</v>
      </c>
      <c r="E119">
        <v>1723</v>
      </c>
      <c r="G119">
        <v>9.5</v>
      </c>
      <c r="J119" t="s">
        <v>39</v>
      </c>
      <c r="K119">
        <v>14</v>
      </c>
      <c r="L119">
        <v>15</v>
      </c>
      <c r="M119">
        <v>483000</v>
      </c>
      <c r="P119">
        <v>100</v>
      </c>
      <c r="Q119" t="s">
        <v>42</v>
      </c>
      <c r="S119">
        <v>18</v>
      </c>
      <c r="T119">
        <v>32</v>
      </c>
      <c r="U119">
        <v>33.5</v>
      </c>
      <c r="V119">
        <v>0.6</v>
      </c>
      <c r="W119">
        <v>0.55000000000000004</v>
      </c>
      <c r="X119">
        <v>1.2</v>
      </c>
      <c r="Y119">
        <v>37.089216800000003</v>
      </c>
      <c r="Z119">
        <v>0.3</v>
      </c>
      <c r="BP119">
        <v>725.25390489999995</v>
      </c>
      <c r="BQ119">
        <v>584.57292270000005</v>
      </c>
      <c r="BR119">
        <v>50</v>
      </c>
      <c r="BV119">
        <v>1.81313E-2</v>
      </c>
      <c r="BW119">
        <f t="shared" si="86"/>
        <v>1.0000000000000001E-5</v>
      </c>
      <c r="BX119">
        <f t="shared" si="90"/>
        <v>1.81313E-2</v>
      </c>
      <c r="BY119">
        <v>0.45</v>
      </c>
      <c r="BZ119">
        <f t="shared" si="88"/>
        <v>0.01</v>
      </c>
      <c r="CA119">
        <f t="shared" si="91"/>
        <v>0.45</v>
      </c>
      <c r="CB119">
        <v>0.3</v>
      </c>
      <c r="CC119">
        <v>0.3</v>
      </c>
      <c r="CD119">
        <v>0.3</v>
      </c>
    </row>
    <row r="120" spans="1:82" x14ac:dyDescent="0.25">
      <c r="A120">
        <f t="shared" si="92"/>
        <v>93</v>
      </c>
      <c r="B120">
        <v>3</v>
      </c>
      <c r="C120" t="str">
        <f t="shared" si="85"/>
        <v>BainEtal_Normal</v>
      </c>
      <c r="E120">
        <v>1723</v>
      </c>
      <c r="G120">
        <v>9.5</v>
      </c>
      <c r="J120" t="s">
        <v>64</v>
      </c>
      <c r="K120">
        <v>3</v>
      </c>
      <c r="L120">
        <v>9</v>
      </c>
      <c r="M120">
        <v>290000</v>
      </c>
      <c r="P120">
        <v>200</v>
      </c>
      <c r="Q120" t="s">
        <v>42</v>
      </c>
      <c r="S120">
        <v>19</v>
      </c>
      <c r="T120">
        <v>38</v>
      </c>
      <c r="U120">
        <v>48</v>
      </c>
      <c r="V120">
        <v>0.7</v>
      </c>
      <c r="W120">
        <v>0.65</v>
      </c>
      <c r="X120">
        <v>1.8</v>
      </c>
      <c r="Y120">
        <v>85.147238470000005</v>
      </c>
      <c r="Z120">
        <v>0.6</v>
      </c>
      <c r="BP120">
        <v>1664.9951799999999</v>
      </c>
      <c r="BQ120">
        <v>209.7891731</v>
      </c>
      <c r="BR120">
        <v>100</v>
      </c>
      <c r="BV120">
        <v>8.3419099999999996E-2</v>
      </c>
      <c r="BW120">
        <f t="shared" si="86"/>
        <v>1.0000000000000001E-5</v>
      </c>
      <c r="BX120">
        <f t="shared" si="90"/>
        <v>8.3419099999999996E-2</v>
      </c>
      <c r="BY120">
        <v>0.45</v>
      </c>
      <c r="BZ120">
        <f t="shared" si="88"/>
        <v>0.01</v>
      </c>
      <c r="CA120">
        <f t="shared" si="91"/>
        <v>0.45</v>
      </c>
      <c r="CB120">
        <v>0.3</v>
      </c>
      <c r="CC120">
        <v>0.3</v>
      </c>
      <c r="CD120">
        <v>0.3</v>
      </c>
    </row>
    <row r="121" spans="1:82" x14ac:dyDescent="0.25">
      <c r="A121">
        <f t="shared" si="92"/>
        <v>94</v>
      </c>
      <c r="B121">
        <v>4</v>
      </c>
      <c r="C121" t="str">
        <f t="shared" si="85"/>
        <v>BainEtal_Normal</v>
      </c>
      <c r="E121">
        <v>1723</v>
      </c>
      <c r="G121">
        <v>9.5</v>
      </c>
      <c r="J121" t="s">
        <v>64</v>
      </c>
      <c r="K121">
        <v>3</v>
      </c>
      <c r="L121">
        <v>9</v>
      </c>
      <c r="M121">
        <v>290000</v>
      </c>
      <c r="P121">
        <v>300</v>
      </c>
      <c r="Q121" t="s">
        <v>42</v>
      </c>
      <c r="S121">
        <v>20</v>
      </c>
      <c r="T121">
        <v>44</v>
      </c>
      <c r="U121">
        <v>62.2</v>
      </c>
      <c r="V121">
        <v>0.8</v>
      </c>
      <c r="W121">
        <v>0.75</v>
      </c>
      <c r="X121">
        <v>2.4</v>
      </c>
      <c r="Y121">
        <v>168.73056070000001</v>
      </c>
      <c r="Z121">
        <v>1</v>
      </c>
      <c r="BP121">
        <v>3299.4090630000001</v>
      </c>
      <c r="BQ121">
        <v>125.57334109999999</v>
      </c>
      <c r="BR121">
        <v>125.57334109999999</v>
      </c>
      <c r="BV121">
        <v>1.7483107</v>
      </c>
      <c r="BW121">
        <f t="shared" si="86"/>
        <v>1.0000000000000001E-5</v>
      </c>
      <c r="BX121">
        <f t="shared" si="90"/>
        <v>1.7483107</v>
      </c>
      <c r="BY121">
        <v>0.45</v>
      </c>
      <c r="BZ121">
        <f t="shared" si="88"/>
        <v>0.01</v>
      </c>
      <c r="CA121">
        <f t="shared" si="91"/>
        <v>0.45</v>
      </c>
      <c r="CB121">
        <v>0.3</v>
      </c>
      <c r="CC121">
        <v>0.3</v>
      </c>
      <c r="CD121">
        <v>0.3</v>
      </c>
    </row>
    <row r="122" spans="1:82" x14ac:dyDescent="0.25">
      <c r="A122">
        <f t="shared" si="92"/>
        <v>95</v>
      </c>
      <c r="B122">
        <v>3</v>
      </c>
      <c r="C122" t="str">
        <f t="shared" si="85"/>
        <v>BainEtal_Normal</v>
      </c>
      <c r="E122">
        <v>168</v>
      </c>
      <c r="G122">
        <v>4.8</v>
      </c>
      <c r="J122" t="s">
        <v>34</v>
      </c>
      <c r="K122">
        <v>8</v>
      </c>
      <c r="L122">
        <v>10</v>
      </c>
      <c r="M122">
        <v>359000</v>
      </c>
      <c r="P122">
        <v>100</v>
      </c>
      <c r="Q122" t="s">
        <v>42</v>
      </c>
      <c r="S122">
        <v>18</v>
      </c>
      <c r="T122">
        <v>32</v>
      </c>
      <c r="U122">
        <v>33.5</v>
      </c>
      <c r="V122">
        <v>0.6</v>
      </c>
      <c r="W122">
        <v>0.55000000000000004</v>
      </c>
      <c r="X122">
        <v>1.2</v>
      </c>
      <c r="Y122">
        <v>3.6163600819999999</v>
      </c>
      <c r="Z122">
        <v>0.3</v>
      </c>
      <c r="BP122">
        <v>1469.4689109999999</v>
      </c>
      <c r="BQ122">
        <v>250.59552020000001</v>
      </c>
      <c r="BR122">
        <v>50</v>
      </c>
      <c r="BV122">
        <v>3.6736699999999997E-2</v>
      </c>
      <c r="BW122">
        <f t="shared" si="86"/>
        <v>1.0000000000000001E-5</v>
      </c>
      <c r="BX122">
        <f t="shared" si="90"/>
        <v>3.6736699999999997E-2</v>
      </c>
      <c r="BY122">
        <v>0.45</v>
      </c>
      <c r="BZ122">
        <f t="shared" si="88"/>
        <v>0.01</v>
      </c>
      <c r="CA122">
        <f t="shared" si="91"/>
        <v>0.45</v>
      </c>
      <c r="CB122">
        <v>0.3</v>
      </c>
      <c r="CC122">
        <v>0.3</v>
      </c>
      <c r="CD122">
        <v>0.3</v>
      </c>
    </row>
    <row r="123" spans="1:82" x14ac:dyDescent="0.25">
      <c r="A123">
        <f t="shared" si="92"/>
        <v>96</v>
      </c>
      <c r="B123">
        <v>5</v>
      </c>
      <c r="C123" t="str">
        <f t="shared" si="85"/>
        <v>BainEtal_Normal</v>
      </c>
      <c r="E123">
        <v>168</v>
      </c>
      <c r="G123">
        <v>4.8</v>
      </c>
      <c r="J123" t="s">
        <v>64</v>
      </c>
      <c r="K123">
        <v>3</v>
      </c>
      <c r="L123">
        <v>9</v>
      </c>
      <c r="M123">
        <v>290000</v>
      </c>
      <c r="P123">
        <v>200</v>
      </c>
      <c r="Q123" t="s">
        <v>42</v>
      </c>
      <c r="S123">
        <v>19</v>
      </c>
      <c r="T123">
        <v>38</v>
      </c>
      <c r="U123">
        <v>48</v>
      </c>
      <c r="V123">
        <v>0.7</v>
      </c>
      <c r="W123">
        <v>0.65</v>
      </c>
      <c r="X123">
        <v>1.8</v>
      </c>
      <c r="Y123">
        <v>8.3022263859999992</v>
      </c>
      <c r="Z123">
        <v>0.6</v>
      </c>
      <c r="BP123">
        <v>3373.5201390000002</v>
      </c>
      <c r="BQ123">
        <v>112.3792277</v>
      </c>
      <c r="BR123">
        <v>100</v>
      </c>
      <c r="BV123">
        <v>0.3660738</v>
      </c>
      <c r="BW123">
        <f t="shared" si="86"/>
        <v>1.0000000000000001E-5</v>
      </c>
      <c r="BX123">
        <f t="shared" si="90"/>
        <v>0.3660738</v>
      </c>
      <c r="BY123">
        <v>0.45</v>
      </c>
      <c r="BZ123">
        <f t="shared" si="88"/>
        <v>0.01</v>
      </c>
      <c r="CA123">
        <f t="shared" si="91"/>
        <v>0.45</v>
      </c>
      <c r="CB123">
        <v>0.3</v>
      </c>
      <c r="CC123">
        <v>0.3</v>
      </c>
      <c r="CD123">
        <v>0.3</v>
      </c>
    </row>
    <row r="124" spans="1:82" x14ac:dyDescent="0.25">
      <c r="A124">
        <f t="shared" si="92"/>
        <v>97</v>
      </c>
      <c r="B124">
        <v>0</v>
      </c>
      <c r="C124" t="str">
        <f t="shared" si="85"/>
        <v>BainEtal_Normal</v>
      </c>
      <c r="E124">
        <v>168</v>
      </c>
      <c r="G124">
        <v>4.8</v>
      </c>
      <c r="J124" t="s">
        <v>41</v>
      </c>
      <c r="K124">
        <v>15</v>
      </c>
      <c r="L124">
        <v>20</v>
      </c>
      <c r="M124">
        <v>552000</v>
      </c>
      <c r="P124">
        <v>300</v>
      </c>
      <c r="Q124" t="s">
        <v>42</v>
      </c>
      <c r="S124">
        <v>20</v>
      </c>
      <c r="T124">
        <v>44</v>
      </c>
      <c r="U124">
        <v>62.2</v>
      </c>
      <c r="V124">
        <v>0.8</v>
      </c>
      <c r="W124">
        <v>0.75</v>
      </c>
      <c r="X124">
        <v>2.4</v>
      </c>
      <c r="Y124">
        <v>16.451964140000001</v>
      </c>
      <c r="Z124">
        <v>1</v>
      </c>
      <c r="BP124">
        <v>6685.0781649999999</v>
      </c>
      <c r="BQ124">
        <v>109.07765000000001</v>
      </c>
      <c r="BR124">
        <v>109.07765000000001</v>
      </c>
      <c r="BV124">
        <v>68.558872100000002</v>
      </c>
      <c r="BW124">
        <f t="shared" si="86"/>
        <v>1.0000000000000001E-5</v>
      </c>
      <c r="BX124">
        <f t="shared" si="90"/>
        <v>68.558872100000002</v>
      </c>
      <c r="BY124">
        <v>0.45</v>
      </c>
      <c r="BZ124">
        <f t="shared" si="88"/>
        <v>0.01</v>
      </c>
      <c r="CA124">
        <f t="shared" si="91"/>
        <v>0.45</v>
      </c>
      <c r="CB124">
        <v>0.3</v>
      </c>
      <c r="CC124">
        <v>0.3</v>
      </c>
      <c r="CD124">
        <v>0.3</v>
      </c>
    </row>
    <row r="125" spans="1:82" x14ac:dyDescent="0.25">
      <c r="A125">
        <f t="shared" si="92"/>
        <v>98</v>
      </c>
      <c r="B125">
        <v>1</v>
      </c>
      <c r="C125" t="str">
        <f t="shared" si="85"/>
        <v>BainEtal_Normal</v>
      </c>
      <c r="E125">
        <v>762</v>
      </c>
      <c r="G125">
        <v>9.5</v>
      </c>
      <c r="J125" t="s">
        <v>41</v>
      </c>
      <c r="K125">
        <v>15</v>
      </c>
      <c r="L125">
        <v>20</v>
      </c>
      <c r="M125">
        <v>552000</v>
      </c>
      <c r="P125">
        <v>100</v>
      </c>
      <c r="Q125" t="s">
        <v>42</v>
      </c>
      <c r="S125">
        <v>18</v>
      </c>
      <c r="T125">
        <v>32</v>
      </c>
      <c r="U125">
        <v>33.5</v>
      </c>
      <c r="V125">
        <v>0.6</v>
      </c>
      <c r="W125">
        <v>0.55000000000000004</v>
      </c>
      <c r="X125">
        <v>1.2</v>
      </c>
      <c r="Y125">
        <v>16.40277609</v>
      </c>
      <c r="Z125">
        <v>0.3</v>
      </c>
      <c r="BP125">
        <v>730.36066300000005</v>
      </c>
      <c r="BQ125">
        <v>636.81414540000003</v>
      </c>
      <c r="BR125">
        <v>50</v>
      </c>
      <c r="BV125">
        <v>1.8259000000000001E-2</v>
      </c>
      <c r="BW125">
        <f t="shared" si="86"/>
        <v>1.0000000000000001E-5</v>
      </c>
      <c r="BX125">
        <f t="shared" si="90"/>
        <v>1.8259000000000001E-2</v>
      </c>
      <c r="BY125">
        <v>0.45</v>
      </c>
      <c r="BZ125">
        <f t="shared" si="88"/>
        <v>0.01</v>
      </c>
      <c r="CA125">
        <f t="shared" si="91"/>
        <v>0.45</v>
      </c>
      <c r="CB125">
        <v>0.3</v>
      </c>
      <c r="CC125">
        <v>0.3</v>
      </c>
      <c r="CD125">
        <v>0.3</v>
      </c>
    </row>
    <row r="126" spans="1:82" x14ac:dyDescent="0.25">
      <c r="A126">
        <f t="shared" si="92"/>
        <v>99</v>
      </c>
      <c r="B126">
        <v>4</v>
      </c>
      <c r="C126" t="str">
        <f t="shared" si="85"/>
        <v>BainEtal_Normal</v>
      </c>
      <c r="E126">
        <v>762</v>
      </c>
      <c r="G126">
        <v>9.5</v>
      </c>
      <c r="J126" t="s">
        <v>34</v>
      </c>
      <c r="K126">
        <v>8</v>
      </c>
      <c r="L126">
        <v>10</v>
      </c>
      <c r="M126">
        <v>359000</v>
      </c>
      <c r="P126">
        <v>200</v>
      </c>
      <c r="Q126" t="s">
        <v>42</v>
      </c>
      <c r="S126">
        <v>19</v>
      </c>
      <c r="T126">
        <v>38</v>
      </c>
      <c r="U126">
        <v>48</v>
      </c>
      <c r="V126">
        <v>0.7</v>
      </c>
      <c r="W126">
        <v>0.65</v>
      </c>
      <c r="X126">
        <v>1.8</v>
      </c>
      <c r="Y126">
        <v>37.656526820000003</v>
      </c>
      <c r="Z126">
        <v>0.6</v>
      </c>
      <c r="BP126">
        <v>1676.7189739999999</v>
      </c>
      <c r="BQ126">
        <v>242.6722742</v>
      </c>
      <c r="BR126">
        <v>100</v>
      </c>
      <c r="BV126">
        <v>8.3866099999999999E-2</v>
      </c>
      <c r="BW126">
        <f t="shared" si="86"/>
        <v>1.0000000000000001E-5</v>
      </c>
      <c r="BX126">
        <f t="shared" si="90"/>
        <v>8.3866099999999999E-2</v>
      </c>
      <c r="BY126">
        <v>0.45</v>
      </c>
      <c r="BZ126">
        <f t="shared" si="88"/>
        <v>0.01</v>
      </c>
      <c r="CA126">
        <f t="shared" si="91"/>
        <v>0.45</v>
      </c>
      <c r="CB126">
        <v>0.3</v>
      </c>
      <c r="CC126">
        <v>0.3</v>
      </c>
      <c r="CD126">
        <v>0.3</v>
      </c>
    </row>
    <row r="127" spans="1:82" x14ac:dyDescent="0.25">
      <c r="A127">
        <f t="shared" si="92"/>
        <v>100</v>
      </c>
      <c r="B127">
        <v>5</v>
      </c>
      <c r="C127" t="str">
        <f t="shared" si="85"/>
        <v>BainEtal_Normal</v>
      </c>
      <c r="E127">
        <v>762</v>
      </c>
      <c r="G127">
        <v>9.5</v>
      </c>
      <c r="J127" t="s">
        <v>41</v>
      </c>
      <c r="K127">
        <v>15</v>
      </c>
      <c r="L127">
        <v>20</v>
      </c>
      <c r="M127">
        <v>552000</v>
      </c>
      <c r="P127">
        <v>300</v>
      </c>
      <c r="Q127" t="s">
        <v>42</v>
      </c>
      <c r="S127">
        <v>20</v>
      </c>
      <c r="T127">
        <v>44</v>
      </c>
      <c r="U127">
        <v>62.2</v>
      </c>
      <c r="V127">
        <v>0.8</v>
      </c>
      <c r="W127">
        <v>0.75</v>
      </c>
      <c r="X127">
        <v>2.4</v>
      </c>
      <c r="Y127">
        <v>74.621408759999994</v>
      </c>
      <c r="Z127">
        <v>1</v>
      </c>
      <c r="BP127">
        <v>3322.6413189999998</v>
      </c>
      <c r="BQ127">
        <v>200.65724950000001</v>
      </c>
      <c r="BR127">
        <v>150</v>
      </c>
      <c r="BV127">
        <v>0.27227249999999997</v>
      </c>
      <c r="BW127">
        <f t="shared" si="86"/>
        <v>1.0000000000000001E-5</v>
      </c>
      <c r="BX127">
        <f t="shared" si="90"/>
        <v>0.27227249999999997</v>
      </c>
      <c r="BY127">
        <v>0.45</v>
      </c>
      <c r="BZ127">
        <f t="shared" si="88"/>
        <v>0.01</v>
      </c>
      <c r="CA127">
        <f t="shared" si="91"/>
        <v>0.45</v>
      </c>
      <c r="CB127">
        <v>0.3</v>
      </c>
      <c r="CC127">
        <v>0.3</v>
      </c>
      <c r="CD127">
        <v>0.3</v>
      </c>
    </row>
    <row r="128" spans="1:82" x14ac:dyDescent="0.25">
      <c r="A128">
        <f t="shared" si="92"/>
        <v>101</v>
      </c>
      <c r="B128">
        <v>5</v>
      </c>
      <c r="C128" t="str">
        <f t="shared" si="85"/>
        <v>BainEtal_Normal</v>
      </c>
      <c r="E128">
        <v>610</v>
      </c>
      <c r="G128">
        <v>6.4</v>
      </c>
      <c r="J128" t="s">
        <v>34</v>
      </c>
      <c r="K128">
        <v>8</v>
      </c>
      <c r="L128">
        <v>10</v>
      </c>
      <c r="M128">
        <v>359000</v>
      </c>
      <c r="P128">
        <v>100</v>
      </c>
      <c r="Q128" t="s">
        <v>42</v>
      </c>
      <c r="S128">
        <v>18</v>
      </c>
      <c r="T128">
        <v>32</v>
      </c>
      <c r="U128">
        <v>33.5</v>
      </c>
      <c r="V128">
        <v>0.6</v>
      </c>
      <c r="W128">
        <v>0.55000000000000004</v>
      </c>
      <c r="X128">
        <v>1.2</v>
      </c>
      <c r="Y128">
        <v>13.13083125</v>
      </c>
      <c r="Z128">
        <v>0.3</v>
      </c>
      <c r="BP128">
        <v>1081.9648259999999</v>
      </c>
      <c r="BQ128">
        <v>327.81318340000001</v>
      </c>
      <c r="BR128">
        <v>50</v>
      </c>
      <c r="BV128">
        <v>2.70491E-2</v>
      </c>
      <c r="BW128">
        <f t="shared" si="86"/>
        <v>1.0000000000000001E-5</v>
      </c>
      <c r="BX128">
        <f t="shared" si="90"/>
        <v>2.70491E-2</v>
      </c>
      <c r="BY128">
        <v>0.45</v>
      </c>
      <c r="BZ128">
        <f t="shared" si="88"/>
        <v>0.01</v>
      </c>
      <c r="CA128">
        <f t="shared" si="91"/>
        <v>0.45</v>
      </c>
      <c r="CB128">
        <v>0.3</v>
      </c>
      <c r="CC128">
        <v>0.3</v>
      </c>
      <c r="CD128">
        <v>0.3</v>
      </c>
    </row>
    <row r="129" spans="1:82" x14ac:dyDescent="0.25">
      <c r="A129">
        <f t="shared" si="92"/>
        <v>102</v>
      </c>
      <c r="B129">
        <v>3</v>
      </c>
      <c r="C129" t="str">
        <f t="shared" si="85"/>
        <v>BainEtal_Normal</v>
      </c>
      <c r="E129">
        <v>610</v>
      </c>
      <c r="G129">
        <v>6.4</v>
      </c>
      <c r="J129" t="s">
        <v>41</v>
      </c>
      <c r="K129">
        <v>15</v>
      </c>
      <c r="L129">
        <v>20</v>
      </c>
      <c r="M129">
        <v>552000</v>
      </c>
      <c r="P129">
        <v>200</v>
      </c>
      <c r="Q129" t="s">
        <v>42</v>
      </c>
      <c r="S129">
        <v>19</v>
      </c>
      <c r="T129">
        <v>38</v>
      </c>
      <c r="U129">
        <v>48</v>
      </c>
      <c r="V129">
        <v>0.7</v>
      </c>
      <c r="W129">
        <v>0.65</v>
      </c>
      <c r="X129">
        <v>1.8</v>
      </c>
      <c r="Y129">
        <v>30.144988659999999</v>
      </c>
      <c r="Z129">
        <v>0.6</v>
      </c>
      <c r="BP129">
        <v>2483.9110930000002</v>
      </c>
      <c r="BQ129">
        <v>238.38257490000001</v>
      </c>
      <c r="BR129">
        <v>100</v>
      </c>
      <c r="BV129">
        <v>0.1241956</v>
      </c>
      <c r="BW129">
        <f t="shared" si="86"/>
        <v>1.0000000000000001E-5</v>
      </c>
      <c r="BX129">
        <f t="shared" si="90"/>
        <v>0.1241956</v>
      </c>
      <c r="BY129">
        <v>0.45</v>
      </c>
      <c r="BZ129">
        <f t="shared" si="88"/>
        <v>0.01</v>
      </c>
      <c r="CA129">
        <f t="shared" si="91"/>
        <v>0.45</v>
      </c>
      <c r="CB129">
        <v>0.3</v>
      </c>
      <c r="CC129">
        <v>0.3</v>
      </c>
      <c r="CD129">
        <v>0.3</v>
      </c>
    </row>
    <row r="130" spans="1:82" x14ac:dyDescent="0.25">
      <c r="A130">
        <f t="shared" si="92"/>
        <v>103</v>
      </c>
      <c r="B130">
        <v>1</v>
      </c>
      <c r="C130" t="str">
        <f t="shared" si="85"/>
        <v>BainEtal_Normal</v>
      </c>
      <c r="E130">
        <v>610</v>
      </c>
      <c r="G130">
        <v>6.4</v>
      </c>
      <c r="J130" t="s">
        <v>64</v>
      </c>
      <c r="K130">
        <v>3</v>
      </c>
      <c r="L130">
        <v>9</v>
      </c>
      <c r="M130">
        <v>290000</v>
      </c>
      <c r="P130">
        <v>300</v>
      </c>
      <c r="Q130" t="s">
        <v>42</v>
      </c>
      <c r="S130">
        <v>20</v>
      </c>
      <c r="T130">
        <v>44</v>
      </c>
      <c r="U130">
        <v>62.2</v>
      </c>
      <c r="V130">
        <v>0.8</v>
      </c>
      <c r="W130">
        <v>0.75</v>
      </c>
      <c r="X130">
        <v>2.4</v>
      </c>
      <c r="Y130">
        <v>59.736298349999998</v>
      </c>
      <c r="Z130">
        <v>1</v>
      </c>
      <c r="BP130">
        <v>4922.1997000000001</v>
      </c>
      <c r="BQ130">
        <v>87.994095999999999</v>
      </c>
      <c r="BR130">
        <v>87.994095999999999</v>
      </c>
      <c r="BV130">
        <v>2.6189157999999999</v>
      </c>
      <c r="BW130">
        <f t="shared" si="86"/>
        <v>1.0000000000000001E-5</v>
      </c>
      <c r="BX130">
        <f t="shared" si="90"/>
        <v>2.6189157999999999</v>
      </c>
      <c r="BY130">
        <v>0.45</v>
      </c>
      <c r="BZ130">
        <f t="shared" si="88"/>
        <v>0.01</v>
      </c>
      <c r="CA130">
        <f t="shared" si="91"/>
        <v>0.45</v>
      </c>
      <c r="CB130">
        <v>0.3</v>
      </c>
      <c r="CC130">
        <v>0.3</v>
      </c>
      <c r="CD130">
        <v>0.3</v>
      </c>
    </row>
    <row r="131" spans="1:82" x14ac:dyDescent="0.25">
      <c r="A131">
        <f t="shared" si="92"/>
        <v>104</v>
      </c>
      <c r="B131">
        <v>4</v>
      </c>
      <c r="C131" t="str">
        <f t="shared" si="85"/>
        <v>BainEtal_Normal</v>
      </c>
      <c r="E131">
        <v>406</v>
      </c>
      <c r="G131">
        <v>9.5</v>
      </c>
      <c r="J131" t="s">
        <v>34</v>
      </c>
      <c r="K131">
        <v>8</v>
      </c>
      <c r="L131">
        <v>10</v>
      </c>
      <c r="M131">
        <v>359000</v>
      </c>
      <c r="P131">
        <v>100</v>
      </c>
      <c r="Q131" t="s">
        <v>42</v>
      </c>
      <c r="S131">
        <v>18</v>
      </c>
      <c r="T131">
        <v>32</v>
      </c>
      <c r="U131">
        <v>33.5</v>
      </c>
      <c r="V131">
        <v>0.6</v>
      </c>
      <c r="W131">
        <v>0.55000000000000004</v>
      </c>
      <c r="X131">
        <v>1.2</v>
      </c>
      <c r="Y131">
        <v>8.7395368659999999</v>
      </c>
      <c r="Z131">
        <v>0.3</v>
      </c>
      <c r="BP131">
        <v>738.53613459999997</v>
      </c>
      <c r="BQ131">
        <v>455.79616240000001</v>
      </c>
      <c r="BR131">
        <v>50</v>
      </c>
      <c r="BV131">
        <v>1.8463400000000001E-2</v>
      </c>
      <c r="BW131">
        <f t="shared" si="86"/>
        <v>1.0000000000000001E-5</v>
      </c>
      <c r="BX131">
        <f t="shared" si="90"/>
        <v>1.8463400000000001E-2</v>
      </c>
      <c r="BY131">
        <v>0.45</v>
      </c>
      <c r="BZ131">
        <f t="shared" si="88"/>
        <v>0.01</v>
      </c>
      <c r="CA131">
        <f t="shared" si="91"/>
        <v>0.45</v>
      </c>
      <c r="CB131">
        <v>0.3</v>
      </c>
      <c r="CC131">
        <v>0.3</v>
      </c>
      <c r="CD131">
        <v>0.3</v>
      </c>
    </row>
    <row r="132" spans="1:82" x14ac:dyDescent="0.25">
      <c r="A132">
        <f t="shared" si="92"/>
        <v>105</v>
      </c>
      <c r="B132">
        <v>0</v>
      </c>
      <c r="C132" t="str">
        <f t="shared" si="85"/>
        <v>BainEtal_Normal</v>
      </c>
      <c r="E132">
        <v>406</v>
      </c>
      <c r="G132">
        <v>9.5</v>
      </c>
      <c r="J132" t="s">
        <v>65</v>
      </c>
      <c r="K132">
        <v>3</v>
      </c>
      <c r="L132">
        <v>8</v>
      </c>
      <c r="M132">
        <v>241000</v>
      </c>
      <c r="P132">
        <v>200</v>
      </c>
      <c r="Q132" t="s">
        <v>42</v>
      </c>
      <c r="S132">
        <v>19</v>
      </c>
      <c r="T132">
        <v>38</v>
      </c>
      <c r="U132">
        <v>48</v>
      </c>
      <c r="V132">
        <v>0.7</v>
      </c>
      <c r="W132">
        <v>0.65</v>
      </c>
      <c r="X132">
        <v>1.8</v>
      </c>
      <c r="Y132">
        <v>20.06371377</v>
      </c>
      <c r="Z132">
        <v>0.6</v>
      </c>
      <c r="BP132">
        <v>1695.48774</v>
      </c>
      <c r="BQ132">
        <v>177.87598059999999</v>
      </c>
      <c r="BR132">
        <v>100</v>
      </c>
      <c r="BV132">
        <v>8.6470099999999994E-2</v>
      </c>
      <c r="BW132">
        <f t="shared" si="86"/>
        <v>1.0000000000000001E-5</v>
      </c>
      <c r="BX132">
        <f t="shared" si="90"/>
        <v>8.6470099999999994E-2</v>
      </c>
      <c r="BY132">
        <v>0.45</v>
      </c>
      <c r="BZ132">
        <f t="shared" si="88"/>
        <v>0.01</v>
      </c>
      <c r="CA132">
        <f t="shared" si="91"/>
        <v>0.45</v>
      </c>
      <c r="CB132">
        <v>0.3</v>
      </c>
      <c r="CC132">
        <v>0.3</v>
      </c>
      <c r="CD132">
        <v>0.3</v>
      </c>
    </row>
    <row r="133" spans="1:82" x14ac:dyDescent="0.25">
      <c r="A133">
        <f t="shared" si="92"/>
        <v>106</v>
      </c>
      <c r="B133">
        <v>4</v>
      </c>
      <c r="C133" t="str">
        <f t="shared" si="85"/>
        <v>BainEtal_Normal</v>
      </c>
      <c r="E133">
        <v>406</v>
      </c>
      <c r="G133">
        <v>9.5</v>
      </c>
      <c r="J133" t="s">
        <v>65</v>
      </c>
      <c r="K133">
        <v>3</v>
      </c>
      <c r="L133">
        <v>8</v>
      </c>
      <c r="M133">
        <v>241000</v>
      </c>
      <c r="P133">
        <v>300</v>
      </c>
      <c r="Q133" t="s">
        <v>42</v>
      </c>
      <c r="S133">
        <v>20</v>
      </c>
      <c r="T133">
        <v>44</v>
      </c>
      <c r="U133">
        <v>62.2</v>
      </c>
      <c r="V133">
        <v>0.8</v>
      </c>
      <c r="W133">
        <v>0.75</v>
      </c>
      <c r="X133">
        <v>2.4</v>
      </c>
      <c r="Y133">
        <v>39.758913329999999</v>
      </c>
      <c r="Z133">
        <v>1</v>
      </c>
      <c r="BP133">
        <v>3359.8341209999999</v>
      </c>
      <c r="BQ133">
        <v>106.4710864</v>
      </c>
      <c r="BR133">
        <v>106.4710864</v>
      </c>
      <c r="BV133">
        <v>1.5838037</v>
      </c>
      <c r="BW133">
        <f t="shared" si="86"/>
        <v>1.0000000000000001E-5</v>
      </c>
      <c r="BX133">
        <f t="shared" si="90"/>
        <v>1.5838037</v>
      </c>
      <c r="BY133">
        <v>0.45</v>
      </c>
      <c r="BZ133">
        <f t="shared" si="88"/>
        <v>0.01</v>
      </c>
      <c r="CA133">
        <f t="shared" si="91"/>
        <v>0.45</v>
      </c>
      <c r="CB133">
        <v>0.3</v>
      </c>
      <c r="CC133">
        <v>0.3</v>
      </c>
      <c r="CD133">
        <v>0.3</v>
      </c>
    </row>
    <row r="134" spans="1:82" x14ac:dyDescent="0.25">
      <c r="A134">
        <f t="shared" si="92"/>
        <v>107</v>
      </c>
      <c r="B134">
        <v>1</v>
      </c>
      <c r="C134" t="str">
        <f t="shared" si="85"/>
        <v>BainEtal_Normal</v>
      </c>
      <c r="E134">
        <v>610</v>
      </c>
      <c r="G134">
        <v>10.199999999999999</v>
      </c>
      <c r="J134" t="s">
        <v>34</v>
      </c>
      <c r="K134">
        <v>8</v>
      </c>
      <c r="L134">
        <v>10</v>
      </c>
      <c r="M134">
        <v>359000</v>
      </c>
      <c r="P134">
        <v>100</v>
      </c>
      <c r="Q134" t="s">
        <v>35</v>
      </c>
      <c r="S134">
        <v>19</v>
      </c>
      <c r="T134">
        <v>38</v>
      </c>
      <c r="U134">
        <v>40</v>
      </c>
      <c r="V134">
        <v>0.75</v>
      </c>
      <c r="W134">
        <v>0.75</v>
      </c>
      <c r="X134">
        <v>1.2</v>
      </c>
      <c r="Y134">
        <v>57.49114556</v>
      </c>
      <c r="Z134">
        <v>0.5</v>
      </c>
      <c r="BP134">
        <v>2991.193143</v>
      </c>
      <c r="BQ134">
        <v>146.99126380000001</v>
      </c>
      <c r="BR134">
        <v>50</v>
      </c>
      <c r="BV134">
        <v>7.4788400000000005E-2</v>
      </c>
      <c r="BW134">
        <f t="shared" si="86"/>
        <v>1.0000000000000001E-5</v>
      </c>
      <c r="BX134">
        <f t="shared" si="90"/>
        <v>7.4788400000000005E-2</v>
      </c>
      <c r="BY134">
        <v>0.45</v>
      </c>
      <c r="BZ134">
        <f t="shared" si="88"/>
        <v>0.01</v>
      </c>
      <c r="CA134">
        <f t="shared" si="91"/>
        <v>0.45</v>
      </c>
      <c r="CB134">
        <v>0.3</v>
      </c>
      <c r="CC134">
        <v>0.3</v>
      </c>
      <c r="CD134">
        <v>0.3</v>
      </c>
    </row>
    <row r="135" spans="1:82" x14ac:dyDescent="0.25">
      <c r="A135">
        <f t="shared" si="92"/>
        <v>108</v>
      </c>
      <c r="B135">
        <v>2</v>
      </c>
      <c r="C135" t="str">
        <f t="shared" si="85"/>
        <v>BainEtal_Normal</v>
      </c>
      <c r="E135">
        <v>560</v>
      </c>
      <c r="G135">
        <v>7.1</v>
      </c>
      <c r="J135" t="s">
        <v>37</v>
      </c>
      <c r="K135">
        <v>8</v>
      </c>
      <c r="L135">
        <v>12</v>
      </c>
      <c r="M135">
        <v>414000</v>
      </c>
      <c r="P135">
        <v>100</v>
      </c>
      <c r="Q135" t="s">
        <v>35</v>
      </c>
      <c r="S135">
        <v>18</v>
      </c>
      <c r="T135">
        <v>32</v>
      </c>
      <c r="U135">
        <v>33.5</v>
      </c>
      <c r="V135">
        <v>0.6</v>
      </c>
      <c r="W135">
        <v>0.55000000000000004</v>
      </c>
      <c r="X135">
        <v>1.2</v>
      </c>
      <c r="Y135">
        <v>35.36176691</v>
      </c>
      <c r="Z135">
        <v>0.3</v>
      </c>
      <c r="BP135">
        <v>2867.3396870000001</v>
      </c>
      <c r="BQ135">
        <v>161.1675936</v>
      </c>
      <c r="BR135">
        <v>50</v>
      </c>
      <c r="BV135">
        <v>7.16836E-2</v>
      </c>
      <c r="BW135">
        <f t="shared" si="86"/>
        <v>1.0000000000000001E-5</v>
      </c>
      <c r="BX135">
        <f t="shared" si="90"/>
        <v>7.16836E-2</v>
      </c>
      <c r="BY135">
        <v>0.45</v>
      </c>
      <c r="BZ135">
        <f t="shared" si="88"/>
        <v>0.01</v>
      </c>
      <c r="CA135">
        <f t="shared" si="91"/>
        <v>0.45</v>
      </c>
      <c r="CB135">
        <v>0.3</v>
      </c>
      <c r="CC135">
        <v>0.3</v>
      </c>
      <c r="CD135">
        <v>0.3</v>
      </c>
    </row>
    <row r="136" spans="1:82" x14ac:dyDescent="0.25">
      <c r="A136">
        <f t="shared" si="92"/>
        <v>109</v>
      </c>
      <c r="B136">
        <v>0</v>
      </c>
      <c r="C136" t="str">
        <f t="shared" si="85"/>
        <v>BainEtal_Normal</v>
      </c>
      <c r="E136">
        <v>560</v>
      </c>
      <c r="G136">
        <v>7.1</v>
      </c>
      <c r="J136" t="s">
        <v>37</v>
      </c>
      <c r="K136">
        <v>8</v>
      </c>
      <c r="L136">
        <v>12</v>
      </c>
      <c r="M136">
        <v>414000</v>
      </c>
      <c r="P136">
        <v>200</v>
      </c>
      <c r="Q136" t="s">
        <v>35</v>
      </c>
      <c r="S136">
        <v>19</v>
      </c>
      <c r="T136">
        <v>38</v>
      </c>
      <c r="U136">
        <v>48</v>
      </c>
      <c r="V136">
        <v>0.7</v>
      </c>
      <c r="W136">
        <v>0.65</v>
      </c>
      <c r="X136">
        <v>1.8</v>
      </c>
      <c r="Y136">
        <v>59.11220737</v>
      </c>
      <c r="Z136">
        <v>0.6</v>
      </c>
      <c r="BP136">
        <v>4793.1648489999998</v>
      </c>
      <c r="BQ136">
        <v>110.58326479999999</v>
      </c>
      <c r="BR136">
        <v>100</v>
      </c>
      <c r="BV136">
        <v>1.0951253000000001</v>
      </c>
      <c r="BW136">
        <f t="shared" si="86"/>
        <v>1.0000000000000001E-5</v>
      </c>
      <c r="BX136">
        <f t="shared" si="90"/>
        <v>1.0951253000000001</v>
      </c>
      <c r="BY136">
        <v>0.45</v>
      </c>
      <c r="BZ136">
        <f t="shared" si="88"/>
        <v>0.01</v>
      </c>
      <c r="CA136">
        <f t="shared" si="91"/>
        <v>0.45</v>
      </c>
      <c r="CB136">
        <v>0.3</v>
      </c>
      <c r="CC136">
        <v>0.3</v>
      </c>
      <c r="CD136">
        <v>0.3</v>
      </c>
    </row>
    <row r="137" spans="1:82" x14ac:dyDescent="0.25">
      <c r="A137">
        <f t="shared" si="92"/>
        <v>110</v>
      </c>
      <c r="B137">
        <v>0</v>
      </c>
      <c r="C137" t="str">
        <f t="shared" si="85"/>
        <v>BainEtal_Normal</v>
      </c>
      <c r="E137">
        <v>560</v>
      </c>
      <c r="G137">
        <v>7.1</v>
      </c>
      <c r="J137" t="s">
        <v>64</v>
      </c>
      <c r="K137">
        <v>3</v>
      </c>
      <c r="L137">
        <v>9</v>
      </c>
      <c r="M137">
        <v>290000</v>
      </c>
      <c r="P137">
        <v>300</v>
      </c>
      <c r="Q137" t="s">
        <v>35</v>
      </c>
      <c r="S137">
        <v>20</v>
      </c>
      <c r="T137">
        <v>44</v>
      </c>
      <c r="U137">
        <v>62.2</v>
      </c>
      <c r="V137">
        <v>0.8</v>
      </c>
      <c r="W137">
        <v>0.75</v>
      </c>
      <c r="X137">
        <v>2.4</v>
      </c>
      <c r="Y137">
        <v>87.542364250000006</v>
      </c>
      <c r="Z137">
        <v>1</v>
      </c>
      <c r="BP137">
        <v>7098.4488959999999</v>
      </c>
      <c r="BQ137">
        <v>62.522269739999999</v>
      </c>
      <c r="BR137">
        <v>62.522269739999999</v>
      </c>
      <c r="BV137">
        <v>3.2873344000000002</v>
      </c>
      <c r="BW137">
        <f t="shared" si="86"/>
        <v>1.0000000000000001E-5</v>
      </c>
      <c r="BX137">
        <f t="shared" si="90"/>
        <v>3.2873344000000002</v>
      </c>
      <c r="BY137">
        <v>0.45</v>
      </c>
      <c r="BZ137">
        <f t="shared" si="88"/>
        <v>0.01</v>
      </c>
      <c r="CA137">
        <f t="shared" si="91"/>
        <v>0.45</v>
      </c>
      <c r="CB137">
        <v>0.3</v>
      </c>
      <c r="CC137">
        <v>0.3</v>
      </c>
      <c r="CD137">
        <v>0.3</v>
      </c>
    </row>
    <row r="138" spans="1:82" x14ac:dyDescent="0.25">
      <c r="A138">
        <f t="shared" si="92"/>
        <v>111</v>
      </c>
      <c r="B138">
        <v>5</v>
      </c>
      <c r="C138" t="str">
        <f t="shared" si="85"/>
        <v>BainEtal_Normal</v>
      </c>
      <c r="E138">
        <v>1257</v>
      </c>
      <c r="G138">
        <v>6.5</v>
      </c>
      <c r="J138" t="s">
        <v>65</v>
      </c>
      <c r="K138">
        <v>3</v>
      </c>
      <c r="L138">
        <v>8</v>
      </c>
      <c r="M138">
        <v>241000</v>
      </c>
      <c r="P138">
        <v>100</v>
      </c>
      <c r="Q138" t="s">
        <v>35</v>
      </c>
      <c r="S138">
        <v>18</v>
      </c>
      <c r="T138">
        <v>32</v>
      </c>
      <c r="U138">
        <v>33.5</v>
      </c>
      <c r="V138">
        <v>0.6</v>
      </c>
      <c r="W138">
        <v>0.55000000000000004</v>
      </c>
      <c r="X138">
        <v>1.2</v>
      </c>
      <c r="Y138">
        <v>79.374537509999996</v>
      </c>
      <c r="Z138">
        <v>0.3</v>
      </c>
      <c r="BP138">
        <v>3108.3812630000002</v>
      </c>
      <c r="BQ138">
        <v>97.444123289999993</v>
      </c>
      <c r="BR138">
        <v>50</v>
      </c>
      <c r="BV138">
        <v>7.8484399999999996E-2</v>
      </c>
      <c r="BW138">
        <f t="shared" si="86"/>
        <v>1.0000000000000001E-5</v>
      </c>
      <c r="BX138">
        <f t="shared" si="90"/>
        <v>7.8484399999999996E-2</v>
      </c>
      <c r="BY138">
        <v>0.45</v>
      </c>
      <c r="BZ138">
        <f t="shared" si="88"/>
        <v>0.01</v>
      </c>
      <c r="CA138">
        <f t="shared" si="91"/>
        <v>0.45</v>
      </c>
      <c r="CB138">
        <v>0.3</v>
      </c>
      <c r="CC138">
        <v>0.3</v>
      </c>
      <c r="CD138">
        <v>0.3</v>
      </c>
    </row>
    <row r="139" spans="1:82" x14ac:dyDescent="0.25">
      <c r="A139">
        <f t="shared" si="92"/>
        <v>112</v>
      </c>
      <c r="B139">
        <v>1</v>
      </c>
      <c r="C139" t="str">
        <f t="shared" si="85"/>
        <v>BainEtal_Normal</v>
      </c>
      <c r="E139">
        <v>1257</v>
      </c>
      <c r="G139">
        <v>6.5</v>
      </c>
      <c r="J139" t="s">
        <v>34</v>
      </c>
      <c r="K139">
        <v>8</v>
      </c>
      <c r="L139">
        <v>10</v>
      </c>
      <c r="M139">
        <v>359000</v>
      </c>
      <c r="P139">
        <v>200</v>
      </c>
      <c r="Q139" t="s">
        <v>35</v>
      </c>
      <c r="S139">
        <v>19</v>
      </c>
      <c r="T139">
        <v>38</v>
      </c>
      <c r="U139">
        <v>48</v>
      </c>
      <c r="V139">
        <v>0.7</v>
      </c>
      <c r="W139">
        <v>0.65</v>
      </c>
      <c r="X139">
        <v>1.8</v>
      </c>
      <c r="Y139">
        <v>132.68579399999999</v>
      </c>
      <c r="Z139">
        <v>0.6</v>
      </c>
      <c r="BP139">
        <v>5196.1000219999996</v>
      </c>
      <c r="BQ139">
        <v>91.491185990000005</v>
      </c>
      <c r="BR139">
        <v>91.491185990000005</v>
      </c>
      <c r="BV139">
        <v>3.1041672</v>
      </c>
      <c r="BW139">
        <f t="shared" si="86"/>
        <v>1.0000000000000001E-5</v>
      </c>
      <c r="BX139">
        <f t="shared" si="90"/>
        <v>3.1041672</v>
      </c>
      <c r="BY139">
        <v>0.45</v>
      </c>
      <c r="BZ139">
        <f t="shared" si="88"/>
        <v>0.01</v>
      </c>
      <c r="CA139">
        <f t="shared" si="91"/>
        <v>0.45</v>
      </c>
      <c r="CB139">
        <v>0.3</v>
      </c>
      <c r="CC139">
        <v>0.3</v>
      </c>
      <c r="CD139">
        <v>0.3</v>
      </c>
    </row>
    <row r="140" spans="1:82" x14ac:dyDescent="0.25">
      <c r="A140">
        <f t="shared" si="92"/>
        <v>113</v>
      </c>
      <c r="B140">
        <v>0</v>
      </c>
      <c r="C140" t="str">
        <f t="shared" si="85"/>
        <v>BainEtal_Normal</v>
      </c>
      <c r="E140">
        <v>1257</v>
      </c>
      <c r="G140">
        <v>6.5</v>
      </c>
      <c r="J140" t="s">
        <v>64</v>
      </c>
      <c r="K140">
        <v>3</v>
      </c>
      <c r="L140">
        <v>9</v>
      </c>
      <c r="M140">
        <v>290000</v>
      </c>
      <c r="P140">
        <v>300</v>
      </c>
      <c r="Q140" t="s">
        <v>35</v>
      </c>
      <c r="S140">
        <v>20</v>
      </c>
      <c r="T140">
        <v>44</v>
      </c>
      <c r="U140">
        <v>62.2</v>
      </c>
      <c r="V140">
        <v>0.8</v>
      </c>
      <c r="W140">
        <v>0.75</v>
      </c>
      <c r="X140">
        <v>2.4</v>
      </c>
      <c r="Y140">
        <v>196.50134259999999</v>
      </c>
      <c r="Z140">
        <v>1</v>
      </c>
      <c r="BP140">
        <v>7695.1766989999996</v>
      </c>
      <c r="BQ140">
        <v>57.868806139999997</v>
      </c>
      <c r="BR140">
        <v>57.868806139999997</v>
      </c>
      <c r="BV140">
        <v>3.3932481999999999</v>
      </c>
      <c r="BW140">
        <f t="shared" si="86"/>
        <v>1.0000000000000001E-5</v>
      </c>
      <c r="BX140">
        <f t="shared" si="90"/>
        <v>3.3932481999999999</v>
      </c>
      <c r="BY140">
        <v>0.45</v>
      </c>
      <c r="BZ140">
        <f t="shared" si="88"/>
        <v>0.01</v>
      </c>
      <c r="CA140">
        <f t="shared" si="91"/>
        <v>0.45</v>
      </c>
      <c r="CB140">
        <v>0.3</v>
      </c>
      <c r="CC140">
        <v>0.3</v>
      </c>
      <c r="CD140">
        <v>0.3</v>
      </c>
    </row>
    <row r="141" spans="1:82" x14ac:dyDescent="0.25">
      <c r="A141">
        <f t="shared" si="92"/>
        <v>114</v>
      </c>
      <c r="B141">
        <v>2</v>
      </c>
      <c r="C141" t="str">
        <f t="shared" si="85"/>
        <v>BainEtal_Normal</v>
      </c>
      <c r="E141">
        <v>1723</v>
      </c>
      <c r="G141">
        <v>9.5</v>
      </c>
      <c r="J141" t="s">
        <v>39</v>
      </c>
      <c r="K141">
        <v>14</v>
      </c>
      <c r="L141">
        <v>15</v>
      </c>
      <c r="M141">
        <v>483000</v>
      </c>
      <c r="P141">
        <v>100</v>
      </c>
      <c r="Q141" t="s">
        <v>35</v>
      </c>
      <c r="S141">
        <v>18</v>
      </c>
      <c r="T141">
        <v>32</v>
      </c>
      <c r="U141">
        <v>33.5</v>
      </c>
      <c r="V141">
        <v>0.6</v>
      </c>
      <c r="W141">
        <v>0.55000000000000004</v>
      </c>
      <c r="X141">
        <v>1.2</v>
      </c>
      <c r="Y141">
        <v>108.8005793</v>
      </c>
      <c r="Z141">
        <v>0.3</v>
      </c>
      <c r="BP141">
        <v>2127.5198500000001</v>
      </c>
      <c r="BQ141">
        <v>234.8272054</v>
      </c>
      <c r="BR141">
        <v>50</v>
      </c>
      <c r="BV141">
        <v>5.3187999999999999E-2</v>
      </c>
      <c r="BW141">
        <f t="shared" si="86"/>
        <v>1.0000000000000001E-5</v>
      </c>
      <c r="BX141">
        <f t="shared" si="90"/>
        <v>5.3187999999999999E-2</v>
      </c>
      <c r="BY141">
        <v>0.45</v>
      </c>
      <c r="BZ141">
        <f t="shared" si="88"/>
        <v>0.01</v>
      </c>
      <c r="CA141">
        <f t="shared" si="91"/>
        <v>0.45</v>
      </c>
      <c r="CB141">
        <v>0.3</v>
      </c>
      <c r="CC141">
        <v>0.3</v>
      </c>
      <c r="CD141">
        <v>0.3</v>
      </c>
    </row>
    <row r="142" spans="1:82" x14ac:dyDescent="0.25">
      <c r="A142">
        <f t="shared" si="92"/>
        <v>115</v>
      </c>
      <c r="B142">
        <v>5</v>
      </c>
      <c r="C142" t="str">
        <f t="shared" si="85"/>
        <v>BainEtal_Normal</v>
      </c>
      <c r="E142">
        <v>1723</v>
      </c>
      <c r="G142">
        <v>9.5</v>
      </c>
      <c r="J142" t="s">
        <v>64</v>
      </c>
      <c r="K142">
        <v>3</v>
      </c>
      <c r="L142">
        <v>9</v>
      </c>
      <c r="M142">
        <v>290000</v>
      </c>
      <c r="P142">
        <v>200</v>
      </c>
      <c r="Q142" t="s">
        <v>35</v>
      </c>
      <c r="S142">
        <v>19</v>
      </c>
      <c r="T142">
        <v>38</v>
      </c>
      <c r="U142">
        <v>48</v>
      </c>
      <c r="V142">
        <v>0.7</v>
      </c>
      <c r="W142">
        <v>0.65</v>
      </c>
      <c r="X142">
        <v>1.8</v>
      </c>
      <c r="Y142">
        <v>181.87559519999999</v>
      </c>
      <c r="Z142">
        <v>0.6</v>
      </c>
      <c r="BP142">
        <v>3556.4510930000001</v>
      </c>
      <c r="BQ142">
        <v>107.8452269</v>
      </c>
      <c r="BR142">
        <v>100</v>
      </c>
      <c r="BV142">
        <v>0.51253950000000004</v>
      </c>
      <c r="BW142">
        <f t="shared" si="86"/>
        <v>1.0000000000000001E-5</v>
      </c>
      <c r="BX142">
        <f t="shared" si="90"/>
        <v>0.51253950000000004</v>
      </c>
      <c r="BY142">
        <v>0.45</v>
      </c>
      <c r="BZ142">
        <f t="shared" si="88"/>
        <v>0.01</v>
      </c>
      <c r="CA142">
        <f t="shared" si="91"/>
        <v>0.45</v>
      </c>
      <c r="CB142">
        <v>0.3</v>
      </c>
      <c r="CC142">
        <v>0.3</v>
      </c>
      <c r="CD142">
        <v>0.3</v>
      </c>
    </row>
    <row r="143" spans="1:82" x14ac:dyDescent="0.25">
      <c r="A143">
        <f t="shared" si="92"/>
        <v>116</v>
      </c>
      <c r="B143">
        <v>5</v>
      </c>
      <c r="C143" t="str">
        <f t="shared" si="85"/>
        <v>BainEtal_Normal</v>
      </c>
      <c r="E143">
        <v>1723</v>
      </c>
      <c r="G143">
        <v>9.5</v>
      </c>
      <c r="J143" t="s">
        <v>64</v>
      </c>
      <c r="K143">
        <v>3</v>
      </c>
      <c r="L143">
        <v>9</v>
      </c>
      <c r="M143">
        <v>290000</v>
      </c>
      <c r="P143">
        <v>300</v>
      </c>
      <c r="Q143" t="s">
        <v>35</v>
      </c>
      <c r="S143">
        <v>20</v>
      </c>
      <c r="T143">
        <v>44</v>
      </c>
      <c r="U143">
        <v>62.2</v>
      </c>
      <c r="V143">
        <v>0.8</v>
      </c>
      <c r="W143">
        <v>0.75</v>
      </c>
      <c r="X143">
        <v>2.4</v>
      </c>
      <c r="Y143">
        <v>269.34909570000002</v>
      </c>
      <c r="Z143">
        <v>1</v>
      </c>
      <c r="BP143">
        <v>5266.9347129999996</v>
      </c>
      <c r="BQ143">
        <v>80.689737109999996</v>
      </c>
      <c r="BR143">
        <v>80.689737109999996</v>
      </c>
      <c r="BV143">
        <v>2.1998313</v>
      </c>
      <c r="BW143">
        <f t="shared" si="86"/>
        <v>1.0000000000000001E-5</v>
      </c>
      <c r="BX143">
        <f t="shared" si="90"/>
        <v>2.1998313</v>
      </c>
      <c r="BY143">
        <v>0.45</v>
      </c>
      <c r="BZ143">
        <f t="shared" si="88"/>
        <v>0.01</v>
      </c>
      <c r="CA143">
        <f t="shared" si="91"/>
        <v>0.45</v>
      </c>
      <c r="CB143">
        <v>0.3</v>
      </c>
      <c r="CC143">
        <v>0.3</v>
      </c>
      <c r="CD143">
        <v>0.3</v>
      </c>
    </row>
    <row r="144" spans="1:82" x14ac:dyDescent="0.25">
      <c r="A144">
        <f t="shared" si="92"/>
        <v>117</v>
      </c>
      <c r="B144">
        <v>1</v>
      </c>
      <c r="C144" t="str">
        <f t="shared" si="85"/>
        <v>BainEtal_Normal</v>
      </c>
      <c r="E144">
        <v>168</v>
      </c>
      <c r="G144">
        <v>4.8</v>
      </c>
      <c r="J144" t="s">
        <v>34</v>
      </c>
      <c r="K144">
        <v>8</v>
      </c>
      <c r="L144">
        <v>10</v>
      </c>
      <c r="M144">
        <v>359000</v>
      </c>
      <c r="P144">
        <v>100</v>
      </c>
      <c r="Q144" t="s">
        <v>35</v>
      </c>
      <c r="S144">
        <v>18</v>
      </c>
      <c r="T144">
        <v>32</v>
      </c>
      <c r="U144">
        <v>33.5</v>
      </c>
      <c r="V144">
        <v>0.6</v>
      </c>
      <c r="W144">
        <v>0.55000000000000004</v>
      </c>
      <c r="X144">
        <v>1.2</v>
      </c>
      <c r="Y144">
        <v>10.60853007</v>
      </c>
      <c r="Z144">
        <v>0.3</v>
      </c>
      <c r="BP144">
        <v>4310.6617649999998</v>
      </c>
      <c r="BQ144">
        <v>102.24046</v>
      </c>
      <c r="BR144">
        <v>50</v>
      </c>
      <c r="BV144">
        <v>0.1082434</v>
      </c>
      <c r="BW144">
        <f t="shared" si="86"/>
        <v>1.0000000000000001E-5</v>
      </c>
      <c r="BX144">
        <f t="shared" si="90"/>
        <v>0.1082434</v>
      </c>
      <c r="BY144">
        <v>0.45</v>
      </c>
      <c r="BZ144">
        <f t="shared" si="88"/>
        <v>0.01</v>
      </c>
      <c r="CA144">
        <f t="shared" si="91"/>
        <v>0.45</v>
      </c>
      <c r="CB144">
        <v>0.3</v>
      </c>
      <c r="CC144">
        <v>0.3</v>
      </c>
      <c r="CD144">
        <v>0.3</v>
      </c>
    </row>
    <row r="145" spans="1:82" x14ac:dyDescent="0.25">
      <c r="A145">
        <f t="shared" si="92"/>
        <v>118</v>
      </c>
      <c r="B145">
        <v>3</v>
      </c>
      <c r="C145" t="str">
        <f t="shared" si="85"/>
        <v>BainEtal_Normal</v>
      </c>
      <c r="E145">
        <v>168</v>
      </c>
      <c r="G145">
        <v>4.8</v>
      </c>
      <c r="J145" t="s">
        <v>64</v>
      </c>
      <c r="K145">
        <v>3</v>
      </c>
      <c r="L145">
        <v>9</v>
      </c>
      <c r="M145">
        <v>290000</v>
      </c>
      <c r="P145">
        <v>200</v>
      </c>
      <c r="Q145" t="s">
        <v>35</v>
      </c>
      <c r="S145">
        <v>19</v>
      </c>
      <c r="T145">
        <v>38</v>
      </c>
      <c r="U145">
        <v>48</v>
      </c>
      <c r="V145">
        <v>0.7</v>
      </c>
      <c r="W145">
        <v>0.65</v>
      </c>
      <c r="X145">
        <v>1.8</v>
      </c>
      <c r="Y145">
        <v>17.733662209999999</v>
      </c>
      <c r="Z145">
        <v>0.6</v>
      </c>
      <c r="BP145">
        <v>7205.882353</v>
      </c>
      <c r="BQ145">
        <v>59.303779749999997</v>
      </c>
      <c r="BR145">
        <v>59.303779749999997</v>
      </c>
      <c r="BV145">
        <v>2.3135973999999999</v>
      </c>
      <c r="BW145">
        <f t="shared" si="86"/>
        <v>1.0000000000000001E-5</v>
      </c>
      <c r="BX145">
        <f t="shared" si="90"/>
        <v>2.3135973999999999</v>
      </c>
      <c r="BY145">
        <v>0.45</v>
      </c>
      <c r="BZ145">
        <f t="shared" si="88"/>
        <v>0.01</v>
      </c>
      <c r="CA145">
        <f t="shared" si="91"/>
        <v>0.45</v>
      </c>
      <c r="CB145">
        <v>0.3</v>
      </c>
      <c r="CC145">
        <v>0.3</v>
      </c>
      <c r="CD145">
        <v>0.3</v>
      </c>
    </row>
    <row r="146" spans="1:82" x14ac:dyDescent="0.25">
      <c r="A146">
        <f t="shared" si="92"/>
        <v>119</v>
      </c>
      <c r="B146">
        <v>2</v>
      </c>
      <c r="C146" t="str">
        <f t="shared" si="85"/>
        <v>BainEtal_Normal</v>
      </c>
      <c r="E146">
        <v>168</v>
      </c>
      <c r="G146">
        <v>4.8</v>
      </c>
      <c r="J146" t="s">
        <v>41</v>
      </c>
      <c r="K146">
        <v>15</v>
      </c>
      <c r="L146">
        <v>20</v>
      </c>
      <c r="M146">
        <v>552000</v>
      </c>
      <c r="P146">
        <v>300</v>
      </c>
      <c r="Q146" t="s">
        <v>35</v>
      </c>
      <c r="S146">
        <v>20</v>
      </c>
      <c r="T146">
        <v>44</v>
      </c>
      <c r="U146">
        <v>62.2</v>
      </c>
      <c r="V146">
        <v>0.8</v>
      </c>
      <c r="W146">
        <v>0.75</v>
      </c>
      <c r="X146">
        <v>2.4</v>
      </c>
      <c r="Y146">
        <v>26.262709269999998</v>
      </c>
      <c r="Z146">
        <v>1</v>
      </c>
      <c r="BP146">
        <v>10671.56863</v>
      </c>
      <c r="BQ146">
        <v>73.637422060000006</v>
      </c>
      <c r="BR146">
        <v>73.637422060000006</v>
      </c>
      <c r="BV146">
        <v>100</v>
      </c>
      <c r="BW146">
        <f t="shared" si="86"/>
        <v>1.0000000000000001E-5</v>
      </c>
      <c r="BX146">
        <f t="shared" si="90"/>
        <v>100</v>
      </c>
      <c r="BY146">
        <v>0.45</v>
      </c>
      <c r="BZ146">
        <f t="shared" si="88"/>
        <v>0.01</v>
      </c>
      <c r="CA146">
        <f t="shared" si="91"/>
        <v>0.45</v>
      </c>
      <c r="CB146">
        <v>0.3</v>
      </c>
      <c r="CC146">
        <v>0.3</v>
      </c>
      <c r="CD146">
        <v>0.3</v>
      </c>
    </row>
    <row r="147" spans="1:82" x14ac:dyDescent="0.25">
      <c r="A147">
        <f t="shared" si="92"/>
        <v>120</v>
      </c>
      <c r="B147">
        <v>1</v>
      </c>
      <c r="C147" t="str">
        <f t="shared" si="85"/>
        <v>BainEtal_Normal</v>
      </c>
      <c r="E147">
        <v>762</v>
      </c>
      <c r="G147">
        <v>9.5</v>
      </c>
      <c r="J147" t="s">
        <v>41</v>
      </c>
      <c r="K147">
        <v>15</v>
      </c>
      <c r="L147">
        <v>20</v>
      </c>
      <c r="M147">
        <v>552000</v>
      </c>
      <c r="P147">
        <v>100</v>
      </c>
      <c r="Q147" t="s">
        <v>35</v>
      </c>
      <c r="S147">
        <v>18</v>
      </c>
      <c r="T147">
        <v>32</v>
      </c>
      <c r="U147">
        <v>33.5</v>
      </c>
      <c r="V147">
        <v>0.6</v>
      </c>
      <c r="W147">
        <v>0.55000000000000004</v>
      </c>
      <c r="X147">
        <v>1.2</v>
      </c>
      <c r="Y147">
        <v>48.117261399999997</v>
      </c>
      <c r="Z147">
        <v>0.3</v>
      </c>
      <c r="BP147">
        <v>2142.5004370000001</v>
      </c>
      <c r="BQ147">
        <v>260.84833689999999</v>
      </c>
      <c r="BR147">
        <v>50</v>
      </c>
      <c r="BV147">
        <v>5.3562499999999999E-2</v>
      </c>
      <c r="BW147">
        <f t="shared" si="86"/>
        <v>1.0000000000000001E-5</v>
      </c>
      <c r="BX147">
        <f t="shared" si="90"/>
        <v>5.3562499999999999E-2</v>
      </c>
      <c r="BY147">
        <v>0.45</v>
      </c>
      <c r="BZ147">
        <f t="shared" si="88"/>
        <v>0.01</v>
      </c>
      <c r="CA147">
        <f t="shared" si="91"/>
        <v>0.45</v>
      </c>
      <c r="CB147">
        <v>0.3</v>
      </c>
      <c r="CC147">
        <v>0.3</v>
      </c>
      <c r="CD147">
        <v>0.3</v>
      </c>
    </row>
    <row r="148" spans="1:82" x14ac:dyDescent="0.25">
      <c r="A148">
        <f t="shared" si="92"/>
        <v>121</v>
      </c>
      <c r="B148">
        <v>0</v>
      </c>
      <c r="C148" t="str">
        <f t="shared" si="85"/>
        <v>BainEtal_Normal</v>
      </c>
      <c r="E148">
        <v>762</v>
      </c>
      <c r="G148">
        <v>9.5</v>
      </c>
      <c r="J148" t="s">
        <v>34</v>
      </c>
      <c r="K148">
        <v>8</v>
      </c>
      <c r="L148">
        <v>10</v>
      </c>
      <c r="M148">
        <v>359000</v>
      </c>
      <c r="P148">
        <v>200</v>
      </c>
      <c r="Q148" t="s">
        <v>35</v>
      </c>
      <c r="S148">
        <v>19</v>
      </c>
      <c r="T148">
        <v>38</v>
      </c>
      <c r="U148">
        <v>48</v>
      </c>
      <c r="V148">
        <v>0.7</v>
      </c>
      <c r="W148">
        <v>0.65</v>
      </c>
      <c r="X148">
        <v>1.8</v>
      </c>
      <c r="Y148">
        <v>80.434825029999999</v>
      </c>
      <c r="Z148">
        <v>0.6</v>
      </c>
      <c r="BP148">
        <v>3581.4932680000002</v>
      </c>
      <c r="BQ148">
        <v>127.5713159</v>
      </c>
      <c r="BR148">
        <v>100</v>
      </c>
      <c r="BV148">
        <v>0.30625750000000002</v>
      </c>
      <c r="BW148">
        <f t="shared" si="86"/>
        <v>1.0000000000000001E-5</v>
      </c>
      <c r="BX148">
        <f t="shared" si="90"/>
        <v>0.30625750000000002</v>
      </c>
      <c r="BY148">
        <v>0.45</v>
      </c>
      <c r="BZ148">
        <f t="shared" si="88"/>
        <v>0.01</v>
      </c>
      <c r="CA148">
        <f t="shared" si="91"/>
        <v>0.45</v>
      </c>
      <c r="CB148">
        <v>0.3</v>
      </c>
      <c r="CC148">
        <v>0.3</v>
      </c>
      <c r="CD148">
        <v>0.3</v>
      </c>
    </row>
    <row r="149" spans="1:82" x14ac:dyDescent="0.25">
      <c r="A149">
        <f t="shared" si="92"/>
        <v>122</v>
      </c>
      <c r="B149">
        <v>3</v>
      </c>
      <c r="C149" t="str">
        <f t="shared" si="85"/>
        <v>BainEtal_Normal</v>
      </c>
      <c r="E149">
        <v>762</v>
      </c>
      <c r="G149">
        <v>9.5</v>
      </c>
      <c r="J149" t="s">
        <v>41</v>
      </c>
      <c r="K149">
        <v>15</v>
      </c>
      <c r="L149">
        <v>20</v>
      </c>
      <c r="M149">
        <v>552000</v>
      </c>
      <c r="P149">
        <v>300</v>
      </c>
      <c r="Q149" t="s">
        <v>35</v>
      </c>
      <c r="S149">
        <v>20</v>
      </c>
      <c r="T149">
        <v>44</v>
      </c>
      <c r="U149">
        <v>62.2</v>
      </c>
      <c r="V149">
        <v>0.8</v>
      </c>
      <c r="W149">
        <v>0.75</v>
      </c>
      <c r="X149">
        <v>2.4</v>
      </c>
      <c r="Y149">
        <v>119.1201456</v>
      </c>
      <c r="Z149">
        <v>1</v>
      </c>
      <c r="BP149">
        <v>5304.0209830000003</v>
      </c>
      <c r="BQ149">
        <v>133.9112705</v>
      </c>
      <c r="BR149">
        <v>133.9112705</v>
      </c>
      <c r="BV149">
        <v>39.613304399999997</v>
      </c>
      <c r="BW149">
        <f t="shared" si="86"/>
        <v>1.0000000000000001E-5</v>
      </c>
      <c r="BX149">
        <f t="shared" si="90"/>
        <v>39.613304399999997</v>
      </c>
      <c r="BY149">
        <v>0.45</v>
      </c>
      <c r="BZ149">
        <f t="shared" si="88"/>
        <v>0.01</v>
      </c>
      <c r="CA149">
        <f t="shared" si="91"/>
        <v>0.45</v>
      </c>
      <c r="CB149">
        <v>0.3</v>
      </c>
      <c r="CC149">
        <v>0.3</v>
      </c>
      <c r="CD149">
        <v>0.3</v>
      </c>
    </row>
    <row r="150" spans="1:82" x14ac:dyDescent="0.25">
      <c r="A150">
        <f t="shared" si="92"/>
        <v>123</v>
      </c>
      <c r="B150">
        <v>1</v>
      </c>
      <c r="C150" t="str">
        <f t="shared" si="85"/>
        <v>BainEtal_Normal</v>
      </c>
      <c r="E150">
        <v>610</v>
      </c>
      <c r="G150">
        <v>6.4</v>
      </c>
      <c r="J150" t="s">
        <v>34</v>
      </c>
      <c r="K150">
        <v>8</v>
      </c>
      <c r="L150">
        <v>10</v>
      </c>
      <c r="M150">
        <v>359000</v>
      </c>
      <c r="P150">
        <v>100</v>
      </c>
      <c r="Q150" t="s">
        <v>35</v>
      </c>
      <c r="S150">
        <v>18</v>
      </c>
      <c r="T150">
        <v>32</v>
      </c>
      <c r="U150">
        <v>33.5</v>
      </c>
      <c r="V150">
        <v>0.6</v>
      </c>
      <c r="W150">
        <v>0.55000000000000004</v>
      </c>
      <c r="X150">
        <v>1.2</v>
      </c>
      <c r="Y150">
        <v>38.519067530000001</v>
      </c>
      <c r="Z150">
        <v>0.3</v>
      </c>
      <c r="BP150">
        <v>3173.9251989999998</v>
      </c>
      <c r="BQ150">
        <v>131.54341969999999</v>
      </c>
      <c r="BR150">
        <v>50</v>
      </c>
      <c r="BV150">
        <v>7.9364599999999993E-2</v>
      </c>
      <c r="BW150">
        <f t="shared" si="86"/>
        <v>1.0000000000000001E-5</v>
      </c>
      <c r="BX150">
        <f t="shared" si="90"/>
        <v>7.9364599999999993E-2</v>
      </c>
      <c r="BY150">
        <v>0.45</v>
      </c>
      <c r="BZ150">
        <f t="shared" si="88"/>
        <v>0.01</v>
      </c>
      <c r="CA150">
        <f t="shared" si="91"/>
        <v>0.45</v>
      </c>
      <c r="CB150">
        <v>0.3</v>
      </c>
      <c r="CC150">
        <v>0.3</v>
      </c>
      <c r="CD150">
        <v>0.3</v>
      </c>
    </row>
    <row r="151" spans="1:82" x14ac:dyDescent="0.25">
      <c r="A151">
        <f t="shared" si="92"/>
        <v>124</v>
      </c>
      <c r="B151">
        <v>2</v>
      </c>
      <c r="C151" t="str">
        <f t="shared" si="85"/>
        <v>BainEtal_Normal</v>
      </c>
      <c r="E151">
        <v>610</v>
      </c>
      <c r="G151">
        <v>6.4</v>
      </c>
      <c r="J151" t="s">
        <v>41</v>
      </c>
      <c r="K151">
        <v>15</v>
      </c>
      <c r="L151">
        <v>20</v>
      </c>
      <c r="M151">
        <v>552000</v>
      </c>
      <c r="P151">
        <v>200</v>
      </c>
      <c r="Q151" t="s">
        <v>35</v>
      </c>
      <c r="S151">
        <v>19</v>
      </c>
      <c r="T151">
        <v>38</v>
      </c>
      <c r="U151">
        <v>48</v>
      </c>
      <c r="V151">
        <v>0.7</v>
      </c>
      <c r="W151">
        <v>0.65</v>
      </c>
      <c r="X151">
        <v>1.8</v>
      </c>
      <c r="Y151">
        <v>64.39008303</v>
      </c>
      <c r="Z151">
        <v>0.6</v>
      </c>
      <c r="BP151">
        <v>5305.6660039999997</v>
      </c>
      <c r="BQ151">
        <v>126.62735549999999</v>
      </c>
      <c r="BR151">
        <v>100</v>
      </c>
      <c r="BV151">
        <v>0.35110530000000001</v>
      </c>
      <c r="BW151">
        <f t="shared" si="86"/>
        <v>1.0000000000000001E-5</v>
      </c>
      <c r="BX151">
        <f t="shared" si="90"/>
        <v>0.35110530000000001</v>
      </c>
      <c r="BY151">
        <v>0.45</v>
      </c>
      <c r="BZ151">
        <f t="shared" si="88"/>
        <v>0.01</v>
      </c>
      <c r="CA151">
        <f t="shared" si="91"/>
        <v>0.45</v>
      </c>
      <c r="CB151">
        <v>0.3</v>
      </c>
      <c r="CC151">
        <v>0.3</v>
      </c>
      <c r="CD151">
        <v>0.3</v>
      </c>
    </row>
    <row r="152" spans="1:82" x14ac:dyDescent="0.25">
      <c r="A152">
        <f t="shared" si="92"/>
        <v>125</v>
      </c>
      <c r="B152">
        <v>5</v>
      </c>
      <c r="C152" t="str">
        <f t="shared" si="85"/>
        <v>BainEtal_Normal</v>
      </c>
      <c r="E152">
        <v>610</v>
      </c>
      <c r="G152">
        <v>6.4</v>
      </c>
      <c r="J152" t="s">
        <v>64</v>
      </c>
      <c r="K152">
        <v>3</v>
      </c>
      <c r="L152">
        <v>9</v>
      </c>
      <c r="M152">
        <v>290000</v>
      </c>
      <c r="P152">
        <v>300</v>
      </c>
      <c r="Q152" t="s">
        <v>35</v>
      </c>
      <c r="S152">
        <v>20</v>
      </c>
      <c r="T152">
        <v>44</v>
      </c>
      <c r="U152">
        <v>62.2</v>
      </c>
      <c r="V152">
        <v>0.8</v>
      </c>
      <c r="W152">
        <v>0.75</v>
      </c>
      <c r="X152">
        <v>2.4</v>
      </c>
      <c r="Y152">
        <v>95.358646769999993</v>
      </c>
      <c r="Z152">
        <v>1</v>
      </c>
      <c r="BP152">
        <v>7857.438701</v>
      </c>
      <c r="BQ152">
        <v>57.088164460000002</v>
      </c>
      <c r="BR152">
        <v>57.088164460000002</v>
      </c>
      <c r="BV152">
        <v>3.6344853000000001</v>
      </c>
      <c r="BW152">
        <f t="shared" si="86"/>
        <v>1.0000000000000001E-5</v>
      </c>
      <c r="BX152">
        <f t="shared" si="90"/>
        <v>3.6344853000000001</v>
      </c>
      <c r="BY152">
        <v>0.45</v>
      </c>
      <c r="BZ152">
        <f t="shared" si="88"/>
        <v>0.01</v>
      </c>
      <c r="CA152">
        <f t="shared" si="91"/>
        <v>0.45</v>
      </c>
      <c r="CB152">
        <v>0.3</v>
      </c>
      <c r="CC152">
        <v>0.3</v>
      </c>
      <c r="CD152">
        <v>0.3</v>
      </c>
    </row>
    <row r="153" spans="1:82" x14ac:dyDescent="0.25">
      <c r="A153">
        <f t="shared" si="92"/>
        <v>126</v>
      </c>
      <c r="B153">
        <v>4</v>
      </c>
      <c r="C153" t="str">
        <f t="shared" si="85"/>
        <v>BainEtal_Normal</v>
      </c>
      <c r="E153">
        <v>406</v>
      </c>
      <c r="G153">
        <v>9.5</v>
      </c>
      <c r="J153" t="s">
        <v>34</v>
      </c>
      <c r="K153">
        <v>8</v>
      </c>
      <c r="L153">
        <v>10</v>
      </c>
      <c r="M153">
        <v>359000</v>
      </c>
      <c r="P153">
        <v>100</v>
      </c>
      <c r="Q153" t="s">
        <v>35</v>
      </c>
      <c r="S153">
        <v>18</v>
      </c>
      <c r="T153">
        <v>32</v>
      </c>
      <c r="U153">
        <v>33.5</v>
      </c>
      <c r="V153">
        <v>0.6</v>
      </c>
      <c r="W153">
        <v>0.55000000000000004</v>
      </c>
      <c r="X153">
        <v>1.2</v>
      </c>
      <c r="Y153">
        <v>25.637281009999999</v>
      </c>
      <c r="Z153">
        <v>0.3</v>
      </c>
      <c r="BP153">
        <v>2166.4830419999998</v>
      </c>
      <c r="BQ153">
        <v>185.9265235</v>
      </c>
      <c r="BR153">
        <v>50</v>
      </c>
      <c r="BV153">
        <v>5.4162299999999997E-2</v>
      </c>
      <c r="BW153">
        <f t="shared" si="86"/>
        <v>1.0000000000000001E-5</v>
      </c>
      <c r="BX153">
        <f t="shared" si="90"/>
        <v>5.4162299999999997E-2</v>
      </c>
      <c r="BY153">
        <v>0.45</v>
      </c>
      <c r="BZ153">
        <f t="shared" si="88"/>
        <v>0.01</v>
      </c>
      <c r="CA153">
        <f t="shared" si="91"/>
        <v>0.45</v>
      </c>
      <c r="CB153">
        <v>0.3</v>
      </c>
      <c r="CC153">
        <v>0.3</v>
      </c>
      <c r="CD153">
        <v>0.3</v>
      </c>
    </row>
    <row r="154" spans="1:82" x14ac:dyDescent="0.25">
      <c r="A154">
        <f t="shared" si="92"/>
        <v>127</v>
      </c>
      <c r="B154">
        <v>4</v>
      </c>
      <c r="C154" t="str">
        <f t="shared" si="85"/>
        <v>BainEtal_Normal</v>
      </c>
      <c r="E154">
        <v>406</v>
      </c>
      <c r="G154">
        <v>9.5</v>
      </c>
      <c r="J154" t="s">
        <v>65</v>
      </c>
      <c r="K154">
        <v>3</v>
      </c>
      <c r="L154">
        <v>8</v>
      </c>
      <c r="M154">
        <v>241000</v>
      </c>
      <c r="P154">
        <v>200</v>
      </c>
      <c r="Q154" t="s">
        <v>35</v>
      </c>
      <c r="S154">
        <v>19</v>
      </c>
      <c r="T154">
        <v>38</v>
      </c>
      <c r="U154">
        <v>48</v>
      </c>
      <c r="V154">
        <v>0.7</v>
      </c>
      <c r="W154">
        <v>0.65</v>
      </c>
      <c r="X154">
        <v>1.8</v>
      </c>
      <c r="Y154">
        <v>42.856350339999999</v>
      </c>
      <c r="Z154">
        <v>0.6</v>
      </c>
      <c r="BP154">
        <v>3621.5835929999998</v>
      </c>
      <c r="BQ154">
        <v>93.226872830000005</v>
      </c>
      <c r="BR154">
        <v>93.226872830000005</v>
      </c>
      <c r="BV154">
        <v>1.003781</v>
      </c>
      <c r="BW154">
        <f t="shared" si="86"/>
        <v>1.0000000000000001E-5</v>
      </c>
      <c r="BX154">
        <f t="shared" si="90"/>
        <v>1.003781</v>
      </c>
      <c r="BY154">
        <v>0.45</v>
      </c>
      <c r="BZ154">
        <f t="shared" si="88"/>
        <v>0.01</v>
      </c>
      <c r="CA154">
        <f t="shared" si="91"/>
        <v>0.45</v>
      </c>
      <c r="CB154">
        <v>0.3</v>
      </c>
      <c r="CC154">
        <v>0.3</v>
      </c>
      <c r="CD154">
        <v>0.3</v>
      </c>
    </row>
    <row r="155" spans="1:82" x14ac:dyDescent="0.25">
      <c r="A155">
        <f t="shared" si="92"/>
        <v>128</v>
      </c>
      <c r="B155">
        <v>2</v>
      </c>
      <c r="C155" t="str">
        <f t="shared" si="85"/>
        <v>BainEtal_Normal</v>
      </c>
      <c r="E155">
        <v>406</v>
      </c>
      <c r="G155">
        <v>9.5</v>
      </c>
      <c r="J155" t="s">
        <v>65</v>
      </c>
      <c r="K155">
        <v>3</v>
      </c>
      <c r="L155">
        <v>8</v>
      </c>
      <c r="M155">
        <v>241000</v>
      </c>
      <c r="P155">
        <v>300</v>
      </c>
      <c r="Q155" t="s">
        <v>35</v>
      </c>
      <c r="S155">
        <v>20</v>
      </c>
      <c r="T155">
        <v>44</v>
      </c>
      <c r="U155">
        <v>62.2</v>
      </c>
      <c r="V155">
        <v>0.8</v>
      </c>
      <c r="W155">
        <v>0.75</v>
      </c>
      <c r="X155">
        <v>2.4</v>
      </c>
      <c r="Y155">
        <v>63.468214080000003</v>
      </c>
      <c r="Z155">
        <v>1</v>
      </c>
      <c r="BP155">
        <v>5363.3928450000003</v>
      </c>
      <c r="BQ155">
        <v>69.752292960000005</v>
      </c>
      <c r="BR155">
        <v>69.752292960000005</v>
      </c>
      <c r="BV155">
        <v>2.2893572999999998</v>
      </c>
      <c r="BW155">
        <f t="shared" si="86"/>
        <v>1.0000000000000001E-5</v>
      </c>
      <c r="BX155">
        <f t="shared" si="90"/>
        <v>2.2893572999999998</v>
      </c>
      <c r="BY155">
        <v>0.45</v>
      </c>
      <c r="BZ155">
        <f t="shared" si="88"/>
        <v>0.01</v>
      </c>
      <c r="CA155">
        <f t="shared" si="91"/>
        <v>0.45</v>
      </c>
      <c r="CB155">
        <v>0.3</v>
      </c>
      <c r="CC155">
        <v>0.3</v>
      </c>
      <c r="CD155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49"/>
  <sheetViews>
    <sheetView tabSelected="1" topLeftCell="AB76" zoomScale="70" zoomScaleNormal="70" workbookViewId="0">
      <selection activeCell="BX141" sqref="BX141"/>
    </sheetView>
  </sheetViews>
  <sheetFormatPr defaultRowHeight="15" x14ac:dyDescent="0.25"/>
  <sheetData>
    <row r="1" spans="1:82" x14ac:dyDescent="0.25">
      <c r="A1" t="s">
        <v>0</v>
      </c>
      <c r="B1" t="s">
        <v>46</v>
      </c>
      <c r="C1" t="s">
        <v>47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72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29</v>
      </c>
      <c r="AA1" t="s">
        <v>76</v>
      </c>
      <c r="AB1" t="s">
        <v>77</v>
      </c>
      <c r="AC1" t="s">
        <v>78</v>
      </c>
      <c r="AD1" t="s">
        <v>22</v>
      </c>
      <c r="AE1" t="s">
        <v>79</v>
      </c>
      <c r="AF1" t="s">
        <v>80</v>
      </c>
      <c r="AG1" t="s">
        <v>81</v>
      </c>
      <c r="AH1" t="s">
        <v>82</v>
      </c>
      <c r="AI1" t="s">
        <v>83</v>
      </c>
      <c r="AJ1" t="s">
        <v>84</v>
      </c>
      <c r="AK1" t="s">
        <v>51</v>
      </c>
      <c r="AL1" t="s">
        <v>23</v>
      </c>
      <c r="AM1" t="s">
        <v>24</v>
      </c>
      <c r="AN1" t="s">
        <v>25</v>
      </c>
      <c r="AO1" t="s">
        <v>26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48</v>
      </c>
      <c r="BH1" t="s">
        <v>52</v>
      </c>
      <c r="BI1" t="s">
        <v>53</v>
      </c>
      <c r="BJ1" t="s">
        <v>27</v>
      </c>
      <c r="BK1" t="s">
        <v>94</v>
      </c>
      <c r="BL1" t="s">
        <v>95</v>
      </c>
      <c r="BM1" t="s">
        <v>28</v>
      </c>
      <c r="BN1" t="s">
        <v>49</v>
      </c>
      <c r="BO1" t="s">
        <v>50</v>
      </c>
      <c r="BP1" t="s">
        <v>73</v>
      </c>
      <c r="BQ1" t="s">
        <v>74</v>
      </c>
      <c r="BR1" t="s">
        <v>75</v>
      </c>
      <c r="BS1" t="s">
        <v>62</v>
      </c>
      <c r="BT1" t="s">
        <v>63</v>
      </c>
      <c r="BU1" t="s">
        <v>30</v>
      </c>
      <c r="BV1" t="s">
        <v>31</v>
      </c>
      <c r="BW1" t="s">
        <v>66</v>
      </c>
      <c r="BX1" t="s">
        <v>67</v>
      </c>
      <c r="BY1" t="s">
        <v>32</v>
      </c>
      <c r="BZ1" t="s">
        <v>68</v>
      </c>
      <c r="CA1" t="s">
        <v>69</v>
      </c>
      <c r="CB1" t="s">
        <v>33</v>
      </c>
      <c r="CC1" t="s">
        <v>70</v>
      </c>
      <c r="CD1" t="s">
        <v>71</v>
      </c>
    </row>
    <row r="2" spans="1:82" x14ac:dyDescent="0.25">
      <c r="A2">
        <v>1</v>
      </c>
      <c r="B2">
        <v>105</v>
      </c>
      <c r="C2" t="s">
        <v>96</v>
      </c>
      <c r="D2">
        <v>0.20319999999999999</v>
      </c>
      <c r="E2">
        <v>203.2</v>
      </c>
      <c r="I2">
        <v>15</v>
      </c>
      <c r="Z2">
        <v>0.2</v>
      </c>
      <c r="AM2">
        <v>-5.3809078560000003</v>
      </c>
      <c r="AN2">
        <v>0.30948462400000004</v>
      </c>
      <c r="BG2">
        <v>-15</v>
      </c>
      <c r="BM2">
        <v>4.3770199999999999</v>
      </c>
      <c r="BN2">
        <v>0.86165243557623683</v>
      </c>
      <c r="BO2">
        <v>1.2997253384540037</v>
      </c>
      <c r="BU2">
        <v>0.19964430431284885</v>
      </c>
      <c r="BV2">
        <v>1.2209683877232429</v>
      </c>
      <c r="BW2">
        <v>1.2209683877232429</v>
      </c>
      <c r="BX2">
        <v>1.0000000000000001E-5</v>
      </c>
      <c r="BY2">
        <v>0.57099999999999995</v>
      </c>
      <c r="BZ2">
        <v>0.57099999999999995</v>
      </c>
      <c r="CA2">
        <v>0.01</v>
      </c>
      <c r="CB2">
        <v>0.3</v>
      </c>
      <c r="CC2">
        <v>0.3</v>
      </c>
      <c r="CD2">
        <v>0.3</v>
      </c>
    </row>
    <row r="3" spans="1:82" x14ac:dyDescent="0.25">
      <c r="A3">
        <v>2</v>
      </c>
      <c r="B3">
        <v>145</v>
      </c>
      <c r="C3" t="s">
        <v>96</v>
      </c>
      <c r="D3">
        <v>0.30480000000000002</v>
      </c>
      <c r="E3">
        <v>304.8</v>
      </c>
      <c r="I3">
        <v>30</v>
      </c>
      <c r="Z3">
        <v>0.1</v>
      </c>
      <c r="AM3">
        <v>-5.7267367840000007</v>
      </c>
      <c r="AN3">
        <v>0.36844193599999997</v>
      </c>
      <c r="BG3">
        <v>0</v>
      </c>
      <c r="BM3">
        <v>4.2130700000000001</v>
      </c>
      <c r="BN3">
        <v>0.81274502702446316</v>
      </c>
      <c r="BO3">
        <v>1.135063192462112</v>
      </c>
      <c r="BU3">
        <v>-0.91928881716083488</v>
      </c>
      <c r="BV3">
        <v>0.39880256179319534</v>
      </c>
      <c r="BW3">
        <v>0.39880256179319534</v>
      </c>
      <c r="BX3">
        <v>1.0000000000000001E-5</v>
      </c>
      <c r="BY3">
        <v>0.57099999999999995</v>
      </c>
      <c r="BZ3">
        <v>0.57099999999999995</v>
      </c>
      <c r="CA3">
        <v>0.01</v>
      </c>
      <c r="CB3">
        <v>0.3</v>
      </c>
      <c r="CC3">
        <v>0.3</v>
      </c>
      <c r="CD3">
        <v>0.3</v>
      </c>
    </row>
    <row r="4" spans="1:82" x14ac:dyDescent="0.25">
      <c r="A4">
        <v>3</v>
      </c>
      <c r="B4">
        <v>165</v>
      </c>
      <c r="C4" t="s">
        <v>96</v>
      </c>
      <c r="D4">
        <v>0.40639999999999998</v>
      </c>
      <c r="E4">
        <v>406.4</v>
      </c>
      <c r="I4">
        <v>50</v>
      </c>
      <c r="Z4">
        <v>0.2</v>
      </c>
      <c r="AM4">
        <v>-5.3062657120000001</v>
      </c>
      <c r="AN4">
        <v>0.396749248</v>
      </c>
      <c r="BG4">
        <v>0</v>
      </c>
      <c r="BM4">
        <v>3.9944699999999997</v>
      </c>
      <c r="BN4">
        <v>0.92548643488770721</v>
      </c>
      <c r="BO4">
        <v>1.6259763586968217</v>
      </c>
      <c r="BU4">
        <v>9.8246857160575018E-2</v>
      </c>
      <c r="BV4">
        <v>1.1032350929790506</v>
      </c>
      <c r="BW4">
        <v>1.1032350929790506</v>
      </c>
      <c r="BX4">
        <v>1.0000000000000001E-5</v>
      </c>
      <c r="BY4">
        <v>0.57099999999999995</v>
      </c>
      <c r="BZ4">
        <v>0.57099999999999995</v>
      </c>
      <c r="CA4">
        <v>0.01</v>
      </c>
      <c r="CB4">
        <v>0.3</v>
      </c>
      <c r="CC4">
        <v>0.3</v>
      </c>
      <c r="CD4">
        <v>0.3</v>
      </c>
    </row>
    <row r="5" spans="1:82" x14ac:dyDescent="0.25">
      <c r="A5">
        <v>4</v>
      </c>
      <c r="B5">
        <v>105</v>
      </c>
      <c r="C5" t="s">
        <v>96</v>
      </c>
      <c r="D5">
        <v>0.50800000000000001</v>
      </c>
      <c r="E5">
        <v>508</v>
      </c>
      <c r="I5">
        <v>100</v>
      </c>
      <c r="Z5">
        <v>0.7</v>
      </c>
      <c r="AM5">
        <v>-3.7192446400000003</v>
      </c>
      <c r="AN5">
        <v>0.44365656000000003</v>
      </c>
      <c r="BG5">
        <v>-15</v>
      </c>
      <c r="BM5">
        <v>3.4479699999999998</v>
      </c>
      <c r="BN5">
        <v>0.97523171491088034</v>
      </c>
      <c r="BO5">
        <v>2.1894384933683062</v>
      </c>
      <c r="BU5">
        <v>0.93498505548595112</v>
      </c>
      <c r="BV5">
        <v>2.5471753911561468</v>
      </c>
      <c r="BW5">
        <v>2.5471753911561468</v>
      </c>
      <c r="BX5">
        <v>1.0000000000000001E-5</v>
      </c>
      <c r="BY5">
        <v>0.57099999999999995</v>
      </c>
      <c r="BZ5">
        <v>0.57099999999999995</v>
      </c>
      <c r="CA5">
        <v>0.01</v>
      </c>
      <c r="CB5">
        <v>0.3</v>
      </c>
      <c r="CC5">
        <v>0.3</v>
      </c>
      <c r="CD5">
        <v>0.3</v>
      </c>
    </row>
    <row r="6" spans="1:82" x14ac:dyDescent="0.25">
      <c r="A6">
        <v>5</v>
      </c>
      <c r="B6">
        <v>145</v>
      </c>
      <c r="C6" t="s">
        <v>96</v>
      </c>
      <c r="D6">
        <v>0.60960000000000003</v>
      </c>
      <c r="E6">
        <v>609.6</v>
      </c>
      <c r="I6">
        <v>15</v>
      </c>
      <c r="Z6">
        <v>0.2</v>
      </c>
      <c r="AM6">
        <v>-5.6660735680000007</v>
      </c>
      <c r="AN6">
        <v>0.30561387200000001</v>
      </c>
      <c r="BG6">
        <v>0</v>
      </c>
      <c r="BM6">
        <v>4.3770199999999999</v>
      </c>
      <c r="BN6">
        <v>0.92680308876036677</v>
      </c>
      <c r="BO6">
        <v>1.6352321269547774</v>
      </c>
      <c r="BU6">
        <v>1.3506475876028867</v>
      </c>
      <c r="BV6">
        <v>3.8599243606680402</v>
      </c>
      <c r="BW6">
        <v>3.8599243606680402</v>
      </c>
      <c r="BX6">
        <v>1.0000000000000001E-5</v>
      </c>
      <c r="BY6">
        <v>0.57099999999999995</v>
      </c>
      <c r="BZ6">
        <v>0.57099999999999995</v>
      </c>
      <c r="CA6">
        <v>0.01</v>
      </c>
      <c r="CB6">
        <v>0.3</v>
      </c>
      <c r="CC6">
        <v>0.3</v>
      </c>
      <c r="CD6">
        <v>0.3</v>
      </c>
    </row>
    <row r="7" spans="1:82" x14ac:dyDescent="0.25">
      <c r="A7">
        <v>6</v>
      </c>
      <c r="B7">
        <v>165</v>
      </c>
      <c r="C7" t="s">
        <v>96</v>
      </c>
      <c r="D7">
        <v>0.76200000000000001</v>
      </c>
      <c r="E7">
        <v>762</v>
      </c>
      <c r="I7">
        <v>30</v>
      </c>
      <c r="Z7">
        <v>0.3</v>
      </c>
      <c r="AM7">
        <v>-5.2755169600000009</v>
      </c>
      <c r="AN7">
        <v>0.31852483999999998</v>
      </c>
      <c r="BG7">
        <v>0</v>
      </c>
      <c r="BM7">
        <v>4.2130700000000001</v>
      </c>
      <c r="BN7">
        <v>0.96640790579650115</v>
      </c>
      <c r="BO7">
        <v>2.0348365057620685</v>
      </c>
      <c r="BU7">
        <v>2.38831340677251</v>
      </c>
      <c r="BV7">
        <v>10.895102831591004</v>
      </c>
      <c r="BW7">
        <v>10.895102831591004</v>
      </c>
      <c r="BX7">
        <v>1.0000000000000001E-5</v>
      </c>
      <c r="BY7">
        <v>0.57099999999999995</v>
      </c>
      <c r="BZ7">
        <v>0.57099999999999995</v>
      </c>
      <c r="CA7">
        <v>0.01</v>
      </c>
      <c r="CB7">
        <v>0.3</v>
      </c>
      <c r="CC7">
        <v>0.3</v>
      </c>
      <c r="CD7">
        <v>0.3</v>
      </c>
    </row>
    <row r="8" spans="1:82" x14ac:dyDescent="0.25">
      <c r="A8">
        <v>7</v>
      </c>
      <c r="B8">
        <v>105</v>
      </c>
      <c r="C8" t="s">
        <v>96</v>
      </c>
      <c r="D8">
        <v>0.86360000000000003</v>
      </c>
      <c r="E8">
        <v>863.6</v>
      </c>
      <c r="I8">
        <v>50</v>
      </c>
      <c r="Z8">
        <v>0.5</v>
      </c>
      <c r="AM8">
        <v>-4.1687958880000009</v>
      </c>
      <c r="AN8">
        <v>0.30633215199999997</v>
      </c>
      <c r="BG8">
        <v>-15</v>
      </c>
      <c r="BM8">
        <v>3.9944699999999997</v>
      </c>
      <c r="BN8">
        <v>0.87011511100097283</v>
      </c>
      <c r="BO8">
        <v>1.3335533378406192</v>
      </c>
      <c r="BU8">
        <v>0.35329210183794046</v>
      </c>
      <c r="BV8">
        <v>1.4237469618042953</v>
      </c>
      <c r="BW8">
        <v>1.4237469618042953</v>
      </c>
      <c r="BX8">
        <v>1.0000000000000001E-5</v>
      </c>
      <c r="BY8">
        <v>0.57099999999999995</v>
      </c>
      <c r="BZ8">
        <v>0.57099999999999995</v>
      </c>
      <c r="CA8">
        <v>0.01</v>
      </c>
      <c r="CB8">
        <v>0.3</v>
      </c>
      <c r="CC8">
        <v>0.3</v>
      </c>
      <c r="CD8">
        <v>0.3</v>
      </c>
    </row>
    <row r="9" spans="1:82" x14ac:dyDescent="0.25">
      <c r="A9">
        <v>8</v>
      </c>
      <c r="B9">
        <v>145</v>
      </c>
      <c r="C9" t="s">
        <v>96</v>
      </c>
      <c r="D9">
        <v>1.0668</v>
      </c>
      <c r="E9">
        <v>1066.8</v>
      </c>
      <c r="I9">
        <v>100</v>
      </c>
      <c r="Z9">
        <v>0.65</v>
      </c>
      <c r="AM9">
        <v>-3.8540037440000008</v>
      </c>
      <c r="AN9">
        <v>0.423146776</v>
      </c>
      <c r="BG9">
        <v>0</v>
      </c>
      <c r="BM9">
        <v>3.4479699999999998</v>
      </c>
      <c r="BN9">
        <v>0.99282210341376143</v>
      </c>
      <c r="BO9">
        <v>2.8131503349727711</v>
      </c>
      <c r="BU9">
        <v>2.6481667698509677</v>
      </c>
      <c r="BV9">
        <v>14.128114804444175</v>
      </c>
      <c r="BW9">
        <v>14.128114804444175</v>
      </c>
      <c r="BX9">
        <v>1.0000000000000001E-5</v>
      </c>
      <c r="BY9">
        <v>0.57099999999999995</v>
      </c>
      <c r="BZ9">
        <v>0.57099999999999995</v>
      </c>
      <c r="CA9">
        <v>0.01</v>
      </c>
      <c r="CB9">
        <v>0.3</v>
      </c>
      <c r="CC9">
        <v>0.3</v>
      </c>
      <c r="CD9">
        <v>0.3</v>
      </c>
    </row>
    <row r="10" spans="1:82" x14ac:dyDescent="0.25">
      <c r="A10">
        <v>9</v>
      </c>
      <c r="B10">
        <v>165</v>
      </c>
      <c r="C10" t="s">
        <v>96</v>
      </c>
      <c r="D10">
        <v>0.60960000000000003</v>
      </c>
      <c r="E10">
        <v>609.6</v>
      </c>
      <c r="I10">
        <v>150</v>
      </c>
      <c r="Z10">
        <v>0.54</v>
      </c>
      <c r="AM10">
        <v>-3.5047235680000006</v>
      </c>
      <c r="AN10">
        <v>0.57156387200000003</v>
      </c>
      <c r="BG10">
        <v>0</v>
      </c>
      <c r="BM10">
        <v>2.9014699999999998</v>
      </c>
      <c r="BN10">
        <v>0.99554275197613074</v>
      </c>
      <c r="BO10">
        <v>3.0520699039355779</v>
      </c>
      <c r="BU10">
        <v>1.3398579816737923</v>
      </c>
      <c r="BV10">
        <v>3.8185011697117019</v>
      </c>
      <c r="BW10">
        <v>3.8185011697117019</v>
      </c>
      <c r="BX10">
        <v>1.0000000000000001E-5</v>
      </c>
      <c r="BY10">
        <v>0.57099999999999995</v>
      </c>
      <c r="BZ10">
        <v>0.57099999999999995</v>
      </c>
      <c r="CA10">
        <v>0.01</v>
      </c>
      <c r="CB10">
        <v>0.3</v>
      </c>
      <c r="CC10">
        <v>0.3</v>
      </c>
      <c r="CD10">
        <v>0.3</v>
      </c>
    </row>
    <row r="11" spans="1:82" x14ac:dyDescent="0.25">
      <c r="A11">
        <v>10</v>
      </c>
      <c r="B11">
        <v>105</v>
      </c>
      <c r="C11" t="s">
        <v>96</v>
      </c>
      <c r="D11">
        <v>0.60960000000000003</v>
      </c>
      <c r="E11">
        <v>609.6</v>
      </c>
      <c r="I11">
        <v>200</v>
      </c>
      <c r="Z11">
        <v>0.5</v>
      </c>
      <c r="AM11">
        <v>-2.0179735680000004</v>
      </c>
      <c r="AN11">
        <v>0.62956387200000008</v>
      </c>
      <c r="BG11">
        <v>-15</v>
      </c>
      <c r="BM11">
        <v>2.3549699999999998</v>
      </c>
      <c r="BN11">
        <v>0.56256614200607868</v>
      </c>
      <c r="BO11">
        <v>0.63657959947907028</v>
      </c>
      <c r="BU11">
        <v>-2.9888562101621514</v>
      </c>
      <c r="BV11">
        <v>5.034498788963291E-2</v>
      </c>
      <c r="BW11">
        <v>5.034498788963291E-2</v>
      </c>
      <c r="BX11">
        <v>1.0000000000000001E-5</v>
      </c>
      <c r="BY11">
        <v>0.57099999999999995</v>
      </c>
      <c r="BZ11">
        <v>0.57099999999999995</v>
      </c>
      <c r="CA11">
        <v>0.01</v>
      </c>
      <c r="CB11">
        <v>0.3</v>
      </c>
      <c r="CC11">
        <v>0.3</v>
      </c>
      <c r="CD11">
        <v>0.3</v>
      </c>
    </row>
    <row r="12" spans="1:82" x14ac:dyDescent="0.25">
      <c r="A12">
        <v>11</v>
      </c>
      <c r="B12">
        <v>145</v>
      </c>
      <c r="C12" t="s">
        <v>96</v>
      </c>
      <c r="D12">
        <v>0.20319999999999999</v>
      </c>
      <c r="E12">
        <v>203.2</v>
      </c>
      <c r="I12">
        <v>15</v>
      </c>
      <c r="Z12">
        <v>0.7</v>
      </c>
      <c r="AM12">
        <v>-6.0671578560000006</v>
      </c>
      <c r="AN12">
        <v>0.34998462400000002</v>
      </c>
      <c r="BG12">
        <v>0</v>
      </c>
      <c r="BM12">
        <v>4.3770199999999999</v>
      </c>
      <c r="BN12">
        <v>1.3046508611021352</v>
      </c>
      <c r="BO12">
        <v>5</v>
      </c>
      <c r="BU12">
        <v>10.286341905123237</v>
      </c>
      <c r="BV12">
        <v>100</v>
      </c>
      <c r="BW12">
        <v>100</v>
      </c>
      <c r="BX12">
        <v>1.0000000000000001E-5</v>
      </c>
      <c r="BY12">
        <v>0.57099999999999995</v>
      </c>
      <c r="BZ12">
        <v>0.57099999999999995</v>
      </c>
      <c r="CA12">
        <v>0.01</v>
      </c>
      <c r="CB12">
        <v>0.3</v>
      </c>
      <c r="CC12">
        <v>0.3</v>
      </c>
      <c r="CD12">
        <v>0.3</v>
      </c>
    </row>
    <row r="13" spans="1:82" x14ac:dyDescent="0.25">
      <c r="A13">
        <v>12</v>
      </c>
      <c r="B13">
        <v>165</v>
      </c>
      <c r="C13" t="s">
        <v>96</v>
      </c>
      <c r="D13">
        <v>0.30480000000000002</v>
      </c>
      <c r="E13">
        <v>304.8</v>
      </c>
      <c r="I13">
        <v>30</v>
      </c>
      <c r="Z13">
        <v>0.6</v>
      </c>
      <c r="AM13">
        <v>-5.7267367840000007</v>
      </c>
      <c r="AN13">
        <v>0.36844193599999997</v>
      </c>
      <c r="BG13">
        <v>0</v>
      </c>
      <c r="BM13">
        <v>4.2130700000000001</v>
      </c>
      <c r="BN13">
        <v>1.2380309750927494</v>
      </c>
      <c r="BO13">
        <v>5</v>
      </c>
      <c r="BU13">
        <v>9.570659339929211</v>
      </c>
      <c r="BV13">
        <v>100</v>
      </c>
      <c r="BW13">
        <v>100</v>
      </c>
      <c r="BX13">
        <v>1.0000000000000001E-5</v>
      </c>
      <c r="BY13">
        <v>0.57099999999999995</v>
      </c>
      <c r="BZ13">
        <v>0.57099999999999995</v>
      </c>
      <c r="CA13">
        <v>0.01</v>
      </c>
      <c r="CB13">
        <v>0.3</v>
      </c>
      <c r="CC13">
        <v>0.3</v>
      </c>
      <c r="CD13">
        <v>0.3</v>
      </c>
    </row>
    <row r="14" spans="1:82" x14ac:dyDescent="0.25">
      <c r="A14">
        <v>13</v>
      </c>
      <c r="B14">
        <v>105</v>
      </c>
      <c r="C14" t="s">
        <v>96</v>
      </c>
      <c r="D14">
        <v>0.40639999999999998</v>
      </c>
      <c r="E14">
        <v>406.4</v>
      </c>
      <c r="I14">
        <v>50</v>
      </c>
      <c r="Z14">
        <v>0.5</v>
      </c>
      <c r="AM14">
        <v>-4.6200157119999998</v>
      </c>
      <c r="AN14">
        <v>0.35624924800000002</v>
      </c>
      <c r="BG14">
        <v>-15</v>
      </c>
      <c r="BM14">
        <v>3.9944699999999997</v>
      </c>
      <c r="BN14">
        <v>0.98307623575594627</v>
      </c>
      <c r="BO14">
        <v>2.3818428849754718</v>
      </c>
      <c r="BU14">
        <v>2.6858888779337766</v>
      </c>
      <c r="BV14">
        <v>14.671236524486245</v>
      </c>
      <c r="BW14">
        <v>14.671236524486245</v>
      </c>
      <c r="BX14">
        <v>1.0000000000000001E-5</v>
      </c>
      <c r="BY14">
        <v>0.57099999999999995</v>
      </c>
      <c r="BZ14">
        <v>0.57099999999999995</v>
      </c>
      <c r="CA14">
        <v>0.01</v>
      </c>
      <c r="CB14">
        <v>0.3</v>
      </c>
      <c r="CC14">
        <v>0.3</v>
      </c>
      <c r="CD14">
        <v>0.3</v>
      </c>
    </row>
    <row r="15" spans="1:82" x14ac:dyDescent="0.25">
      <c r="A15">
        <v>14</v>
      </c>
      <c r="B15">
        <v>145</v>
      </c>
      <c r="C15" t="s">
        <v>96</v>
      </c>
      <c r="D15">
        <v>0.50800000000000001</v>
      </c>
      <c r="E15">
        <v>508</v>
      </c>
      <c r="I15">
        <v>100</v>
      </c>
      <c r="Z15">
        <v>0.2</v>
      </c>
      <c r="AM15">
        <v>-4.4054946400000006</v>
      </c>
      <c r="AN15">
        <v>0.48415656000000001</v>
      </c>
      <c r="BG15">
        <v>0</v>
      </c>
      <c r="BM15">
        <v>3.4479699999999998</v>
      </c>
      <c r="BN15">
        <v>0.81092838034144732</v>
      </c>
      <c r="BO15">
        <v>1.129734513403053</v>
      </c>
      <c r="BU15">
        <v>-1.6665925720327883</v>
      </c>
      <c r="BV15">
        <v>0.18888959802468036</v>
      </c>
      <c r="BW15">
        <v>0.18888959802468036</v>
      </c>
      <c r="BX15">
        <v>1.0000000000000001E-5</v>
      </c>
      <c r="BY15">
        <v>0.57099999999999995</v>
      </c>
      <c r="BZ15">
        <v>0.57099999999999995</v>
      </c>
      <c r="CA15">
        <v>0.01</v>
      </c>
      <c r="CB15">
        <v>0.3</v>
      </c>
      <c r="CC15">
        <v>0.3</v>
      </c>
      <c r="CD15">
        <v>0.3</v>
      </c>
    </row>
    <row r="16" spans="1:82" x14ac:dyDescent="0.25">
      <c r="A16">
        <v>15</v>
      </c>
      <c r="B16">
        <v>165</v>
      </c>
      <c r="C16" t="s">
        <v>96</v>
      </c>
      <c r="D16">
        <v>0.60960000000000003</v>
      </c>
      <c r="E16">
        <v>609.6</v>
      </c>
      <c r="I16">
        <v>15</v>
      </c>
      <c r="Z16">
        <v>0.4</v>
      </c>
      <c r="AM16">
        <v>-5.6660735680000007</v>
      </c>
      <c r="AN16">
        <v>0.30561387200000001</v>
      </c>
      <c r="BG16">
        <v>0</v>
      </c>
      <c r="BM16">
        <v>4.3770199999999999</v>
      </c>
      <c r="BN16">
        <v>1.0851636127150084</v>
      </c>
      <c r="BO16">
        <v>5</v>
      </c>
      <c r="BU16">
        <v>12.360513897091685</v>
      </c>
      <c r="BV16">
        <v>100</v>
      </c>
      <c r="BW16">
        <v>100</v>
      </c>
      <c r="BX16">
        <v>1.0000000000000001E-5</v>
      </c>
      <c r="BY16">
        <v>0.57099999999999995</v>
      </c>
      <c r="BZ16">
        <v>0.57099999999999995</v>
      </c>
      <c r="CA16">
        <v>0.01</v>
      </c>
      <c r="CB16">
        <v>0.3</v>
      </c>
      <c r="CC16">
        <v>0.3</v>
      </c>
      <c r="CD16">
        <v>0.3</v>
      </c>
    </row>
    <row r="17" spans="1:82" x14ac:dyDescent="0.25">
      <c r="A17">
        <v>16</v>
      </c>
      <c r="B17">
        <v>105</v>
      </c>
      <c r="C17" t="s">
        <v>96</v>
      </c>
      <c r="D17">
        <v>0.76200000000000001</v>
      </c>
      <c r="E17">
        <v>762</v>
      </c>
      <c r="I17">
        <v>30</v>
      </c>
      <c r="Z17">
        <v>0.3</v>
      </c>
      <c r="AM17">
        <v>-4.5892669600000007</v>
      </c>
      <c r="AN17">
        <v>0.27802484</v>
      </c>
      <c r="BG17">
        <v>-15</v>
      </c>
      <c r="BM17">
        <v>4.2130700000000001</v>
      </c>
      <c r="BN17">
        <v>0.80352193428404106</v>
      </c>
      <c r="BO17">
        <v>1.1084729310554529</v>
      </c>
      <c r="BU17">
        <v>-1.3043542960215593E-2</v>
      </c>
      <c r="BV17">
        <v>0.98704115539080384</v>
      </c>
      <c r="BW17">
        <v>0.98704115539080384</v>
      </c>
      <c r="BX17">
        <v>1.0000000000000001E-5</v>
      </c>
      <c r="BY17">
        <v>0.57099999999999995</v>
      </c>
      <c r="BZ17">
        <v>0.57099999999999995</v>
      </c>
      <c r="CA17">
        <v>0.01</v>
      </c>
      <c r="CB17">
        <v>0.3</v>
      </c>
      <c r="CC17">
        <v>0.3</v>
      </c>
      <c r="CD17">
        <v>0.3</v>
      </c>
    </row>
    <row r="18" spans="1:82" x14ac:dyDescent="0.25">
      <c r="A18">
        <v>17</v>
      </c>
      <c r="B18">
        <v>145</v>
      </c>
      <c r="C18" t="s">
        <v>96</v>
      </c>
      <c r="D18">
        <v>0.86360000000000003</v>
      </c>
      <c r="E18">
        <v>863.6</v>
      </c>
      <c r="I18">
        <v>50</v>
      </c>
      <c r="Z18">
        <v>0.5</v>
      </c>
      <c r="AM18">
        <v>-4.8550458880000011</v>
      </c>
      <c r="AN18">
        <v>0.34683215199999995</v>
      </c>
      <c r="BG18">
        <v>0</v>
      </c>
      <c r="BM18">
        <v>3.9944699999999997</v>
      </c>
      <c r="BN18">
        <v>1.0419151245196625</v>
      </c>
      <c r="BO18">
        <v>5</v>
      </c>
      <c r="BU18">
        <v>10.416195185964192</v>
      </c>
      <c r="BV18">
        <v>100</v>
      </c>
      <c r="BW18">
        <v>100</v>
      </c>
      <c r="BX18">
        <v>1.0000000000000001E-5</v>
      </c>
      <c r="BY18">
        <v>0.57099999999999995</v>
      </c>
      <c r="BZ18">
        <v>0.57099999999999995</v>
      </c>
      <c r="CA18">
        <v>0.01</v>
      </c>
      <c r="CB18">
        <v>0.3</v>
      </c>
      <c r="CC18">
        <v>0.3</v>
      </c>
      <c r="CD18">
        <v>0.3</v>
      </c>
    </row>
    <row r="19" spans="1:82" x14ac:dyDescent="0.25">
      <c r="A19">
        <v>18</v>
      </c>
      <c r="B19">
        <v>165</v>
      </c>
      <c r="C19" t="s">
        <v>96</v>
      </c>
      <c r="D19">
        <v>1.0668</v>
      </c>
      <c r="E19">
        <v>1066.8</v>
      </c>
      <c r="I19">
        <v>100</v>
      </c>
      <c r="Z19">
        <v>0.7</v>
      </c>
      <c r="AM19">
        <v>-3.8540037440000008</v>
      </c>
      <c r="AN19">
        <v>0.423146776</v>
      </c>
      <c r="BG19">
        <v>0</v>
      </c>
      <c r="BM19">
        <v>3.4479699999999998</v>
      </c>
      <c r="BN19">
        <v>1.0143153217868104</v>
      </c>
      <c r="BO19">
        <v>5</v>
      </c>
      <c r="BU19">
        <v>7.8162308768246405</v>
      </c>
      <c r="BV19">
        <v>100</v>
      </c>
      <c r="BW19">
        <v>100</v>
      </c>
      <c r="BX19">
        <v>1.0000000000000001E-5</v>
      </c>
      <c r="BY19">
        <v>0.57099999999999995</v>
      </c>
      <c r="BZ19">
        <v>0.57099999999999995</v>
      </c>
      <c r="CA19">
        <v>0.01</v>
      </c>
      <c r="CB19">
        <v>0.3</v>
      </c>
      <c r="CC19">
        <v>0.3</v>
      </c>
      <c r="CD19">
        <v>0.3</v>
      </c>
    </row>
    <row r="20" spans="1:82" x14ac:dyDescent="0.25">
      <c r="A20">
        <v>19</v>
      </c>
      <c r="B20">
        <v>115</v>
      </c>
      <c r="C20" t="s">
        <v>96</v>
      </c>
      <c r="D20">
        <v>0.60960000000000003</v>
      </c>
      <c r="E20">
        <v>609.6</v>
      </c>
      <c r="I20">
        <v>150</v>
      </c>
      <c r="Z20">
        <v>0.6</v>
      </c>
      <c r="AM20">
        <v>-3.2759735680000004</v>
      </c>
      <c r="AN20">
        <v>0.55806387200000007</v>
      </c>
      <c r="BG20">
        <v>-5</v>
      </c>
      <c r="BM20">
        <v>2.9014699999999998</v>
      </c>
      <c r="BN20">
        <v>0.95301621048434415</v>
      </c>
      <c r="BO20">
        <v>1.8636637964233149</v>
      </c>
      <c r="BU20">
        <v>-0.66048298424285967</v>
      </c>
      <c r="BV20">
        <v>0.51660176371546651</v>
      </c>
      <c r="BW20">
        <v>0.51660176371546651</v>
      </c>
      <c r="BX20">
        <v>1.0000000000000001E-5</v>
      </c>
      <c r="BY20">
        <v>0.57099999999999995</v>
      </c>
      <c r="BZ20">
        <v>0.57099999999999995</v>
      </c>
      <c r="CA20">
        <v>0.01</v>
      </c>
      <c r="CB20">
        <v>0.3</v>
      </c>
      <c r="CC20">
        <v>0.3</v>
      </c>
      <c r="CD20">
        <v>0.3</v>
      </c>
    </row>
    <row r="21" spans="1:82" x14ac:dyDescent="0.25">
      <c r="A21">
        <v>20</v>
      </c>
      <c r="B21">
        <v>135</v>
      </c>
      <c r="C21" t="s">
        <v>96</v>
      </c>
      <c r="D21">
        <v>0.60960000000000003</v>
      </c>
      <c r="E21">
        <v>609.6</v>
      </c>
      <c r="I21">
        <v>200</v>
      </c>
      <c r="Z21">
        <v>1.5</v>
      </c>
      <c r="AM21">
        <v>-2.7042235680000006</v>
      </c>
      <c r="AN21">
        <v>0.67006387200000006</v>
      </c>
      <c r="BG21">
        <v>0</v>
      </c>
      <c r="BM21">
        <v>2.3549699999999998</v>
      </c>
      <c r="BN21">
        <v>1.3204791042383408</v>
      </c>
      <c r="BO21">
        <v>5</v>
      </c>
      <c r="BU21">
        <v>3.4619752070441425</v>
      </c>
      <c r="BV21">
        <v>31.879883737745445</v>
      </c>
      <c r="BW21">
        <v>31.879883737745445</v>
      </c>
      <c r="BX21">
        <v>1.0000000000000001E-5</v>
      </c>
      <c r="BY21">
        <v>0.57099999999999995</v>
      </c>
      <c r="BZ21">
        <v>0.57099999999999995</v>
      </c>
      <c r="CA21">
        <v>0.01</v>
      </c>
      <c r="CB21">
        <v>0.3</v>
      </c>
      <c r="CC21">
        <v>0.3</v>
      </c>
      <c r="CD21">
        <v>0.3</v>
      </c>
    </row>
    <row r="22" spans="1:82" x14ac:dyDescent="0.25">
      <c r="A22">
        <v>1</v>
      </c>
      <c r="B22">
        <v>39</v>
      </c>
      <c r="C22" t="s">
        <v>97</v>
      </c>
      <c r="D22">
        <v>0.20319999999999999</v>
      </c>
      <c r="E22">
        <v>203.2</v>
      </c>
      <c r="F22">
        <v>5.5599999999999998E-3</v>
      </c>
      <c r="G22">
        <v>5.56</v>
      </c>
      <c r="H22">
        <v>36.546762589928058</v>
      </c>
      <c r="I22">
        <v>15</v>
      </c>
      <c r="J22" t="s">
        <v>34</v>
      </c>
      <c r="K22">
        <v>8</v>
      </c>
      <c r="L22">
        <v>10</v>
      </c>
      <c r="M22">
        <v>359000</v>
      </c>
      <c r="N22">
        <v>455000</v>
      </c>
      <c r="O22">
        <v>1.9969902892117808</v>
      </c>
      <c r="Q22" t="s">
        <v>42</v>
      </c>
      <c r="R22" t="s">
        <v>43</v>
      </c>
      <c r="S22">
        <v>18</v>
      </c>
      <c r="T22">
        <v>37</v>
      </c>
      <c r="U22">
        <v>0</v>
      </c>
      <c r="V22">
        <v>0</v>
      </c>
      <c r="W22">
        <v>0.9</v>
      </c>
      <c r="X22">
        <v>1</v>
      </c>
      <c r="Y22">
        <v>7.5479720641402661</v>
      </c>
      <c r="Z22">
        <v>0.75</v>
      </c>
      <c r="AA22">
        <v>1</v>
      </c>
      <c r="AB22">
        <v>1</v>
      </c>
      <c r="AC22">
        <v>-1.50417</v>
      </c>
      <c r="AD22">
        <v>0.47067295541438414</v>
      </c>
      <c r="AE22">
        <v>0.29581999999999997</v>
      </c>
      <c r="AF22">
        <v>2.1499999999999991E-3</v>
      </c>
      <c r="AG22">
        <v>0.36396000000000001</v>
      </c>
      <c r="AH22">
        <v>0.33215</v>
      </c>
      <c r="AI22">
        <v>-1.5900000000000001E-3</v>
      </c>
      <c r="AJ22">
        <v>8.6529999999999996E-2</v>
      </c>
      <c r="AL22">
        <v>-0.37753778571031071</v>
      </c>
      <c r="AM22">
        <v>0.29278999999999999</v>
      </c>
      <c r="AN22">
        <v>0.23189000000000001</v>
      </c>
      <c r="AO22">
        <v>1.81243</v>
      </c>
      <c r="AP22">
        <v>-3.2700000000000003E-3</v>
      </c>
      <c r="AQ22">
        <v>1.1979999999999999E-2</v>
      </c>
      <c r="AR22">
        <v>-0.2074</v>
      </c>
      <c r="AS22">
        <v>8.0000000000000004E-4</v>
      </c>
      <c r="AT22">
        <v>0.89789000000000008</v>
      </c>
      <c r="AU22">
        <v>2.3600000000000001E-3</v>
      </c>
      <c r="AV22">
        <v>-2.5590000000000002E-2</v>
      </c>
      <c r="AW22">
        <v>0.37128</v>
      </c>
      <c r="AX22">
        <v>9.9330000000000002E-2</v>
      </c>
      <c r="BJ22">
        <v>1</v>
      </c>
      <c r="BK22">
        <v>0</v>
      </c>
      <c r="BL22">
        <v>1</v>
      </c>
      <c r="BM22">
        <v>0.96671071957490984</v>
      </c>
      <c r="BS22">
        <v>0</v>
      </c>
      <c r="BT22">
        <v>0.96671071957490984</v>
      </c>
      <c r="BU22">
        <v>4.877558685546262</v>
      </c>
      <c r="BV22">
        <v>100</v>
      </c>
      <c r="BW22">
        <v>1.0000000000000001E-5</v>
      </c>
      <c r="BX22">
        <v>100</v>
      </c>
      <c r="BY22">
        <v>0.52134999999999998</v>
      </c>
      <c r="BZ22">
        <v>0.01</v>
      </c>
      <c r="CA22">
        <v>0.52134999999999998</v>
      </c>
      <c r="CB22">
        <v>0.3</v>
      </c>
      <c r="CC22">
        <v>0.3</v>
      </c>
      <c r="CD22">
        <v>0.3</v>
      </c>
    </row>
    <row r="23" spans="1:82" x14ac:dyDescent="0.25">
      <c r="A23">
        <v>2</v>
      </c>
      <c r="B23">
        <v>69</v>
      </c>
      <c r="C23" t="s">
        <v>97</v>
      </c>
      <c r="D23">
        <v>0.30480000000000002</v>
      </c>
      <c r="E23">
        <v>304.8</v>
      </c>
      <c r="F23">
        <v>7.1399999999999996E-3</v>
      </c>
      <c r="G23">
        <v>7.14</v>
      </c>
      <c r="H23">
        <v>42.689075630252105</v>
      </c>
      <c r="I23">
        <v>30</v>
      </c>
      <c r="J23" t="s">
        <v>37</v>
      </c>
      <c r="K23">
        <v>8</v>
      </c>
      <c r="L23">
        <v>12</v>
      </c>
      <c r="M23">
        <v>414000</v>
      </c>
      <c r="N23">
        <v>517000</v>
      </c>
      <c r="O23">
        <v>2.5466769467238102</v>
      </c>
      <c r="Q23" t="s">
        <v>42</v>
      </c>
      <c r="R23" t="s">
        <v>43</v>
      </c>
      <c r="S23">
        <v>18</v>
      </c>
      <c r="T23">
        <v>37</v>
      </c>
      <c r="U23">
        <v>0</v>
      </c>
      <c r="V23">
        <v>0</v>
      </c>
      <c r="W23">
        <v>0.9</v>
      </c>
      <c r="X23">
        <v>2</v>
      </c>
      <c r="Y23">
        <v>22.6439161924208</v>
      </c>
      <c r="Z23">
        <v>0.75</v>
      </c>
      <c r="AA23">
        <v>1</v>
      </c>
      <c r="AB23">
        <v>1</v>
      </c>
      <c r="AC23">
        <v>-1.6518900000000001</v>
      </c>
      <c r="AD23">
        <v>9.3204577392585711E-2</v>
      </c>
      <c r="AE23">
        <v>0.49282999999999993</v>
      </c>
      <c r="AF23">
        <v>-0.54046000000000005</v>
      </c>
      <c r="AG23">
        <v>1.8437300000000001</v>
      </c>
      <c r="AH23">
        <v>2.0215299999999998</v>
      </c>
      <c r="AI23">
        <v>-1.5299999999999999E-3</v>
      </c>
      <c r="AJ23">
        <v>0.13494</v>
      </c>
      <c r="AL23">
        <v>0.11144875203180549</v>
      </c>
      <c r="AM23">
        <v>-0.50666000000000011</v>
      </c>
      <c r="AN23">
        <v>0.33083000000000001</v>
      </c>
      <c r="AO23">
        <v>1.8350600000000001</v>
      </c>
      <c r="AP23">
        <v>-4.4399999999999995E-3</v>
      </c>
      <c r="AQ23">
        <v>1.873E-2</v>
      </c>
      <c r="AR23">
        <v>-0.32374999999999998</v>
      </c>
      <c r="AS23">
        <v>1.4399999999999999E-3</v>
      </c>
      <c r="AT23">
        <v>0.78581999999999996</v>
      </c>
      <c r="AU23">
        <v>-1.3399999999999999E-2</v>
      </c>
      <c r="AV23">
        <v>5.6160000000000002E-2</v>
      </c>
      <c r="AW23">
        <v>0.23837000000000003</v>
      </c>
      <c r="AX23">
        <v>0.14502000000000001</v>
      </c>
      <c r="BJ23">
        <v>1</v>
      </c>
      <c r="BK23">
        <v>1</v>
      </c>
      <c r="BL23">
        <v>1</v>
      </c>
      <c r="BM23">
        <v>40.440609962048754</v>
      </c>
      <c r="BS23">
        <v>40.440609962048754</v>
      </c>
      <c r="BT23">
        <v>0</v>
      </c>
      <c r="BU23">
        <v>-9.6806494452477772</v>
      </c>
      <c r="BV23">
        <v>6.2480912663588663E-5</v>
      </c>
      <c r="BW23">
        <v>1.0000000000000001E-5</v>
      </c>
      <c r="BX23">
        <v>6.2480912663588663E-5</v>
      </c>
      <c r="BY23">
        <v>0.64227999999999996</v>
      </c>
      <c r="BZ23">
        <v>0.01</v>
      </c>
      <c r="CA23">
        <v>0.64227999999999996</v>
      </c>
      <c r="CB23">
        <v>0.3</v>
      </c>
      <c r="CC23">
        <v>0.3</v>
      </c>
      <c r="CD23">
        <v>0.3</v>
      </c>
    </row>
    <row r="24" spans="1:82" x14ac:dyDescent="0.25">
      <c r="A24">
        <v>3</v>
      </c>
      <c r="B24">
        <v>28</v>
      </c>
      <c r="C24" t="s">
        <v>97</v>
      </c>
      <c r="D24">
        <v>0.40639999999999998</v>
      </c>
      <c r="E24">
        <v>406.4</v>
      </c>
      <c r="F24">
        <v>9.5299999999999985E-3</v>
      </c>
      <c r="G24">
        <v>9.5299999999999994</v>
      </c>
      <c r="H24">
        <v>42.644281217208821</v>
      </c>
      <c r="I24">
        <v>50</v>
      </c>
      <c r="J24" t="s">
        <v>39</v>
      </c>
      <c r="K24">
        <v>14</v>
      </c>
      <c r="L24">
        <v>15</v>
      </c>
      <c r="M24">
        <v>483000</v>
      </c>
      <c r="N24">
        <v>565000</v>
      </c>
      <c r="O24">
        <v>2.8799444073326219</v>
      </c>
      <c r="Q24" t="s">
        <v>42</v>
      </c>
      <c r="R24" t="s">
        <v>43</v>
      </c>
      <c r="S24">
        <v>18</v>
      </c>
      <c r="T24">
        <v>37</v>
      </c>
      <c r="U24">
        <v>0</v>
      </c>
      <c r="V24">
        <v>0</v>
      </c>
      <c r="W24">
        <v>0.9</v>
      </c>
      <c r="X24">
        <v>1</v>
      </c>
      <c r="Y24">
        <v>15.095944128280532</v>
      </c>
      <c r="Z24">
        <v>0.75</v>
      </c>
      <c r="AA24">
        <v>1</v>
      </c>
      <c r="AB24">
        <v>1</v>
      </c>
      <c r="AC24">
        <v>-0.90995000000000004</v>
      </c>
      <c r="AD24">
        <v>0.34676439496992739</v>
      </c>
      <c r="AE24">
        <v>0.14764999999999998</v>
      </c>
      <c r="AF24">
        <v>3.526E-2</v>
      </c>
      <c r="AG24">
        <v>0.12393999999999999</v>
      </c>
      <c r="AH24">
        <v>6.4190000000000025E-2</v>
      </c>
      <c r="AI24">
        <v>-1.48E-3</v>
      </c>
      <c r="AJ24">
        <v>6.1449999999999998E-2</v>
      </c>
      <c r="AL24">
        <v>3.4457514445691229E-2</v>
      </c>
      <c r="AM24">
        <v>0.53193000000000001</v>
      </c>
      <c r="AN24">
        <v>0.20956000000000002</v>
      </c>
      <c r="AO24">
        <v>2.1205400000000001</v>
      </c>
      <c r="AP24">
        <v>-2.1700000000000001E-3</v>
      </c>
      <c r="AQ24">
        <v>2.4519999999999997E-2</v>
      </c>
      <c r="AR24">
        <v>-0.36536000000000002</v>
      </c>
      <c r="AS24">
        <v>5.8E-4</v>
      </c>
      <c r="AT24">
        <v>0.75203000000000009</v>
      </c>
      <c r="AU24">
        <v>-4.3499999999999988E-3</v>
      </c>
      <c r="AV24">
        <v>5.4489999999999997E-2</v>
      </c>
      <c r="AW24">
        <v>0.20848</v>
      </c>
      <c r="AX24">
        <v>6.9409999999999999E-2</v>
      </c>
      <c r="BJ24">
        <v>1</v>
      </c>
      <c r="BK24">
        <v>1</v>
      </c>
      <c r="BL24">
        <v>0</v>
      </c>
      <c r="BM24">
        <v>32.43834135380299</v>
      </c>
      <c r="BS24">
        <v>32.43834135380299</v>
      </c>
      <c r="BT24">
        <v>0</v>
      </c>
      <c r="BU24">
        <v>-3.3752384519824616</v>
      </c>
      <c r="BV24">
        <v>3.4209959906251142E-2</v>
      </c>
      <c r="BW24">
        <v>1.0000000000000001E-5</v>
      </c>
      <c r="BX24">
        <v>3.4209959906251142E-2</v>
      </c>
      <c r="BY24">
        <v>0.48813000000000001</v>
      </c>
      <c r="BZ24">
        <v>0.01</v>
      </c>
      <c r="CA24">
        <v>0.48813000000000001</v>
      </c>
      <c r="CB24">
        <v>0.3</v>
      </c>
      <c r="CC24">
        <v>0.3</v>
      </c>
      <c r="CD24">
        <v>0.3</v>
      </c>
    </row>
    <row r="25" spans="1:82" x14ac:dyDescent="0.25">
      <c r="A25">
        <v>4</v>
      </c>
      <c r="B25">
        <v>10</v>
      </c>
      <c r="C25" t="s">
        <v>97</v>
      </c>
      <c r="D25">
        <v>0.50800000000000001</v>
      </c>
      <c r="E25">
        <v>508</v>
      </c>
      <c r="F25">
        <v>1.1130000000000001E-2</v>
      </c>
      <c r="G25">
        <v>11.13</v>
      </c>
      <c r="H25">
        <v>45.642407906558844</v>
      </c>
      <c r="I25">
        <v>100</v>
      </c>
      <c r="J25" t="s">
        <v>41</v>
      </c>
      <c r="K25">
        <v>15</v>
      </c>
      <c r="L25">
        <v>20</v>
      </c>
      <c r="M25">
        <v>552000</v>
      </c>
      <c r="N25">
        <v>625000</v>
      </c>
      <c r="O25">
        <v>2.9888368774026359</v>
      </c>
      <c r="Q25" t="s">
        <v>42</v>
      </c>
      <c r="R25" t="s">
        <v>43</v>
      </c>
      <c r="S25">
        <v>18</v>
      </c>
      <c r="T25">
        <v>37</v>
      </c>
      <c r="U25">
        <v>0</v>
      </c>
      <c r="V25">
        <v>0</v>
      </c>
      <c r="W25">
        <v>0.9</v>
      </c>
      <c r="X25">
        <v>2</v>
      </c>
      <c r="Y25">
        <v>37.739860320701332</v>
      </c>
      <c r="Z25">
        <v>0.75</v>
      </c>
      <c r="AA25">
        <v>1</v>
      </c>
      <c r="AB25">
        <v>1</v>
      </c>
      <c r="AC25">
        <v>6.2410000000000077E-2</v>
      </c>
      <c r="AD25">
        <v>0.21373129115624845</v>
      </c>
      <c r="AE25">
        <v>-9.4810000000000005E-2</v>
      </c>
      <c r="AF25">
        <v>8.9439999999999992E-2</v>
      </c>
      <c r="AG25">
        <v>-0.26881999999999995</v>
      </c>
      <c r="AH25">
        <v>-0.37429000000000001</v>
      </c>
      <c r="AI25">
        <v>-1.2999999999999999E-3</v>
      </c>
      <c r="AJ25">
        <v>2.0409999999999998E-2</v>
      </c>
      <c r="AL25">
        <v>-0.14019514862320309</v>
      </c>
      <c r="AM25">
        <v>0.9232499999999999</v>
      </c>
      <c r="AN25">
        <v>0.17302000000000001</v>
      </c>
      <c r="AO25">
        <v>2.6247199999999999</v>
      </c>
      <c r="AP25">
        <v>-3.700000000000001E-4</v>
      </c>
      <c r="AQ25">
        <v>4.5039999999999997E-2</v>
      </c>
      <c r="AR25">
        <v>-0.62383999999999995</v>
      </c>
      <c r="AS25">
        <v>2.1999999999999993E-4</v>
      </c>
      <c r="AT25">
        <v>0.51335000000000008</v>
      </c>
      <c r="AU25">
        <v>-1.5329999999999996E-2</v>
      </c>
      <c r="AV25">
        <v>0.18553000000000003</v>
      </c>
      <c r="AW25">
        <v>-5.7920000000000027E-2</v>
      </c>
      <c r="AX25">
        <v>2.0449999999999996E-2</v>
      </c>
      <c r="BJ25">
        <v>1</v>
      </c>
      <c r="BK25">
        <v>1</v>
      </c>
      <c r="BL25">
        <v>0</v>
      </c>
      <c r="BM25">
        <v>25.130183407676377</v>
      </c>
      <c r="BS25">
        <v>25.130183407676377</v>
      </c>
      <c r="BT25">
        <v>0</v>
      </c>
      <c r="BU25">
        <v>7.407572921774018</v>
      </c>
      <c r="BV25">
        <v>100</v>
      </c>
      <c r="BW25">
        <v>1.0000000000000001E-5</v>
      </c>
      <c r="BX25">
        <v>100</v>
      </c>
      <c r="BY25">
        <v>0.43376999999999999</v>
      </c>
      <c r="BZ25">
        <v>0.01</v>
      </c>
      <c r="CA25">
        <v>0.43376999999999999</v>
      </c>
      <c r="CB25">
        <v>0.3</v>
      </c>
      <c r="CC25">
        <v>0.3</v>
      </c>
      <c r="CD25">
        <v>0.3</v>
      </c>
    </row>
    <row r="26" spans="1:82" x14ac:dyDescent="0.25">
      <c r="A26">
        <v>5</v>
      </c>
      <c r="B26">
        <v>59</v>
      </c>
      <c r="C26" t="s">
        <v>97</v>
      </c>
      <c r="D26">
        <v>0.60960000000000003</v>
      </c>
      <c r="E26">
        <v>609.6</v>
      </c>
      <c r="F26">
        <v>9.5299999999999985E-3</v>
      </c>
      <c r="G26">
        <v>9.5299999999999994</v>
      </c>
      <c r="H26">
        <v>63.966421825813235</v>
      </c>
      <c r="I26">
        <v>15</v>
      </c>
      <c r="J26" t="s">
        <v>34</v>
      </c>
      <c r="K26">
        <v>8</v>
      </c>
      <c r="L26">
        <v>10</v>
      </c>
      <c r="M26">
        <v>359000</v>
      </c>
      <c r="N26">
        <v>455000</v>
      </c>
      <c r="O26">
        <v>1.9969902892117808</v>
      </c>
      <c r="Q26" t="s">
        <v>42</v>
      </c>
      <c r="R26" t="s">
        <v>44</v>
      </c>
      <c r="S26">
        <v>18.5</v>
      </c>
      <c r="T26">
        <v>40</v>
      </c>
      <c r="U26">
        <v>0</v>
      </c>
      <c r="V26">
        <v>0</v>
      </c>
      <c r="W26">
        <v>0.9</v>
      </c>
      <c r="X26">
        <v>1</v>
      </c>
      <c r="Y26">
        <v>25.741129539100392</v>
      </c>
      <c r="Z26">
        <v>2.75</v>
      </c>
      <c r="AA26">
        <v>1</v>
      </c>
      <c r="AB26">
        <v>1</v>
      </c>
      <c r="AC26">
        <v>-1.72539</v>
      </c>
      <c r="AD26">
        <v>0.4650775318596384</v>
      </c>
      <c r="AE26">
        <v>0.44442999999999994</v>
      </c>
      <c r="AF26">
        <v>-0.32196000000000002</v>
      </c>
      <c r="AG26">
        <v>1.2818300000000002</v>
      </c>
      <c r="AH26">
        <v>1.37853</v>
      </c>
      <c r="AI26">
        <v>-1.5299999999999999E-3</v>
      </c>
      <c r="AJ26">
        <v>0.12054000000000001</v>
      </c>
      <c r="AL26">
        <v>-0.20018447074017054</v>
      </c>
      <c r="AM26">
        <v>-0.22796000000000005</v>
      </c>
      <c r="AN26">
        <v>0.29473000000000005</v>
      </c>
      <c r="AO26">
        <v>1.75566</v>
      </c>
      <c r="AP26">
        <v>-4.2399999999999998E-3</v>
      </c>
      <c r="AQ26">
        <v>1.303E-2</v>
      </c>
      <c r="AR26">
        <v>-0.23935000000000001</v>
      </c>
      <c r="AS26">
        <v>1.24E-3</v>
      </c>
      <c r="AT26">
        <v>0.86572000000000005</v>
      </c>
      <c r="AU26">
        <v>-5.2999999999999992E-3</v>
      </c>
      <c r="AV26">
        <v>3.9600000000000052E-3</v>
      </c>
      <c r="AW26">
        <v>0.33077000000000001</v>
      </c>
      <c r="AX26">
        <v>0.13281999999999999</v>
      </c>
      <c r="BJ26">
        <v>1</v>
      </c>
      <c r="BK26">
        <v>0</v>
      </c>
      <c r="BL26">
        <v>1</v>
      </c>
      <c r="BM26">
        <v>-5.203621691392836E-2</v>
      </c>
      <c r="BS26">
        <v>0</v>
      </c>
      <c r="BT26">
        <v>-5.203621691392836E-2</v>
      </c>
      <c r="BU26">
        <v>6.6371180474282649</v>
      </c>
      <c r="BV26">
        <v>100</v>
      </c>
      <c r="BW26">
        <v>1.0000000000000001E-5</v>
      </c>
      <c r="BX26">
        <v>100</v>
      </c>
      <c r="BY26">
        <v>0.59948000000000001</v>
      </c>
      <c r="BZ26">
        <v>0.01</v>
      </c>
      <c r="CA26">
        <v>0.59948000000000001</v>
      </c>
      <c r="CB26">
        <v>0.3</v>
      </c>
      <c r="CC26">
        <v>0.3</v>
      </c>
      <c r="CD26">
        <v>0.3</v>
      </c>
    </row>
    <row r="27" spans="1:82" x14ac:dyDescent="0.25">
      <c r="A27">
        <v>6</v>
      </c>
      <c r="B27">
        <v>17</v>
      </c>
      <c r="C27" t="s">
        <v>97</v>
      </c>
      <c r="D27">
        <v>0.76200000000000001</v>
      </c>
      <c r="E27">
        <v>762</v>
      </c>
      <c r="F27">
        <v>1.2699999999999999E-2</v>
      </c>
      <c r="G27">
        <v>12.7</v>
      </c>
      <c r="H27">
        <v>60</v>
      </c>
      <c r="I27">
        <v>30</v>
      </c>
      <c r="J27" t="s">
        <v>37</v>
      </c>
      <c r="K27">
        <v>8</v>
      </c>
      <c r="L27">
        <v>12</v>
      </c>
      <c r="M27">
        <v>414000</v>
      </c>
      <c r="N27">
        <v>517000</v>
      </c>
      <c r="O27">
        <v>2.5466769467238102</v>
      </c>
      <c r="Q27" t="s">
        <v>42</v>
      </c>
      <c r="R27" t="s">
        <v>44</v>
      </c>
      <c r="S27">
        <v>18.5</v>
      </c>
      <c r="T27">
        <v>40</v>
      </c>
      <c r="U27">
        <v>0</v>
      </c>
      <c r="V27">
        <v>0</v>
      </c>
      <c r="W27">
        <v>0.9</v>
      </c>
      <c r="X27">
        <v>2</v>
      </c>
      <c r="Y27">
        <v>64.352823847750969</v>
      </c>
      <c r="Z27">
        <v>3.5</v>
      </c>
      <c r="AA27">
        <v>1</v>
      </c>
      <c r="AB27">
        <v>1</v>
      </c>
      <c r="AC27">
        <v>-0.31573000000000007</v>
      </c>
      <c r="AD27">
        <v>0.17125986498424164</v>
      </c>
      <c r="AE27">
        <v>-5.2000000000002045E-4</v>
      </c>
      <c r="AF27">
        <v>6.8370000000000014E-2</v>
      </c>
      <c r="AG27">
        <v>-0.11607999999999996</v>
      </c>
      <c r="AH27">
        <v>-0.20377000000000001</v>
      </c>
      <c r="AI27">
        <v>-1.3699999999999999E-3</v>
      </c>
      <c r="AJ27">
        <v>3.637E-2</v>
      </c>
      <c r="AL27">
        <v>-0.15740672456772828</v>
      </c>
      <c r="AM27">
        <v>0.77106999999999992</v>
      </c>
      <c r="AN27">
        <v>0.18723000000000001</v>
      </c>
      <c r="AO27">
        <v>2.4286500000000002</v>
      </c>
      <c r="AP27">
        <v>-1.0700000000000002E-3</v>
      </c>
      <c r="AQ27">
        <v>3.7059999999999996E-2</v>
      </c>
      <c r="AR27">
        <v>-0.52332000000000001</v>
      </c>
      <c r="AS27">
        <v>3.5999999999999997E-4</v>
      </c>
      <c r="AT27">
        <v>0.6061700000000001</v>
      </c>
      <c r="AU27">
        <v>-1.1059999999999997E-2</v>
      </c>
      <c r="AV27">
        <v>0.13457</v>
      </c>
      <c r="AW27">
        <v>4.5679999999999998E-2</v>
      </c>
      <c r="AX27">
        <v>3.9489999999999997E-2</v>
      </c>
      <c r="BJ27">
        <v>1</v>
      </c>
      <c r="BK27">
        <v>0</v>
      </c>
      <c r="BL27">
        <v>1</v>
      </c>
      <c r="BM27">
        <v>-2.6655451685221454</v>
      </c>
      <c r="BS27">
        <v>0</v>
      </c>
      <c r="BT27">
        <v>-2.6655451685221454</v>
      </c>
      <c r="BU27">
        <v>7.892606588335858</v>
      </c>
      <c r="BV27">
        <v>100</v>
      </c>
      <c r="BW27">
        <v>1.0000000000000001E-5</v>
      </c>
      <c r="BX27">
        <v>100</v>
      </c>
      <c r="BY27">
        <v>0.45491000000000004</v>
      </c>
      <c r="BZ27">
        <v>0.01</v>
      </c>
      <c r="CA27">
        <v>0.45491000000000004</v>
      </c>
      <c r="CB27">
        <v>0.3</v>
      </c>
      <c r="CC27">
        <v>0.3</v>
      </c>
      <c r="CD27">
        <v>0.3</v>
      </c>
    </row>
    <row r="28" spans="1:82" x14ac:dyDescent="0.25">
      <c r="A28">
        <v>7</v>
      </c>
      <c r="B28">
        <v>11</v>
      </c>
      <c r="C28" t="s">
        <v>97</v>
      </c>
      <c r="D28">
        <v>0.86360000000000003</v>
      </c>
      <c r="E28">
        <v>863.6</v>
      </c>
      <c r="F28">
        <v>1.1130000000000001E-2</v>
      </c>
      <c r="G28">
        <v>11.13</v>
      </c>
      <c r="H28">
        <v>77.592093441150041</v>
      </c>
      <c r="I28">
        <v>50</v>
      </c>
      <c r="J28" t="s">
        <v>39</v>
      </c>
      <c r="K28">
        <v>14</v>
      </c>
      <c r="L28">
        <v>15</v>
      </c>
      <c r="M28">
        <v>483000</v>
      </c>
      <c r="N28">
        <v>565000</v>
      </c>
      <c r="O28">
        <v>2.8799444073326219</v>
      </c>
      <c r="Q28" t="s">
        <v>42</v>
      </c>
      <c r="R28" t="s">
        <v>44</v>
      </c>
      <c r="S28">
        <v>18.5</v>
      </c>
      <c r="T28">
        <v>40</v>
      </c>
      <c r="U28">
        <v>0</v>
      </c>
      <c r="V28">
        <v>0</v>
      </c>
      <c r="W28">
        <v>0.9</v>
      </c>
      <c r="X28">
        <v>1</v>
      </c>
      <c r="Y28">
        <v>36.46660018039222</v>
      </c>
      <c r="Z28">
        <v>1.5</v>
      </c>
      <c r="AA28">
        <v>1</v>
      </c>
      <c r="AB28">
        <v>1</v>
      </c>
      <c r="AC28">
        <v>8.3899999999998975E-3</v>
      </c>
      <c r="AD28">
        <v>0.1204705059512481</v>
      </c>
      <c r="AE28">
        <v>-8.1340000000000023E-2</v>
      </c>
      <c r="AF28">
        <v>8.6430000000000007E-2</v>
      </c>
      <c r="AG28">
        <v>-0.247</v>
      </c>
      <c r="AH28">
        <v>-0.34992999999999996</v>
      </c>
      <c r="AI28">
        <v>-1.31E-3</v>
      </c>
      <c r="AJ28">
        <v>2.2690000000000002E-2</v>
      </c>
      <c r="AL28">
        <v>-0.18238374480097994</v>
      </c>
      <c r="AM28">
        <v>0.90150999999999992</v>
      </c>
      <c r="AN28">
        <v>0.17505000000000001</v>
      </c>
      <c r="AO28">
        <v>2.5967099999999999</v>
      </c>
      <c r="AP28">
        <v>-4.6999999999999993E-4</v>
      </c>
      <c r="AQ28">
        <v>4.3899999999999995E-2</v>
      </c>
      <c r="AR28">
        <v>-0.60948000000000002</v>
      </c>
      <c r="AS28">
        <v>2.3999999999999998E-4</v>
      </c>
      <c r="AT28">
        <v>0.52661000000000002</v>
      </c>
      <c r="AU28">
        <v>-1.4719999999999997E-2</v>
      </c>
      <c r="AV28">
        <v>0.17824999999999999</v>
      </c>
      <c r="AW28">
        <v>-4.3119999999999992E-2</v>
      </c>
      <c r="AX28">
        <v>2.3169999999999996E-2</v>
      </c>
      <c r="BJ28">
        <v>1</v>
      </c>
      <c r="BK28">
        <v>0</v>
      </c>
      <c r="BL28">
        <v>0</v>
      </c>
      <c r="BM28">
        <v>-3.333144613964116E-2</v>
      </c>
      <c r="BS28">
        <v>0</v>
      </c>
      <c r="BT28">
        <v>-3.333144613964116E-2</v>
      </c>
      <c r="BU28">
        <v>10.982439666923916</v>
      </c>
      <c r="BV28">
        <v>100</v>
      </c>
      <c r="BW28">
        <v>1.0000000000000001E-5</v>
      </c>
      <c r="BX28">
        <v>100</v>
      </c>
      <c r="BY28">
        <v>0.43679000000000001</v>
      </c>
      <c r="BZ28">
        <v>0.01</v>
      </c>
      <c r="CA28">
        <v>0.43679000000000001</v>
      </c>
      <c r="CB28">
        <v>0.3</v>
      </c>
      <c r="CC28">
        <v>0.3</v>
      </c>
      <c r="CD28">
        <v>0.3</v>
      </c>
    </row>
    <row r="29" spans="1:82" x14ac:dyDescent="0.25">
      <c r="A29">
        <v>8</v>
      </c>
      <c r="B29">
        <v>47</v>
      </c>
      <c r="C29" t="s">
        <v>97</v>
      </c>
      <c r="D29">
        <v>1.0668</v>
      </c>
      <c r="E29">
        <v>1066.8</v>
      </c>
      <c r="F29">
        <v>1.2699999999999999E-2</v>
      </c>
      <c r="G29">
        <v>12.7</v>
      </c>
      <c r="H29">
        <v>84</v>
      </c>
      <c r="I29">
        <v>100</v>
      </c>
      <c r="J29" t="s">
        <v>41</v>
      </c>
      <c r="K29">
        <v>15</v>
      </c>
      <c r="L29">
        <v>20</v>
      </c>
      <c r="M29">
        <v>552000</v>
      </c>
      <c r="N29">
        <v>625000</v>
      </c>
      <c r="O29">
        <v>2.9888368774026359</v>
      </c>
      <c r="Q29" t="s">
        <v>42</v>
      </c>
      <c r="R29" t="s">
        <v>45</v>
      </c>
      <c r="S29">
        <v>19</v>
      </c>
      <c r="T29">
        <v>43</v>
      </c>
      <c r="U29">
        <v>0</v>
      </c>
      <c r="V29">
        <v>0</v>
      </c>
      <c r="W29">
        <v>0.9</v>
      </c>
      <c r="X29">
        <v>2</v>
      </c>
      <c r="Y29">
        <v>102.03070645435936</v>
      </c>
      <c r="Z29">
        <v>1.5</v>
      </c>
      <c r="AA29">
        <v>0</v>
      </c>
      <c r="AB29">
        <v>1</v>
      </c>
      <c r="AC29">
        <v>-1.81359</v>
      </c>
      <c r="AD29">
        <v>0.35620502968535167</v>
      </c>
      <c r="AE29">
        <v>0.38634999999999997</v>
      </c>
      <c r="AF29">
        <v>-5.9760000000000035E-2</v>
      </c>
      <c r="AG29">
        <v>0.60755000000000026</v>
      </c>
      <c r="AH29">
        <v>0.60693000000000019</v>
      </c>
      <c r="AI29">
        <v>-1.5299999999999999E-3</v>
      </c>
      <c r="AJ29">
        <v>0.10326000000000002</v>
      </c>
      <c r="AL29">
        <v>0.35562079861429208</v>
      </c>
      <c r="AM29">
        <v>0.10647999999999991</v>
      </c>
      <c r="AN29">
        <v>0.25141000000000002</v>
      </c>
      <c r="AO29">
        <v>1.66038</v>
      </c>
      <c r="AP29">
        <v>-4.0000000000000001E-3</v>
      </c>
      <c r="AQ29">
        <v>6.1900000000000011E-3</v>
      </c>
      <c r="AR29">
        <v>-0.13807000000000003</v>
      </c>
      <c r="AS29">
        <v>1E-3</v>
      </c>
      <c r="AT29">
        <v>0.96160000000000001</v>
      </c>
      <c r="AU29">
        <v>4.4200000000000003E-3</v>
      </c>
      <c r="AV29">
        <v>-5.8679999999999982E-2</v>
      </c>
      <c r="AW29">
        <v>0.44164999999999999</v>
      </c>
      <c r="AX29">
        <v>0.11818000000000001</v>
      </c>
      <c r="BJ29">
        <v>1</v>
      </c>
      <c r="BK29">
        <v>0</v>
      </c>
      <c r="BL29">
        <v>0</v>
      </c>
      <c r="BM29">
        <v>0.57546342746125556</v>
      </c>
      <c r="BS29">
        <v>0</v>
      </c>
      <c r="BT29">
        <v>0.57546342746125556</v>
      </c>
      <c r="BU29">
        <v>8.9288273599652541</v>
      </c>
      <c r="BV29">
        <v>100</v>
      </c>
      <c r="BW29">
        <v>1.0000000000000001E-5</v>
      </c>
      <c r="BX29">
        <v>100</v>
      </c>
      <c r="BY29">
        <v>0.54811999999999994</v>
      </c>
      <c r="BZ29">
        <v>0.01</v>
      </c>
      <c r="CA29">
        <v>0.54811999999999994</v>
      </c>
      <c r="CB29">
        <v>0.3</v>
      </c>
      <c r="CC29">
        <v>0.3</v>
      </c>
      <c r="CD29">
        <v>0.3</v>
      </c>
    </row>
    <row r="30" spans="1:82" x14ac:dyDescent="0.25">
      <c r="A30">
        <v>9</v>
      </c>
      <c r="B30">
        <v>30</v>
      </c>
      <c r="C30" t="s">
        <v>97</v>
      </c>
      <c r="D30">
        <v>0.60960000000000003</v>
      </c>
      <c r="E30">
        <v>609.6</v>
      </c>
      <c r="F30">
        <v>1.1130000000000001E-2</v>
      </c>
      <c r="G30">
        <v>11.13</v>
      </c>
      <c r="H30">
        <v>54.770889487870619</v>
      </c>
      <c r="I30">
        <v>150</v>
      </c>
      <c r="J30" t="s">
        <v>64</v>
      </c>
      <c r="K30">
        <v>3</v>
      </c>
      <c r="L30">
        <v>9</v>
      </c>
      <c r="M30">
        <v>290000</v>
      </c>
      <c r="N30">
        <v>414000</v>
      </c>
      <c r="O30">
        <v>1.7363704307629526</v>
      </c>
      <c r="Q30" t="s">
        <v>42</v>
      </c>
      <c r="R30" t="s">
        <v>45</v>
      </c>
      <c r="S30">
        <v>19</v>
      </c>
      <c r="T30">
        <v>43</v>
      </c>
      <c r="U30">
        <v>0</v>
      </c>
      <c r="V30">
        <v>0</v>
      </c>
      <c r="W30">
        <v>0.9</v>
      </c>
      <c r="X30">
        <v>1</v>
      </c>
      <c r="Y30">
        <v>29.151630415531248</v>
      </c>
      <c r="Z30">
        <v>1.5</v>
      </c>
      <c r="AA30">
        <v>1</v>
      </c>
      <c r="AB30">
        <v>1</v>
      </c>
      <c r="AC30">
        <v>-1.01799</v>
      </c>
      <c r="AD30">
        <v>0.38193464176756858</v>
      </c>
      <c r="AE30">
        <v>0.17459</v>
      </c>
      <c r="AF30">
        <v>2.9240000000000002E-2</v>
      </c>
      <c r="AG30">
        <v>0.16758000000000001</v>
      </c>
      <c r="AH30">
        <v>0.11291000000000001</v>
      </c>
      <c r="AI30">
        <v>-1.5E-3</v>
      </c>
      <c r="AJ30">
        <v>6.6009999999999985E-2</v>
      </c>
      <c r="AL30">
        <v>6.7567196067336521E-2</v>
      </c>
      <c r="AM30">
        <v>0.48845</v>
      </c>
      <c r="AN30">
        <v>0.21362</v>
      </c>
      <c r="AO30">
        <v>2.0645199999999999</v>
      </c>
      <c r="AP30">
        <v>-2.3700000000000001E-3</v>
      </c>
      <c r="AQ30">
        <v>2.2239999999999999E-2</v>
      </c>
      <c r="AR30">
        <v>-0.33663999999999999</v>
      </c>
      <c r="AS30">
        <v>6.2E-4</v>
      </c>
      <c r="AT30">
        <v>0.77855000000000008</v>
      </c>
      <c r="AU30">
        <v>-3.13E-3</v>
      </c>
      <c r="AV30">
        <v>3.9930000000000007E-2</v>
      </c>
      <c r="AW30">
        <v>0.23807999999999999</v>
      </c>
      <c r="AX30">
        <v>7.485E-2</v>
      </c>
      <c r="BJ30">
        <v>1</v>
      </c>
      <c r="BK30">
        <v>0</v>
      </c>
      <c r="BL30">
        <v>0</v>
      </c>
      <c r="BM30">
        <v>0.27625200359756724</v>
      </c>
      <c r="BS30">
        <v>0</v>
      </c>
      <c r="BT30">
        <v>0.27625200359756724</v>
      </c>
      <c r="BU30">
        <v>8.3995658523274574</v>
      </c>
      <c r="BV30">
        <v>100</v>
      </c>
      <c r="BW30">
        <v>1.0000000000000001E-5</v>
      </c>
      <c r="BX30">
        <v>100</v>
      </c>
      <c r="BY30">
        <v>0.49417</v>
      </c>
      <c r="BZ30">
        <v>0.01</v>
      </c>
      <c r="CA30">
        <v>0.49417</v>
      </c>
      <c r="CB30">
        <v>0.3</v>
      </c>
      <c r="CC30">
        <v>0.3</v>
      </c>
      <c r="CD30">
        <v>0.3</v>
      </c>
    </row>
    <row r="31" spans="1:82" x14ac:dyDescent="0.25">
      <c r="A31">
        <v>10</v>
      </c>
      <c r="B31">
        <v>35</v>
      </c>
      <c r="C31" t="s">
        <v>97</v>
      </c>
      <c r="D31">
        <v>0.60960000000000003</v>
      </c>
      <c r="E31">
        <v>609.6</v>
      </c>
      <c r="F31">
        <v>1.1130000000000001E-2</v>
      </c>
      <c r="G31">
        <v>11.13</v>
      </c>
      <c r="H31">
        <v>54.770889487870619</v>
      </c>
      <c r="I31">
        <v>200</v>
      </c>
      <c r="J31" t="s">
        <v>65</v>
      </c>
      <c r="K31">
        <v>3</v>
      </c>
      <c r="L31">
        <v>8</v>
      </c>
      <c r="M31">
        <v>241000</v>
      </c>
      <c r="N31">
        <v>344000</v>
      </c>
      <c r="O31">
        <v>1.1599577949833839</v>
      </c>
      <c r="Q31" t="s">
        <v>42</v>
      </c>
      <c r="R31" t="s">
        <v>45</v>
      </c>
      <c r="S31">
        <v>19</v>
      </c>
      <c r="T31">
        <v>43</v>
      </c>
      <c r="U31">
        <v>0</v>
      </c>
      <c r="V31">
        <v>0</v>
      </c>
      <c r="W31">
        <v>0.9</v>
      </c>
      <c r="X31">
        <v>2</v>
      </c>
      <c r="Y31">
        <v>58.303260831062495</v>
      </c>
      <c r="Z31">
        <v>2.75</v>
      </c>
      <c r="AA31">
        <v>1</v>
      </c>
      <c r="AB31">
        <v>1</v>
      </c>
      <c r="AC31">
        <v>-1.28809</v>
      </c>
      <c r="AD31">
        <v>0.42196824472511718</v>
      </c>
      <c r="AE31">
        <v>0.24193999999999999</v>
      </c>
      <c r="AF31">
        <v>1.4190000000000001E-2</v>
      </c>
      <c r="AG31">
        <v>0.27667999999999998</v>
      </c>
      <c r="AH31">
        <v>0.23471000000000003</v>
      </c>
      <c r="AI31">
        <v>-1.5499999999999999E-3</v>
      </c>
      <c r="AJ31">
        <v>7.7409999999999993E-2</v>
      </c>
      <c r="AL31">
        <v>5.6398079686577951E-2</v>
      </c>
      <c r="AM31">
        <v>0.37974999999999998</v>
      </c>
      <c r="AN31">
        <v>0.22377</v>
      </c>
      <c r="AO31">
        <v>1.9244700000000001</v>
      </c>
      <c r="AP31">
        <v>-2.8700000000000002E-3</v>
      </c>
      <c r="AQ31">
        <v>1.6539999999999999E-2</v>
      </c>
      <c r="AR31">
        <v>-0.26484000000000002</v>
      </c>
      <c r="AS31">
        <v>7.2000000000000005E-4</v>
      </c>
      <c r="AT31">
        <v>0.8448500000000001</v>
      </c>
      <c r="AU31">
        <v>-7.9999999999999342E-5</v>
      </c>
      <c r="AV31">
        <v>3.5300000000000054E-3</v>
      </c>
      <c r="AW31">
        <v>0.31207999999999997</v>
      </c>
      <c r="AX31">
        <v>8.8450000000000001E-2</v>
      </c>
      <c r="BJ31">
        <v>1</v>
      </c>
      <c r="BK31">
        <v>0</v>
      </c>
      <c r="BL31">
        <v>0</v>
      </c>
      <c r="BM31">
        <v>0.32512453126164914</v>
      </c>
      <c r="BS31">
        <v>0</v>
      </c>
      <c r="BT31">
        <v>0.32512453126164914</v>
      </c>
      <c r="BU31">
        <v>9.4103336233310273</v>
      </c>
      <c r="BV31">
        <v>100</v>
      </c>
      <c r="BW31">
        <v>1.0000000000000001E-5</v>
      </c>
      <c r="BX31">
        <v>100</v>
      </c>
      <c r="BY31">
        <v>0.50927</v>
      </c>
      <c r="BZ31">
        <v>0.01</v>
      </c>
      <c r="CA31">
        <v>0.50927</v>
      </c>
      <c r="CB31">
        <v>0.3</v>
      </c>
      <c r="CC31">
        <v>0.3</v>
      </c>
      <c r="CD31">
        <v>0.3</v>
      </c>
    </row>
    <row r="32" spans="1:82" x14ac:dyDescent="0.25">
      <c r="A32">
        <v>11</v>
      </c>
      <c r="B32">
        <v>41</v>
      </c>
      <c r="C32" t="s">
        <v>97</v>
      </c>
      <c r="D32">
        <v>0.20319999999999999</v>
      </c>
      <c r="E32">
        <v>203.2</v>
      </c>
      <c r="F32">
        <v>5.5599999999999998E-3</v>
      </c>
      <c r="G32">
        <v>5.56</v>
      </c>
      <c r="H32">
        <v>36.546762589928058</v>
      </c>
      <c r="I32">
        <v>15</v>
      </c>
      <c r="J32" t="s">
        <v>34</v>
      </c>
      <c r="K32">
        <v>8</v>
      </c>
      <c r="L32">
        <v>10</v>
      </c>
      <c r="M32">
        <v>359000</v>
      </c>
      <c r="N32">
        <v>455000</v>
      </c>
      <c r="O32">
        <v>1.9969902892117808</v>
      </c>
      <c r="Q32" t="s">
        <v>35</v>
      </c>
      <c r="R32" t="s">
        <v>36</v>
      </c>
      <c r="S32">
        <v>17.5</v>
      </c>
      <c r="T32">
        <v>0</v>
      </c>
      <c r="U32">
        <v>37.5</v>
      </c>
      <c r="V32">
        <v>1.1000000000000001</v>
      </c>
      <c r="W32">
        <v>0.9</v>
      </c>
      <c r="X32">
        <v>0</v>
      </c>
      <c r="Y32">
        <v>26.332829622389642</v>
      </c>
      <c r="Z32">
        <v>0.75</v>
      </c>
      <c r="AA32">
        <v>1</v>
      </c>
      <c r="AB32">
        <v>1</v>
      </c>
      <c r="AC32">
        <v>-1.6122099999999999</v>
      </c>
      <c r="AD32">
        <v>0.49927955795195023</v>
      </c>
      <c r="AE32">
        <v>0.32275999999999999</v>
      </c>
      <c r="AF32">
        <v>-3.8700000000000002E-3</v>
      </c>
      <c r="AG32">
        <v>0.40759999999999996</v>
      </c>
      <c r="AH32">
        <v>0.38087000000000004</v>
      </c>
      <c r="AI32">
        <v>-1.6099999999999999E-3</v>
      </c>
      <c r="AJ32">
        <v>9.108999999999999E-2</v>
      </c>
      <c r="AL32">
        <v>-0.39283740862208216</v>
      </c>
      <c r="AM32">
        <v>0.24930999999999998</v>
      </c>
      <c r="AN32">
        <v>0.23595000000000002</v>
      </c>
      <c r="AO32">
        <v>1.75641</v>
      </c>
      <c r="AP32">
        <v>-3.47E-3</v>
      </c>
      <c r="AQ32">
        <v>9.7000000000000003E-3</v>
      </c>
      <c r="AR32">
        <v>-0.17868000000000001</v>
      </c>
      <c r="AS32">
        <v>8.4000000000000003E-4</v>
      </c>
      <c r="AT32">
        <v>0.92441000000000006</v>
      </c>
      <c r="AU32">
        <v>3.5800000000000003E-3</v>
      </c>
      <c r="AV32">
        <v>-4.0149999999999998E-2</v>
      </c>
      <c r="AW32">
        <v>0.40088000000000001</v>
      </c>
      <c r="AX32">
        <v>0.10477</v>
      </c>
      <c r="BJ32">
        <v>0</v>
      </c>
      <c r="BK32">
        <v>0</v>
      </c>
      <c r="BL32">
        <v>1</v>
      </c>
      <c r="BM32">
        <v>1.481293247657941</v>
      </c>
      <c r="BS32">
        <v>0</v>
      </c>
      <c r="BT32">
        <v>1.481293247657941</v>
      </c>
      <c r="BU32">
        <v>1.2541638151501695</v>
      </c>
      <c r="BV32">
        <v>3.5049063990458023</v>
      </c>
      <c r="BW32">
        <v>1.0000000000000001E-5</v>
      </c>
      <c r="BX32">
        <v>3.5049063990458023</v>
      </c>
      <c r="BY32">
        <v>0.52739000000000003</v>
      </c>
      <c r="BZ32">
        <v>0.01</v>
      </c>
      <c r="CA32">
        <v>0.52739000000000003</v>
      </c>
      <c r="CB32">
        <v>0.3</v>
      </c>
      <c r="CC32">
        <v>0.3</v>
      </c>
      <c r="CD32">
        <v>0.3</v>
      </c>
    </row>
    <row r="33" spans="1:82" x14ac:dyDescent="0.25">
      <c r="A33">
        <v>12</v>
      </c>
      <c r="B33">
        <v>6</v>
      </c>
      <c r="C33" t="s">
        <v>97</v>
      </c>
      <c r="D33">
        <v>0.30480000000000002</v>
      </c>
      <c r="E33">
        <v>304.8</v>
      </c>
      <c r="F33">
        <v>7.1399999999999996E-3</v>
      </c>
      <c r="G33">
        <v>7.14</v>
      </c>
      <c r="H33">
        <v>42.689075630252105</v>
      </c>
      <c r="I33">
        <v>30</v>
      </c>
      <c r="J33" t="s">
        <v>37</v>
      </c>
      <c r="K33">
        <v>8</v>
      </c>
      <c r="L33">
        <v>12</v>
      </c>
      <c r="M33">
        <v>414000</v>
      </c>
      <c r="N33">
        <v>517000</v>
      </c>
      <c r="O33">
        <v>2.5466769467238102</v>
      </c>
      <c r="Q33" t="s">
        <v>35</v>
      </c>
      <c r="R33" t="s">
        <v>36</v>
      </c>
      <c r="S33">
        <v>17.5</v>
      </c>
      <c r="T33">
        <v>0</v>
      </c>
      <c r="U33">
        <v>37.5</v>
      </c>
      <c r="V33">
        <v>1.1000000000000001</v>
      </c>
      <c r="W33">
        <v>0.9</v>
      </c>
      <c r="X33">
        <v>0</v>
      </c>
      <c r="Y33">
        <v>39.499244433584465</v>
      </c>
      <c r="Z33">
        <v>0.75</v>
      </c>
      <c r="AA33">
        <v>1</v>
      </c>
      <c r="AB33">
        <v>1</v>
      </c>
      <c r="AC33">
        <v>0.27849000000000013</v>
      </c>
      <c r="AD33">
        <v>6.1265274996957969E-2</v>
      </c>
      <c r="AE33">
        <v>-0.14868999999999999</v>
      </c>
      <c r="AF33">
        <v>0.10148000000000001</v>
      </c>
      <c r="AG33">
        <v>-0.35609999999999997</v>
      </c>
      <c r="AH33">
        <v>-0.47172999999999998</v>
      </c>
      <c r="AI33">
        <v>-1.2599999999999998E-3</v>
      </c>
      <c r="AJ33">
        <v>1.1289999999999994E-2</v>
      </c>
      <c r="AL33">
        <v>-0.16996391201545347</v>
      </c>
      <c r="AM33">
        <v>1.0102099999999998</v>
      </c>
      <c r="AN33">
        <v>0.16489999999999999</v>
      </c>
      <c r="AO33">
        <v>2.7367600000000003</v>
      </c>
      <c r="AP33">
        <v>3.0000000000000079E-5</v>
      </c>
      <c r="AQ33">
        <v>4.9599999999999998E-2</v>
      </c>
      <c r="AR33">
        <v>-0.68128</v>
      </c>
      <c r="AS33">
        <v>1.3999999999999993E-4</v>
      </c>
      <c r="AT33">
        <v>0.46031000000000011</v>
      </c>
      <c r="AU33">
        <v>-1.7769999999999998E-2</v>
      </c>
      <c r="AV33">
        <v>0.21465000000000001</v>
      </c>
      <c r="AW33">
        <v>-0.11712000000000006</v>
      </c>
      <c r="AX33">
        <v>9.5699999999999952E-3</v>
      </c>
      <c r="BJ33">
        <v>0</v>
      </c>
      <c r="BK33">
        <v>1</v>
      </c>
      <c r="BL33">
        <v>1</v>
      </c>
      <c r="BM33">
        <v>35.235000927267137</v>
      </c>
      <c r="BS33">
        <v>35.235000927267137</v>
      </c>
      <c r="BT33">
        <v>0</v>
      </c>
      <c r="BU33">
        <v>-2.51856428360386</v>
      </c>
      <c r="BV33">
        <v>8.0575206890821802E-2</v>
      </c>
      <c r="BW33">
        <v>1.0000000000000001E-5</v>
      </c>
      <c r="BX33">
        <v>8.0575206890821802E-2</v>
      </c>
      <c r="BY33">
        <v>0.42169000000000001</v>
      </c>
      <c r="BZ33">
        <v>0.01</v>
      </c>
      <c r="CA33">
        <v>0.42169000000000001</v>
      </c>
      <c r="CB33">
        <v>0.3</v>
      </c>
      <c r="CC33">
        <v>0.3</v>
      </c>
      <c r="CD33">
        <v>0.3</v>
      </c>
    </row>
    <row r="34" spans="1:82" x14ac:dyDescent="0.25">
      <c r="A34">
        <v>13</v>
      </c>
      <c r="B34">
        <v>31</v>
      </c>
      <c r="C34" t="s">
        <v>97</v>
      </c>
      <c r="D34">
        <v>0.40639999999999998</v>
      </c>
      <c r="E34">
        <v>406.4</v>
      </c>
      <c r="F34">
        <v>9.5299999999999985E-3</v>
      </c>
      <c r="G34">
        <v>9.5299999999999994</v>
      </c>
      <c r="H34">
        <v>42.644281217208821</v>
      </c>
      <c r="I34">
        <v>50</v>
      </c>
      <c r="J34" t="s">
        <v>39</v>
      </c>
      <c r="K34">
        <v>14</v>
      </c>
      <c r="L34">
        <v>15</v>
      </c>
      <c r="M34">
        <v>483000</v>
      </c>
      <c r="N34">
        <v>565000</v>
      </c>
      <c r="O34">
        <v>2.8799444073326219</v>
      </c>
      <c r="Q34" t="s">
        <v>35</v>
      </c>
      <c r="R34" t="s">
        <v>36</v>
      </c>
      <c r="S34">
        <v>17.5</v>
      </c>
      <c r="T34">
        <v>0</v>
      </c>
      <c r="U34">
        <v>37.5</v>
      </c>
      <c r="V34">
        <v>1.1000000000000001</v>
      </c>
      <c r="W34">
        <v>0.9</v>
      </c>
      <c r="X34">
        <v>0</v>
      </c>
      <c r="Y34">
        <v>52.665659244779285</v>
      </c>
      <c r="Z34">
        <v>0.75</v>
      </c>
      <c r="AA34">
        <v>1</v>
      </c>
      <c r="AB34">
        <v>1</v>
      </c>
      <c r="AC34">
        <v>-1.0720100000000001</v>
      </c>
      <c r="AD34">
        <v>0.37861949879439499</v>
      </c>
      <c r="AE34">
        <v>0.18805999999999998</v>
      </c>
      <c r="AF34">
        <v>2.6230000000000003E-2</v>
      </c>
      <c r="AG34">
        <v>0.18940000000000001</v>
      </c>
      <c r="AH34">
        <v>0.13727</v>
      </c>
      <c r="AI34">
        <v>-1.5100000000000001E-3</v>
      </c>
      <c r="AJ34">
        <v>6.828999999999999E-2</v>
      </c>
      <c r="AL34">
        <v>6.4177768834329907E-2</v>
      </c>
      <c r="AM34">
        <v>0.46670999999999996</v>
      </c>
      <c r="AN34">
        <v>0.21565000000000001</v>
      </c>
      <c r="AO34">
        <v>2.0365100000000003</v>
      </c>
      <c r="AP34">
        <v>-2.47E-3</v>
      </c>
      <c r="AQ34">
        <v>2.1099999999999997E-2</v>
      </c>
      <c r="AR34">
        <v>-0.32228000000000001</v>
      </c>
      <c r="AS34">
        <v>6.3999999999999994E-4</v>
      </c>
      <c r="AT34">
        <v>0.79181000000000001</v>
      </c>
      <c r="AU34">
        <v>-2.5199999999999988E-3</v>
      </c>
      <c r="AV34">
        <v>3.2649999999999998E-2</v>
      </c>
      <c r="AW34">
        <v>0.25287999999999999</v>
      </c>
      <c r="AX34">
        <v>7.757E-2</v>
      </c>
      <c r="BJ34">
        <v>0</v>
      </c>
      <c r="BK34">
        <v>1</v>
      </c>
      <c r="BL34">
        <v>0</v>
      </c>
      <c r="BM34">
        <v>34.875583720662959</v>
      </c>
      <c r="BS34">
        <v>34.875583720662959</v>
      </c>
      <c r="BT34">
        <v>0</v>
      </c>
      <c r="BU34">
        <v>-10.995295938748249</v>
      </c>
      <c r="BV34">
        <v>1.6780451693088814E-5</v>
      </c>
      <c r="BW34">
        <v>1.0000000000000001E-5</v>
      </c>
      <c r="BX34">
        <v>1.6780451693088814E-5</v>
      </c>
      <c r="BY34">
        <v>0.49719000000000002</v>
      </c>
      <c r="BZ34">
        <v>0.01</v>
      </c>
      <c r="CA34">
        <v>0.49719000000000002</v>
      </c>
      <c r="CB34">
        <v>0.3</v>
      </c>
      <c r="CC34">
        <v>0.3</v>
      </c>
      <c r="CD34">
        <v>0.3</v>
      </c>
    </row>
    <row r="35" spans="1:82" x14ac:dyDescent="0.25">
      <c r="A35">
        <v>14</v>
      </c>
      <c r="B35">
        <v>7</v>
      </c>
      <c r="C35" t="s">
        <v>97</v>
      </c>
      <c r="D35">
        <v>0.50800000000000001</v>
      </c>
      <c r="E35">
        <v>508</v>
      </c>
      <c r="F35">
        <v>1.1130000000000001E-2</v>
      </c>
      <c r="G35">
        <v>11.13</v>
      </c>
      <c r="H35">
        <v>45.642407906558844</v>
      </c>
      <c r="I35">
        <v>100</v>
      </c>
      <c r="J35" t="s">
        <v>41</v>
      </c>
      <c r="K35">
        <v>15</v>
      </c>
      <c r="L35">
        <v>20</v>
      </c>
      <c r="M35">
        <v>552000</v>
      </c>
      <c r="N35">
        <v>625000</v>
      </c>
      <c r="O35">
        <v>2.9888368774026359</v>
      </c>
      <c r="Q35" t="s">
        <v>35</v>
      </c>
      <c r="R35" t="s">
        <v>36</v>
      </c>
      <c r="S35">
        <v>17.5</v>
      </c>
      <c r="T35">
        <v>0</v>
      </c>
      <c r="U35">
        <v>37.5</v>
      </c>
      <c r="V35">
        <v>1.1000000000000001</v>
      </c>
      <c r="W35">
        <v>0.9</v>
      </c>
      <c r="X35">
        <v>0</v>
      </c>
      <c r="Y35">
        <v>65.832074055974104</v>
      </c>
      <c r="Z35">
        <v>0.75</v>
      </c>
      <c r="AA35">
        <v>1</v>
      </c>
      <c r="AB35">
        <v>1</v>
      </c>
      <c r="AC35">
        <v>0.22447000000000017</v>
      </c>
      <c r="AD35">
        <v>0.18822525017291764</v>
      </c>
      <c r="AE35">
        <v>-0.13522000000000001</v>
      </c>
      <c r="AF35">
        <v>9.8470000000000002E-2</v>
      </c>
      <c r="AG35">
        <v>-0.33428000000000002</v>
      </c>
      <c r="AH35">
        <v>-0.44736999999999993</v>
      </c>
      <c r="AI35">
        <v>-1.2699999999999999E-3</v>
      </c>
      <c r="AJ35">
        <v>1.3569999999999999E-2</v>
      </c>
      <c r="AL35">
        <v>-0.19215623985827801</v>
      </c>
      <c r="AM35">
        <v>0.98846999999999996</v>
      </c>
      <c r="AN35">
        <v>0.16693000000000002</v>
      </c>
      <c r="AO35">
        <v>2.7087500000000002</v>
      </c>
      <c r="AP35">
        <v>-7.0000000000000184E-5</v>
      </c>
      <c r="AQ35">
        <v>4.8459999999999996E-2</v>
      </c>
      <c r="AR35">
        <v>-0.66691999999999996</v>
      </c>
      <c r="AS35">
        <v>1.5999999999999999E-4</v>
      </c>
      <c r="AT35">
        <v>0.47357000000000005</v>
      </c>
      <c r="AU35">
        <v>-1.7159999999999998E-2</v>
      </c>
      <c r="AV35">
        <v>0.20737</v>
      </c>
      <c r="AW35">
        <v>-0.10232000000000002</v>
      </c>
      <c r="AX35">
        <v>1.2289999999999995E-2</v>
      </c>
      <c r="BJ35">
        <v>0</v>
      </c>
      <c r="BK35">
        <v>1</v>
      </c>
      <c r="BL35">
        <v>0</v>
      </c>
      <c r="BM35">
        <v>24.805187421061582</v>
      </c>
      <c r="BS35">
        <v>24.805187421061582</v>
      </c>
      <c r="BT35">
        <v>0</v>
      </c>
      <c r="BU35">
        <v>-0.74325381350195208</v>
      </c>
      <c r="BV35">
        <v>0.47556399875824051</v>
      </c>
      <c r="BW35">
        <v>1.0000000000000001E-5</v>
      </c>
      <c r="BX35">
        <v>0.47556399875824051</v>
      </c>
      <c r="BY35">
        <v>0.42471000000000003</v>
      </c>
      <c r="BZ35">
        <v>0.01</v>
      </c>
      <c r="CA35">
        <v>0.42471000000000003</v>
      </c>
      <c r="CB35">
        <v>0.3</v>
      </c>
      <c r="CC35">
        <v>0.3</v>
      </c>
      <c r="CD35">
        <v>0.3</v>
      </c>
    </row>
    <row r="36" spans="1:82" x14ac:dyDescent="0.25">
      <c r="A36">
        <v>15</v>
      </c>
      <c r="B36">
        <v>9</v>
      </c>
      <c r="C36" t="s">
        <v>97</v>
      </c>
      <c r="D36">
        <v>0.60960000000000003</v>
      </c>
      <c r="E36">
        <v>609.6</v>
      </c>
      <c r="F36">
        <v>9.5299999999999985E-3</v>
      </c>
      <c r="G36">
        <v>9.5299999999999994</v>
      </c>
      <c r="H36">
        <v>63.966421825813235</v>
      </c>
      <c r="I36">
        <v>15</v>
      </c>
      <c r="J36" t="s">
        <v>34</v>
      </c>
      <c r="K36">
        <v>8</v>
      </c>
      <c r="L36">
        <v>10</v>
      </c>
      <c r="M36">
        <v>359000</v>
      </c>
      <c r="N36">
        <v>455000</v>
      </c>
      <c r="O36">
        <v>1.9969902892117808</v>
      </c>
      <c r="Q36" t="s">
        <v>35</v>
      </c>
      <c r="R36" t="s">
        <v>38</v>
      </c>
      <c r="S36">
        <v>18</v>
      </c>
      <c r="T36">
        <v>0</v>
      </c>
      <c r="U36">
        <v>75</v>
      </c>
      <c r="V36">
        <v>0.72</v>
      </c>
      <c r="W36">
        <v>0.9</v>
      </c>
      <c r="X36">
        <v>0</v>
      </c>
      <c r="Y36">
        <v>103.41620360793024</v>
      </c>
      <c r="Z36">
        <v>0.75</v>
      </c>
      <c r="AA36">
        <v>0</v>
      </c>
      <c r="AB36">
        <v>1</v>
      </c>
      <c r="AC36">
        <v>0.11643000000000003</v>
      </c>
      <c r="AD36">
        <v>-0.1018074430633997</v>
      </c>
      <c r="AE36">
        <v>-0.10827999999999999</v>
      </c>
      <c r="AF36">
        <v>9.2450000000000004E-2</v>
      </c>
      <c r="AG36">
        <v>-0.29064000000000001</v>
      </c>
      <c r="AH36">
        <v>-0.39864999999999995</v>
      </c>
      <c r="AI36">
        <v>-1.2899999999999999E-3</v>
      </c>
      <c r="AJ36">
        <v>1.8129999999999993E-2</v>
      </c>
      <c r="AL36">
        <v>-0.24721189702307916</v>
      </c>
      <c r="AM36">
        <v>0.94499</v>
      </c>
      <c r="AN36">
        <v>0.17099</v>
      </c>
      <c r="AO36">
        <v>2.65273</v>
      </c>
      <c r="AP36">
        <v>-2.6999999999999984E-4</v>
      </c>
      <c r="AQ36">
        <v>4.6179999999999999E-2</v>
      </c>
      <c r="AR36">
        <v>-0.63819999999999999</v>
      </c>
      <c r="AS36">
        <v>1.9999999999999998E-4</v>
      </c>
      <c r="AT36">
        <v>0.50009000000000015</v>
      </c>
      <c r="AU36">
        <v>-1.5939999999999999E-2</v>
      </c>
      <c r="AV36">
        <v>0.19280999999999998</v>
      </c>
      <c r="AW36">
        <v>-7.2720000000000062E-2</v>
      </c>
      <c r="AX36">
        <v>1.7729999999999996E-2</v>
      </c>
      <c r="BJ36">
        <v>0</v>
      </c>
      <c r="BK36">
        <v>1</v>
      </c>
      <c r="BL36">
        <v>1</v>
      </c>
      <c r="BM36">
        <v>59.10145817348517</v>
      </c>
      <c r="BS36">
        <v>59.10145817348517</v>
      </c>
      <c r="BT36">
        <v>0</v>
      </c>
      <c r="BU36">
        <v>-0.73581869692911095</v>
      </c>
      <c r="BV36">
        <v>0.47911304998207627</v>
      </c>
      <c r="BW36">
        <v>1.0000000000000001E-5</v>
      </c>
      <c r="BX36">
        <v>0.47911304998207627</v>
      </c>
      <c r="BY36">
        <v>0.43074999999999997</v>
      </c>
      <c r="BZ36">
        <v>0.01</v>
      </c>
      <c r="CA36">
        <v>0.43074999999999997</v>
      </c>
      <c r="CB36">
        <v>0.3</v>
      </c>
      <c r="CC36">
        <v>0.3</v>
      </c>
      <c r="CD36">
        <v>0.3</v>
      </c>
    </row>
    <row r="37" spans="1:82" x14ac:dyDescent="0.25">
      <c r="A37">
        <v>16</v>
      </c>
      <c r="B37">
        <v>34</v>
      </c>
      <c r="C37" t="s">
        <v>97</v>
      </c>
      <c r="D37">
        <v>0.76200000000000001</v>
      </c>
      <c r="E37">
        <v>762</v>
      </c>
      <c r="F37">
        <v>1.2699999999999999E-2</v>
      </c>
      <c r="G37">
        <v>12.7</v>
      </c>
      <c r="H37">
        <v>60</v>
      </c>
      <c r="I37">
        <v>30</v>
      </c>
      <c r="J37" t="s">
        <v>37</v>
      </c>
      <c r="K37">
        <v>8</v>
      </c>
      <c r="L37">
        <v>12</v>
      </c>
      <c r="M37">
        <v>414000</v>
      </c>
      <c r="N37">
        <v>517000</v>
      </c>
      <c r="O37">
        <v>2.5466769467238102</v>
      </c>
      <c r="Q37" t="s">
        <v>35</v>
      </c>
      <c r="R37" t="s">
        <v>38</v>
      </c>
      <c r="S37">
        <v>18</v>
      </c>
      <c r="T37">
        <v>0</v>
      </c>
      <c r="U37">
        <v>75</v>
      </c>
      <c r="V37">
        <v>0.72</v>
      </c>
      <c r="W37">
        <v>0.9</v>
      </c>
      <c r="X37">
        <v>0</v>
      </c>
      <c r="Y37">
        <v>129.2702545099128</v>
      </c>
      <c r="Z37">
        <v>1.5</v>
      </c>
      <c r="AA37">
        <v>0</v>
      </c>
      <c r="AB37">
        <v>1</v>
      </c>
      <c r="AC37">
        <v>-1.23407</v>
      </c>
      <c r="AD37">
        <v>0.33045059496458912</v>
      </c>
      <c r="AE37">
        <v>0.22846999999999998</v>
      </c>
      <c r="AF37">
        <v>1.72E-2</v>
      </c>
      <c r="AG37">
        <v>0.25485999999999998</v>
      </c>
      <c r="AH37">
        <v>0.21035000000000004</v>
      </c>
      <c r="AI37">
        <v>-1.5399999999999999E-3</v>
      </c>
      <c r="AJ37">
        <v>7.5130000000000002E-2</v>
      </c>
      <c r="AL37">
        <v>-0.14809673694969461</v>
      </c>
      <c r="AM37">
        <v>0.40149000000000001</v>
      </c>
      <c r="AN37">
        <v>0.22173999999999999</v>
      </c>
      <c r="AO37">
        <v>1.95248</v>
      </c>
      <c r="AP37">
        <v>-2.7699999999999999E-3</v>
      </c>
      <c r="AQ37">
        <v>1.7679999999999998E-2</v>
      </c>
      <c r="AR37">
        <v>-0.2792</v>
      </c>
      <c r="AS37">
        <v>6.9999999999999999E-4</v>
      </c>
      <c r="AT37">
        <v>0.83159000000000005</v>
      </c>
      <c r="AU37">
        <v>-6.8999999999999964E-4</v>
      </c>
      <c r="AV37">
        <v>1.081E-2</v>
      </c>
      <c r="AW37">
        <v>0.29727999999999999</v>
      </c>
      <c r="AX37">
        <v>8.5730000000000001E-2</v>
      </c>
      <c r="BJ37">
        <v>0</v>
      </c>
      <c r="BK37">
        <v>0</v>
      </c>
      <c r="BL37">
        <v>1</v>
      </c>
      <c r="BM37">
        <v>-0.13675050892386795</v>
      </c>
      <c r="BS37">
        <v>0</v>
      </c>
      <c r="BT37">
        <v>-0.13675050892386795</v>
      </c>
      <c r="BU37">
        <v>1.233670099194631</v>
      </c>
      <c r="BV37">
        <v>3.4338088576140939</v>
      </c>
      <c r="BW37">
        <v>1.0000000000000001E-5</v>
      </c>
      <c r="BX37">
        <v>3.4338088576140939</v>
      </c>
      <c r="BY37">
        <v>0.50624999999999998</v>
      </c>
      <c r="BZ37">
        <v>0.01</v>
      </c>
      <c r="CA37">
        <v>0.50624999999999998</v>
      </c>
      <c r="CB37">
        <v>0.3</v>
      </c>
      <c r="CC37">
        <v>0.3</v>
      </c>
      <c r="CD37">
        <v>0.3</v>
      </c>
    </row>
    <row r="38" spans="1:82" x14ac:dyDescent="0.25">
      <c r="A38">
        <v>17</v>
      </c>
      <c r="B38">
        <v>30</v>
      </c>
      <c r="C38" t="s">
        <v>97</v>
      </c>
      <c r="D38">
        <v>0.86360000000000003</v>
      </c>
      <c r="E38">
        <v>863.6</v>
      </c>
      <c r="F38">
        <v>1.1130000000000001E-2</v>
      </c>
      <c r="G38">
        <v>11.13</v>
      </c>
      <c r="H38">
        <v>77.592093441150041</v>
      </c>
      <c r="I38">
        <v>50</v>
      </c>
      <c r="J38" t="s">
        <v>39</v>
      </c>
      <c r="K38">
        <v>14</v>
      </c>
      <c r="L38">
        <v>15</v>
      </c>
      <c r="M38">
        <v>483000</v>
      </c>
      <c r="N38">
        <v>565000</v>
      </c>
      <c r="O38">
        <v>2.8799444073326219</v>
      </c>
      <c r="Q38" t="s">
        <v>35</v>
      </c>
      <c r="R38" t="s">
        <v>38</v>
      </c>
      <c r="S38">
        <v>18</v>
      </c>
      <c r="T38">
        <v>0</v>
      </c>
      <c r="U38">
        <v>75</v>
      </c>
      <c r="V38">
        <v>0.72</v>
      </c>
      <c r="W38">
        <v>0.9</v>
      </c>
      <c r="X38">
        <v>0</v>
      </c>
      <c r="Y38">
        <v>146.50628844456784</v>
      </c>
      <c r="Z38">
        <v>1.5</v>
      </c>
      <c r="AA38">
        <v>0</v>
      </c>
      <c r="AB38">
        <v>1</v>
      </c>
      <c r="AC38">
        <v>-1.01799</v>
      </c>
      <c r="AD38">
        <v>0.26090941251699395</v>
      </c>
      <c r="AE38">
        <v>0.17459</v>
      </c>
      <c r="AF38">
        <v>2.9240000000000002E-2</v>
      </c>
      <c r="AG38">
        <v>0.16758000000000001</v>
      </c>
      <c r="AH38">
        <v>0.11291000000000001</v>
      </c>
      <c r="AI38">
        <v>-1.5E-3</v>
      </c>
      <c r="AJ38">
        <v>6.6009999999999985E-2</v>
      </c>
      <c r="AL38">
        <v>-5.900749565548391E-2</v>
      </c>
      <c r="AM38">
        <v>0.48845</v>
      </c>
      <c r="AN38">
        <v>0.21362</v>
      </c>
      <c r="AO38">
        <v>2.0645199999999999</v>
      </c>
      <c r="AP38">
        <v>-2.3700000000000001E-3</v>
      </c>
      <c r="AQ38">
        <v>2.2239999999999999E-2</v>
      </c>
      <c r="AR38">
        <v>-0.33663999999999999</v>
      </c>
      <c r="AS38">
        <v>6.2E-4</v>
      </c>
      <c r="AT38">
        <v>0.77855000000000008</v>
      </c>
      <c r="AU38">
        <v>-3.13E-3</v>
      </c>
      <c r="AV38">
        <v>3.9930000000000007E-2</v>
      </c>
      <c r="AW38">
        <v>0.23807999999999999</v>
      </c>
      <c r="AX38">
        <v>7.485E-2</v>
      </c>
      <c r="BJ38">
        <v>0</v>
      </c>
      <c r="BK38">
        <v>0</v>
      </c>
      <c r="BL38">
        <v>0</v>
      </c>
      <c r="BM38">
        <v>0.31412415867276039</v>
      </c>
      <c r="BS38">
        <v>0</v>
      </c>
      <c r="BT38">
        <v>0.31412415867276039</v>
      </c>
      <c r="BU38">
        <v>1.5639121331187127</v>
      </c>
      <c r="BV38">
        <v>4.7774748512413208</v>
      </c>
      <c r="BW38">
        <v>1.0000000000000001E-5</v>
      </c>
      <c r="BX38">
        <v>4.7774748512413208</v>
      </c>
      <c r="BY38">
        <v>0.49417</v>
      </c>
      <c r="BZ38">
        <v>0.01</v>
      </c>
      <c r="CA38">
        <v>0.49417</v>
      </c>
      <c r="CB38">
        <v>0.3</v>
      </c>
      <c r="CC38">
        <v>0.3</v>
      </c>
      <c r="CD38">
        <v>0.3</v>
      </c>
    </row>
    <row r="39" spans="1:82" x14ac:dyDescent="0.25">
      <c r="A39">
        <v>18</v>
      </c>
      <c r="B39">
        <v>28</v>
      </c>
      <c r="C39" t="s">
        <v>97</v>
      </c>
      <c r="D39">
        <v>1.0668</v>
      </c>
      <c r="E39">
        <v>1066.8</v>
      </c>
      <c r="F39">
        <v>1.2699999999999999E-2</v>
      </c>
      <c r="G39">
        <v>12.7</v>
      </c>
      <c r="H39">
        <v>84</v>
      </c>
      <c r="I39">
        <v>100</v>
      </c>
      <c r="J39" t="s">
        <v>41</v>
      </c>
      <c r="K39">
        <v>15</v>
      </c>
      <c r="L39">
        <v>20</v>
      </c>
      <c r="M39">
        <v>552000</v>
      </c>
      <c r="N39">
        <v>625000</v>
      </c>
      <c r="O39">
        <v>2.9888368774026359</v>
      </c>
      <c r="Q39" t="s">
        <v>35</v>
      </c>
      <c r="R39" t="s">
        <v>40</v>
      </c>
      <c r="S39">
        <v>18.5</v>
      </c>
      <c r="T39">
        <v>0</v>
      </c>
      <c r="U39">
        <v>125</v>
      </c>
      <c r="V39">
        <v>0.4</v>
      </c>
      <c r="W39">
        <v>0.9</v>
      </c>
      <c r="X39">
        <v>0</v>
      </c>
      <c r="Y39">
        <v>167.57255214247957</v>
      </c>
      <c r="Z39">
        <v>1.5</v>
      </c>
      <c r="AA39">
        <v>0</v>
      </c>
      <c r="AB39">
        <v>1</v>
      </c>
      <c r="AC39">
        <v>-0.90995000000000004</v>
      </c>
      <c r="AD39">
        <v>0.25024830075794013</v>
      </c>
      <c r="AE39">
        <v>0.14764999999999998</v>
      </c>
      <c r="AF39">
        <v>3.526E-2</v>
      </c>
      <c r="AG39">
        <v>0.12393999999999999</v>
      </c>
      <c r="AH39">
        <v>6.4190000000000025E-2</v>
      </c>
      <c r="AI39">
        <v>-1.48E-3</v>
      </c>
      <c r="AJ39">
        <v>6.1449999999999998E-2</v>
      </c>
      <c r="AL39">
        <v>4.3996315441468314E-2</v>
      </c>
      <c r="AM39">
        <v>0.53193000000000001</v>
      </c>
      <c r="AN39">
        <v>0.20956000000000002</v>
      </c>
      <c r="AO39">
        <v>2.1205400000000001</v>
      </c>
      <c r="AP39">
        <v>-2.1700000000000001E-3</v>
      </c>
      <c r="AQ39">
        <v>2.4519999999999997E-2</v>
      </c>
      <c r="AR39">
        <v>-0.36536000000000002</v>
      </c>
      <c r="AS39">
        <v>5.8E-4</v>
      </c>
      <c r="AT39">
        <v>0.75203000000000009</v>
      </c>
      <c r="AU39">
        <v>-4.3499999999999988E-3</v>
      </c>
      <c r="AV39">
        <v>5.4489999999999997E-2</v>
      </c>
      <c r="AW39">
        <v>0.20848</v>
      </c>
      <c r="AX39">
        <v>6.9409999999999999E-2</v>
      </c>
      <c r="BJ39">
        <v>0</v>
      </c>
      <c r="BK39">
        <v>0</v>
      </c>
      <c r="BL39">
        <v>0</v>
      </c>
      <c r="BM39">
        <v>0.28012591978410695</v>
      </c>
      <c r="BS39">
        <v>0</v>
      </c>
      <c r="BT39">
        <v>0.28012591978410695</v>
      </c>
      <c r="BU39">
        <v>1.5617087463846138</v>
      </c>
      <c r="BV39">
        <v>4.7669598151312735</v>
      </c>
      <c r="BW39">
        <v>1.0000000000000001E-5</v>
      </c>
      <c r="BX39">
        <v>4.7669598151312735</v>
      </c>
      <c r="BY39">
        <v>0.48813000000000001</v>
      </c>
      <c r="BZ39">
        <v>0.01</v>
      </c>
      <c r="CA39">
        <v>0.48813000000000001</v>
      </c>
      <c r="CB39">
        <v>0.3</v>
      </c>
      <c r="CC39">
        <v>0.3</v>
      </c>
      <c r="CD39">
        <v>0.3</v>
      </c>
    </row>
    <row r="40" spans="1:82" x14ac:dyDescent="0.25">
      <c r="A40">
        <v>19</v>
      </c>
      <c r="B40">
        <v>33</v>
      </c>
      <c r="C40" t="s">
        <v>97</v>
      </c>
      <c r="D40">
        <v>0.60960000000000003</v>
      </c>
      <c r="E40">
        <v>609.6</v>
      </c>
      <c r="F40">
        <v>1.1130000000000001E-2</v>
      </c>
      <c r="G40">
        <v>11.13</v>
      </c>
      <c r="H40">
        <v>54.770889487870619</v>
      </c>
      <c r="I40">
        <v>150</v>
      </c>
      <c r="J40" t="s">
        <v>64</v>
      </c>
      <c r="K40">
        <v>3</v>
      </c>
      <c r="L40">
        <v>9</v>
      </c>
      <c r="M40">
        <v>290000</v>
      </c>
      <c r="N40">
        <v>414000</v>
      </c>
      <c r="O40">
        <v>1.7363704307629526</v>
      </c>
      <c r="Q40" t="s">
        <v>35</v>
      </c>
      <c r="R40" t="s">
        <v>40</v>
      </c>
      <c r="S40">
        <v>18.5</v>
      </c>
      <c r="T40">
        <v>0</v>
      </c>
      <c r="U40">
        <v>125</v>
      </c>
      <c r="V40">
        <v>0.4</v>
      </c>
      <c r="W40">
        <v>0.9</v>
      </c>
      <c r="X40">
        <v>0</v>
      </c>
      <c r="Y40">
        <v>95.755744081416907</v>
      </c>
      <c r="Z40">
        <v>7.5</v>
      </c>
      <c r="AA40">
        <v>0</v>
      </c>
      <c r="AB40">
        <v>1</v>
      </c>
      <c r="AC40">
        <v>-1.18005</v>
      </c>
      <c r="AD40">
        <v>0.35645547837724323</v>
      </c>
      <c r="AE40">
        <v>0.21499999999999997</v>
      </c>
      <c r="AF40">
        <v>2.0209999999999999E-2</v>
      </c>
      <c r="AG40">
        <v>0.23304000000000002</v>
      </c>
      <c r="AH40">
        <v>0.18598999999999999</v>
      </c>
      <c r="AI40">
        <v>-1.5299999999999999E-3</v>
      </c>
      <c r="AJ40">
        <v>7.2849999999999998E-2</v>
      </c>
      <c r="AL40">
        <v>9.3927643011048279E-2</v>
      </c>
      <c r="AM40">
        <v>0.42323</v>
      </c>
      <c r="AN40">
        <v>0.21971000000000002</v>
      </c>
      <c r="AO40">
        <v>1.9804900000000001</v>
      </c>
      <c r="AP40">
        <v>-2.6700000000000001E-3</v>
      </c>
      <c r="AQ40">
        <v>1.882E-2</v>
      </c>
      <c r="AR40">
        <v>-0.29355999999999999</v>
      </c>
      <c r="AS40">
        <v>6.8000000000000005E-4</v>
      </c>
      <c r="AT40">
        <v>0.81833</v>
      </c>
      <c r="AU40">
        <v>-1.2999999999999999E-3</v>
      </c>
      <c r="AV40">
        <v>1.8089999999999995E-2</v>
      </c>
      <c r="AW40">
        <v>0.28247999999999995</v>
      </c>
      <c r="AX40">
        <v>8.301E-2</v>
      </c>
      <c r="BJ40">
        <v>0</v>
      </c>
      <c r="BK40">
        <v>0</v>
      </c>
      <c r="BL40">
        <v>0</v>
      </c>
      <c r="BM40">
        <v>0.32698466691561862</v>
      </c>
      <c r="BS40">
        <v>0</v>
      </c>
      <c r="BT40">
        <v>0.32698466691561862</v>
      </c>
      <c r="BU40">
        <v>1.9308935225105111</v>
      </c>
      <c r="BV40">
        <v>6.8956689251199821</v>
      </c>
      <c r="BW40">
        <v>1.0000000000000001E-5</v>
      </c>
      <c r="BX40">
        <v>6.8956689251199821</v>
      </c>
      <c r="BY40">
        <v>0.50322999999999996</v>
      </c>
      <c r="BZ40">
        <v>0.01</v>
      </c>
      <c r="CA40">
        <v>0.50322999999999996</v>
      </c>
      <c r="CB40">
        <v>0.3</v>
      </c>
      <c r="CC40">
        <v>0.3</v>
      </c>
      <c r="CD40">
        <v>0.3</v>
      </c>
    </row>
    <row r="41" spans="1:82" x14ac:dyDescent="0.25">
      <c r="A41">
        <v>20</v>
      </c>
      <c r="B41">
        <v>56</v>
      </c>
      <c r="C41" t="s">
        <v>97</v>
      </c>
      <c r="D41">
        <v>0.60960000000000003</v>
      </c>
      <c r="E41">
        <v>609.6</v>
      </c>
      <c r="F41">
        <v>1.1130000000000001E-2</v>
      </c>
      <c r="G41">
        <v>11.13</v>
      </c>
      <c r="H41">
        <v>54.770889487870619</v>
      </c>
      <c r="I41">
        <v>200</v>
      </c>
      <c r="J41" t="s">
        <v>65</v>
      </c>
      <c r="K41">
        <v>3</v>
      </c>
      <c r="L41">
        <v>8</v>
      </c>
      <c r="M41">
        <v>241000</v>
      </c>
      <c r="N41">
        <v>344000</v>
      </c>
      <c r="O41">
        <v>1.1599577949833839</v>
      </c>
      <c r="Q41" t="s">
        <v>35</v>
      </c>
      <c r="R41" t="s">
        <v>40</v>
      </c>
      <c r="S41">
        <v>18.5</v>
      </c>
      <c r="T41">
        <v>0</v>
      </c>
      <c r="U41">
        <v>125</v>
      </c>
      <c r="V41">
        <v>0.4</v>
      </c>
      <c r="W41">
        <v>0.9</v>
      </c>
      <c r="X41">
        <v>0</v>
      </c>
      <c r="Y41">
        <v>95.755744081416907</v>
      </c>
      <c r="Z41">
        <v>3.5</v>
      </c>
      <c r="AA41">
        <v>0</v>
      </c>
      <c r="AB41">
        <v>1</v>
      </c>
      <c r="AC41">
        <v>-1.7474400000000001</v>
      </c>
      <c r="AD41">
        <v>-0.1037110168730242</v>
      </c>
      <c r="AE41">
        <v>0.42990999999999996</v>
      </c>
      <c r="AF41">
        <v>-0.25641000000000003</v>
      </c>
      <c r="AG41">
        <v>1.1132600000000001</v>
      </c>
      <c r="AH41">
        <v>1.18563</v>
      </c>
      <c r="AI41">
        <v>-1.5299999999999999E-3</v>
      </c>
      <c r="AJ41">
        <v>0.11622000000000002</v>
      </c>
      <c r="AL41">
        <v>0.51497060284998142</v>
      </c>
      <c r="AM41">
        <v>-0.14435000000000009</v>
      </c>
      <c r="AN41">
        <v>0.28390000000000004</v>
      </c>
      <c r="AO41">
        <v>1.73184</v>
      </c>
      <c r="AP41">
        <v>-4.1799999999999997E-3</v>
      </c>
      <c r="AQ41">
        <v>1.132E-2</v>
      </c>
      <c r="AR41">
        <v>-0.21403</v>
      </c>
      <c r="AS41">
        <v>1.1800000000000001E-3</v>
      </c>
      <c r="AT41">
        <v>0.88968999999999998</v>
      </c>
      <c r="AU41">
        <v>-2.8699999999999993E-3</v>
      </c>
      <c r="AV41">
        <v>-1.1699999999999988E-2</v>
      </c>
      <c r="AW41">
        <v>0.35848999999999998</v>
      </c>
      <c r="AX41">
        <v>0.12916</v>
      </c>
      <c r="BJ41">
        <v>0</v>
      </c>
      <c r="BK41">
        <v>0</v>
      </c>
      <c r="BL41">
        <v>0</v>
      </c>
      <c r="BM41">
        <v>0.37478522846528672</v>
      </c>
      <c r="BS41">
        <v>0</v>
      </c>
      <c r="BT41">
        <v>0.37478522846528672</v>
      </c>
      <c r="BU41">
        <v>1.2686604747345773</v>
      </c>
      <c r="BV41">
        <v>3.5560859036244468</v>
      </c>
      <c r="BW41">
        <v>1.0000000000000001E-5</v>
      </c>
      <c r="BX41">
        <v>3.5560859036244468</v>
      </c>
      <c r="BY41">
        <v>0.58664000000000005</v>
      </c>
      <c r="BZ41">
        <v>0.01</v>
      </c>
      <c r="CA41">
        <v>0.58664000000000005</v>
      </c>
      <c r="CB41">
        <v>0.3</v>
      </c>
      <c r="CC41">
        <v>0.3</v>
      </c>
      <c r="CD41">
        <v>0.3</v>
      </c>
    </row>
    <row r="42" spans="1:82" x14ac:dyDescent="0.25">
      <c r="A42">
        <v>21</v>
      </c>
      <c r="B42">
        <v>87</v>
      </c>
      <c r="C42" t="s">
        <v>97</v>
      </c>
      <c r="D42">
        <v>0.20319999999999999</v>
      </c>
      <c r="E42">
        <v>203.2</v>
      </c>
      <c r="F42">
        <v>5.5599999999999998E-3</v>
      </c>
      <c r="G42">
        <v>5.56</v>
      </c>
      <c r="H42">
        <v>36.546762589928058</v>
      </c>
      <c r="I42">
        <v>15</v>
      </c>
      <c r="J42" t="s">
        <v>34</v>
      </c>
      <c r="K42">
        <v>8</v>
      </c>
      <c r="L42">
        <v>10</v>
      </c>
      <c r="M42">
        <v>359000</v>
      </c>
      <c r="N42">
        <v>455000</v>
      </c>
      <c r="O42">
        <v>1.9969902892117808</v>
      </c>
      <c r="Q42" t="s">
        <v>42</v>
      </c>
      <c r="R42" t="s">
        <v>43</v>
      </c>
      <c r="S42">
        <v>18</v>
      </c>
      <c r="T42">
        <v>37</v>
      </c>
      <c r="U42">
        <v>0</v>
      </c>
      <c r="V42">
        <v>0</v>
      </c>
      <c r="W42">
        <v>0.9</v>
      </c>
      <c r="X42">
        <v>1</v>
      </c>
      <c r="Y42">
        <v>7.5479720641402661</v>
      </c>
      <c r="Z42">
        <v>0.75</v>
      </c>
      <c r="AD42">
        <v>8.2856107139974745E-3</v>
      </c>
      <c r="AK42">
        <v>1.5646389426880153E-2</v>
      </c>
      <c r="AL42">
        <v>1.0156463894268801</v>
      </c>
      <c r="AM42">
        <v>-2.307229</v>
      </c>
      <c r="AN42">
        <v>0.5852366</v>
      </c>
      <c r="AO42">
        <v>0.201322</v>
      </c>
      <c r="AY42">
        <v>1.4274935</v>
      </c>
      <c r="AZ42">
        <v>-7.1050000000000002E-3</v>
      </c>
      <c r="BA42">
        <v>5.1415999999999996E-3</v>
      </c>
      <c r="BB42">
        <v>-1.4290590000000001</v>
      </c>
      <c r="BC42">
        <v>4.9200300000000002E-2</v>
      </c>
      <c r="BD42">
        <v>0.14513599999999999</v>
      </c>
      <c r="BE42">
        <v>2.0170299999999999E-2</v>
      </c>
      <c r="BF42">
        <v>-1.032025</v>
      </c>
      <c r="BH42">
        <v>1</v>
      </c>
      <c r="BI42">
        <v>0</v>
      </c>
      <c r="BJ42">
        <v>1</v>
      </c>
      <c r="BM42">
        <v>-0.47373050310383741</v>
      </c>
      <c r="BS42">
        <v>-0.47373050310383741</v>
      </c>
      <c r="BT42">
        <v>0</v>
      </c>
      <c r="BU42">
        <v>-0.14957085894174343</v>
      </c>
      <c r="BV42">
        <v>0.86107742082312089</v>
      </c>
      <c r="BW42">
        <v>1.0000000000000001E-5</v>
      </c>
      <c r="BX42">
        <v>0.86107742082312089</v>
      </c>
      <c r="BY42">
        <v>0.72299999999999998</v>
      </c>
      <c r="BZ42">
        <v>0.01</v>
      </c>
      <c r="CA42">
        <v>0.72299999999999998</v>
      </c>
      <c r="CB42">
        <v>0.3</v>
      </c>
      <c r="CC42">
        <v>0.3</v>
      </c>
      <c r="CD42">
        <v>0.3</v>
      </c>
    </row>
    <row r="43" spans="1:82" x14ac:dyDescent="0.25">
      <c r="A43">
        <v>22</v>
      </c>
      <c r="B43">
        <v>86</v>
      </c>
      <c r="C43" t="s">
        <v>97</v>
      </c>
      <c r="D43">
        <v>0.30480000000000002</v>
      </c>
      <c r="E43">
        <v>304.8</v>
      </c>
      <c r="F43">
        <v>7.1399999999999996E-3</v>
      </c>
      <c r="G43">
        <v>7.14</v>
      </c>
      <c r="H43">
        <v>42.689075630252105</v>
      </c>
      <c r="I43">
        <v>30</v>
      </c>
      <c r="J43" t="s">
        <v>37</v>
      </c>
      <c r="K43">
        <v>8</v>
      </c>
      <c r="L43">
        <v>12</v>
      </c>
      <c r="M43">
        <v>414000</v>
      </c>
      <c r="N43">
        <v>517000</v>
      </c>
      <c r="O43">
        <v>2.5466769467238102</v>
      </c>
      <c r="Q43" t="s">
        <v>42</v>
      </c>
      <c r="R43" t="s">
        <v>43</v>
      </c>
      <c r="S43">
        <v>18</v>
      </c>
      <c r="T43">
        <v>37</v>
      </c>
      <c r="U43">
        <v>0</v>
      </c>
      <c r="V43">
        <v>0</v>
      </c>
      <c r="W43">
        <v>0.9</v>
      </c>
      <c r="X43">
        <v>2</v>
      </c>
      <c r="Y43">
        <v>22.6439161924208</v>
      </c>
      <c r="Z43">
        <v>0.75</v>
      </c>
      <c r="AD43">
        <v>2.1276810678546657E-2</v>
      </c>
      <c r="AK43">
        <v>0.10176623528675607</v>
      </c>
      <c r="AL43">
        <v>1.1017662352867561</v>
      </c>
      <c r="AM43">
        <v>-2.307229</v>
      </c>
      <c r="AN43">
        <v>0.5852366</v>
      </c>
      <c r="AO43">
        <v>0.201322</v>
      </c>
      <c r="AY43">
        <v>1.4274935</v>
      </c>
      <c r="AZ43">
        <v>-7.1050000000000002E-3</v>
      </c>
      <c r="BA43">
        <v>5.1415999999999996E-3</v>
      </c>
      <c r="BB43">
        <v>-1.4290590000000001</v>
      </c>
      <c r="BC43">
        <v>4.9200300000000002E-2</v>
      </c>
      <c r="BD43">
        <v>0.14513599999999999</v>
      </c>
      <c r="BE43">
        <v>2.0170299999999999E-2</v>
      </c>
      <c r="BF43">
        <v>-1.032025</v>
      </c>
      <c r="BH43">
        <v>1</v>
      </c>
      <c r="BI43">
        <v>0</v>
      </c>
      <c r="BJ43">
        <v>1</v>
      </c>
      <c r="BM43">
        <v>-0.57875859530607965</v>
      </c>
      <c r="BS43">
        <v>-0.57875859530607965</v>
      </c>
      <c r="BT43">
        <v>0</v>
      </c>
      <c r="BU43">
        <v>8.374965841113402E-2</v>
      </c>
      <c r="BV43">
        <v>1.0873566491419566</v>
      </c>
      <c r="BW43">
        <v>1.0000000000000001E-5</v>
      </c>
      <c r="BX43">
        <v>1.0873566491419566</v>
      </c>
      <c r="BY43">
        <v>0.72299999999999998</v>
      </c>
      <c r="BZ43">
        <v>0.01</v>
      </c>
      <c r="CA43">
        <v>0.72299999999999998</v>
      </c>
      <c r="CB43">
        <v>0.3</v>
      </c>
      <c r="CC43">
        <v>0.3</v>
      </c>
      <c r="CD43">
        <v>0.3</v>
      </c>
    </row>
    <row r="44" spans="1:82" x14ac:dyDescent="0.25">
      <c r="A44">
        <v>23</v>
      </c>
      <c r="B44">
        <v>85</v>
      </c>
      <c r="C44" t="s">
        <v>97</v>
      </c>
      <c r="D44">
        <v>0.40639999999999998</v>
      </c>
      <c r="E44">
        <v>406.4</v>
      </c>
      <c r="F44">
        <v>9.5299999999999985E-3</v>
      </c>
      <c r="G44">
        <v>9.5299999999999994</v>
      </c>
      <c r="H44">
        <v>42.644281217208821</v>
      </c>
      <c r="I44">
        <v>50</v>
      </c>
      <c r="J44" t="s">
        <v>39</v>
      </c>
      <c r="K44">
        <v>14</v>
      </c>
      <c r="L44">
        <v>15</v>
      </c>
      <c r="M44">
        <v>483000</v>
      </c>
      <c r="N44">
        <v>565000</v>
      </c>
      <c r="O44">
        <v>2.8799444073326219</v>
      </c>
      <c r="Q44" t="s">
        <v>42</v>
      </c>
      <c r="R44" t="s">
        <v>43</v>
      </c>
      <c r="S44">
        <v>18</v>
      </c>
      <c r="T44">
        <v>37</v>
      </c>
      <c r="U44">
        <v>0</v>
      </c>
      <c r="V44">
        <v>0</v>
      </c>
      <c r="W44">
        <v>0.9</v>
      </c>
      <c r="X44">
        <v>1</v>
      </c>
      <c r="Y44">
        <v>15.095944128280532</v>
      </c>
      <c r="Z44">
        <v>0.75</v>
      </c>
      <c r="AD44">
        <v>1.5549115655496644E-2</v>
      </c>
      <c r="AK44">
        <v>0.10682672704917365</v>
      </c>
      <c r="AL44">
        <v>1.1068267270491736</v>
      </c>
      <c r="AM44">
        <v>-2.307229</v>
      </c>
      <c r="AN44">
        <v>0.5852366</v>
      </c>
      <c r="AO44">
        <v>0.201322</v>
      </c>
      <c r="AY44">
        <v>1.4274935</v>
      </c>
      <c r="AZ44">
        <v>-7.1050000000000002E-3</v>
      </c>
      <c r="BA44">
        <v>5.1415999999999996E-3</v>
      </c>
      <c r="BB44">
        <v>-1.4290590000000001</v>
      </c>
      <c r="BC44">
        <v>4.9200300000000002E-2</v>
      </c>
      <c r="BD44">
        <v>0.14513599999999999</v>
      </c>
      <c r="BE44">
        <v>2.0170299999999999E-2</v>
      </c>
      <c r="BF44">
        <v>-1.032025</v>
      </c>
      <c r="BH44">
        <v>1</v>
      </c>
      <c r="BI44">
        <v>0</v>
      </c>
      <c r="BJ44">
        <v>1</v>
      </c>
      <c r="BM44">
        <v>-0.60734497651924468</v>
      </c>
      <c r="BS44">
        <v>-0.60734497651924468</v>
      </c>
      <c r="BT44">
        <v>0</v>
      </c>
      <c r="BU44">
        <v>-1.9933595677024019E-2</v>
      </c>
      <c r="BV44">
        <v>0.9802637648971958</v>
      </c>
      <c r="BW44">
        <v>1.0000000000000001E-5</v>
      </c>
      <c r="BX44">
        <v>0.9802637648971958</v>
      </c>
      <c r="BY44">
        <v>0.72299999999999998</v>
      </c>
      <c r="BZ44">
        <v>0.01</v>
      </c>
      <c r="CA44">
        <v>0.72299999999999998</v>
      </c>
      <c r="CB44">
        <v>0.3</v>
      </c>
      <c r="CC44">
        <v>0.3</v>
      </c>
      <c r="CD44">
        <v>0.3</v>
      </c>
    </row>
    <row r="45" spans="1:82" x14ac:dyDescent="0.25">
      <c r="A45">
        <v>24</v>
      </c>
      <c r="B45">
        <v>87</v>
      </c>
      <c r="C45" t="s">
        <v>97</v>
      </c>
      <c r="D45">
        <v>0.50800000000000001</v>
      </c>
      <c r="E45">
        <v>508</v>
      </c>
      <c r="F45">
        <v>1.1130000000000001E-2</v>
      </c>
      <c r="G45">
        <v>11.13</v>
      </c>
      <c r="H45">
        <v>45.642407906558844</v>
      </c>
      <c r="I45">
        <v>100</v>
      </c>
      <c r="J45" t="s">
        <v>41</v>
      </c>
      <c r="K45">
        <v>15</v>
      </c>
      <c r="L45">
        <v>20</v>
      </c>
      <c r="M45">
        <v>552000</v>
      </c>
      <c r="N45">
        <v>625000</v>
      </c>
      <c r="O45">
        <v>2.9888368774026359</v>
      </c>
      <c r="Q45" t="s">
        <v>42</v>
      </c>
      <c r="R45" t="s">
        <v>43</v>
      </c>
      <c r="S45">
        <v>18</v>
      </c>
      <c r="T45">
        <v>37</v>
      </c>
      <c r="U45">
        <v>0</v>
      </c>
      <c r="V45">
        <v>0</v>
      </c>
      <c r="W45">
        <v>0.9</v>
      </c>
      <c r="X45">
        <v>2</v>
      </c>
      <c r="Y45">
        <v>37.739860320701332</v>
      </c>
      <c r="Z45">
        <v>0.75</v>
      </c>
      <c r="AD45">
        <v>3.4007223585342139E-2</v>
      </c>
      <c r="AK45">
        <v>0.21447307251904243</v>
      </c>
      <c r="AL45">
        <v>1.7144730725190425</v>
      </c>
      <c r="AM45">
        <v>-2.307229</v>
      </c>
      <c r="AN45">
        <v>0.5852366</v>
      </c>
      <c r="AO45">
        <v>0.201322</v>
      </c>
      <c r="AY45">
        <v>1.4274935</v>
      </c>
      <c r="AZ45">
        <v>-7.1050000000000002E-3</v>
      </c>
      <c r="BA45">
        <v>5.1415999999999996E-3</v>
      </c>
      <c r="BB45">
        <v>-1.4290590000000001</v>
      </c>
      <c r="BC45">
        <v>4.9200300000000002E-2</v>
      </c>
      <c r="BD45">
        <v>0.14513599999999999</v>
      </c>
      <c r="BE45">
        <v>2.0170299999999999E-2</v>
      </c>
      <c r="BF45">
        <v>-1.032025</v>
      </c>
      <c r="BH45">
        <v>1</v>
      </c>
      <c r="BI45">
        <v>0</v>
      </c>
      <c r="BJ45">
        <v>1</v>
      </c>
      <c r="BM45">
        <v>-0.70001772829745168</v>
      </c>
      <c r="BS45">
        <v>-0.70001772829745168</v>
      </c>
      <c r="BT45">
        <v>0</v>
      </c>
      <c r="BU45">
        <v>0.13479469944695044</v>
      </c>
      <c r="BV45">
        <v>1.1443018344350007</v>
      </c>
      <c r="BW45">
        <v>1.0000000000000001E-5</v>
      </c>
      <c r="BX45">
        <v>1.1443018344350007</v>
      </c>
      <c r="BY45">
        <v>0.72299999999999998</v>
      </c>
      <c r="BZ45">
        <v>0.01</v>
      </c>
      <c r="CA45">
        <v>0.72299999999999998</v>
      </c>
      <c r="CB45">
        <v>0.3</v>
      </c>
      <c r="CC45">
        <v>0.3</v>
      </c>
      <c r="CD45">
        <v>0.3</v>
      </c>
    </row>
    <row r="46" spans="1:82" x14ac:dyDescent="0.25">
      <c r="A46">
        <v>25</v>
      </c>
      <c r="B46">
        <v>85</v>
      </c>
      <c r="C46" t="s">
        <v>97</v>
      </c>
      <c r="D46">
        <v>0.60960000000000003</v>
      </c>
      <c r="E46">
        <v>609.6</v>
      </c>
      <c r="F46">
        <v>9.5299999999999985E-3</v>
      </c>
      <c r="G46">
        <v>9.5299999999999994</v>
      </c>
      <c r="H46">
        <v>63.966421825813235</v>
      </c>
      <c r="I46">
        <v>15</v>
      </c>
      <c r="J46" t="s">
        <v>34</v>
      </c>
      <c r="K46">
        <v>8</v>
      </c>
      <c r="L46">
        <v>10</v>
      </c>
      <c r="M46">
        <v>359000</v>
      </c>
      <c r="N46">
        <v>455000</v>
      </c>
      <c r="O46">
        <v>1.9969902892117808</v>
      </c>
      <c r="Q46" t="s">
        <v>42</v>
      </c>
      <c r="R46" t="s">
        <v>44</v>
      </c>
      <c r="S46">
        <v>18.5</v>
      </c>
      <c r="T46">
        <v>40</v>
      </c>
      <c r="U46">
        <v>0</v>
      </c>
      <c r="V46">
        <v>0</v>
      </c>
      <c r="W46">
        <v>0.9</v>
      </c>
      <c r="X46">
        <v>1</v>
      </c>
      <c r="Y46">
        <v>25.741129539100392</v>
      </c>
      <c r="Z46">
        <v>2.75</v>
      </c>
      <c r="AD46">
        <v>2.3022068268715178E-2</v>
      </c>
      <c r="AK46">
        <v>8.1563860325678486E-2</v>
      </c>
      <c r="AL46">
        <v>1.0815638603256785</v>
      </c>
      <c r="AM46">
        <v>-2.307229</v>
      </c>
      <c r="AN46">
        <v>0.5852366</v>
      </c>
      <c r="AO46">
        <v>0.201322</v>
      </c>
      <c r="AY46">
        <v>1.4274935</v>
      </c>
      <c r="AZ46">
        <v>-7.1050000000000002E-3</v>
      </c>
      <c r="BA46">
        <v>5.1415999999999996E-3</v>
      </c>
      <c r="BB46">
        <v>-1.4290590000000001</v>
      </c>
      <c r="BC46">
        <v>4.9200300000000002E-2</v>
      </c>
      <c r="BD46">
        <v>0.14513599999999999</v>
      </c>
      <c r="BE46">
        <v>2.0170299999999999E-2</v>
      </c>
      <c r="BF46">
        <v>-1.032025</v>
      </c>
      <c r="BH46">
        <v>0</v>
      </c>
      <c r="BI46">
        <v>0</v>
      </c>
      <c r="BJ46">
        <v>1</v>
      </c>
      <c r="BM46">
        <v>0</v>
      </c>
      <c r="BS46">
        <v>0</v>
      </c>
      <c r="BT46">
        <v>0</v>
      </c>
      <c r="BU46">
        <v>0.78030645715329561</v>
      </c>
      <c r="BV46">
        <v>2.1821408957267043</v>
      </c>
      <c r="BW46">
        <v>1.0000000000000001E-5</v>
      </c>
      <c r="BX46">
        <v>2.1821408957267043</v>
      </c>
      <c r="BY46">
        <v>0.72299999999999998</v>
      </c>
      <c r="BZ46">
        <v>0.01</v>
      </c>
      <c r="CA46">
        <v>0.72299999999999998</v>
      </c>
      <c r="CB46">
        <v>0.3</v>
      </c>
      <c r="CC46">
        <v>0.3</v>
      </c>
      <c r="CD46">
        <v>0.3</v>
      </c>
    </row>
    <row r="47" spans="1:82" x14ac:dyDescent="0.25">
      <c r="A47">
        <v>26</v>
      </c>
      <c r="B47">
        <v>85</v>
      </c>
      <c r="C47" t="s">
        <v>97</v>
      </c>
      <c r="D47">
        <v>0.76200000000000001</v>
      </c>
      <c r="E47">
        <v>762</v>
      </c>
      <c r="F47">
        <v>1.2699999999999999E-2</v>
      </c>
      <c r="G47">
        <v>12.7</v>
      </c>
      <c r="H47">
        <v>60</v>
      </c>
      <c r="I47">
        <v>30</v>
      </c>
      <c r="J47" t="s">
        <v>37</v>
      </c>
      <c r="K47">
        <v>8</v>
      </c>
      <c r="L47">
        <v>12</v>
      </c>
      <c r="M47">
        <v>414000</v>
      </c>
      <c r="N47">
        <v>517000</v>
      </c>
      <c r="O47">
        <v>2.5466769467238102</v>
      </c>
      <c r="Q47" t="s">
        <v>42</v>
      </c>
      <c r="R47" t="s">
        <v>44</v>
      </c>
      <c r="S47">
        <v>18.5</v>
      </c>
      <c r="T47">
        <v>40</v>
      </c>
      <c r="U47">
        <v>0</v>
      </c>
      <c r="V47">
        <v>0</v>
      </c>
      <c r="W47">
        <v>0.9</v>
      </c>
      <c r="X47">
        <v>2</v>
      </c>
      <c r="Y47">
        <v>64.352823847750969</v>
      </c>
      <c r="Z47">
        <v>3.5</v>
      </c>
      <c r="AD47">
        <v>5.5061025879364095E-2</v>
      </c>
      <c r="AK47">
        <v>0.24733311166742666</v>
      </c>
      <c r="AL47">
        <v>1.2473331116674267</v>
      </c>
      <c r="AM47">
        <v>-2.307229</v>
      </c>
      <c r="AN47">
        <v>0.5852366</v>
      </c>
      <c r="AO47">
        <v>0.201322</v>
      </c>
      <c r="AY47">
        <v>1.4274935</v>
      </c>
      <c r="AZ47">
        <v>-7.1050000000000002E-3</v>
      </c>
      <c r="BA47">
        <v>5.1415999999999996E-3</v>
      </c>
      <c r="BB47">
        <v>-1.4290590000000001</v>
      </c>
      <c r="BC47">
        <v>4.9200300000000002E-2</v>
      </c>
      <c r="BD47">
        <v>0.14513599999999999</v>
      </c>
      <c r="BE47">
        <v>2.0170299999999999E-2</v>
      </c>
      <c r="BF47">
        <v>-1.032025</v>
      </c>
      <c r="BH47">
        <v>0</v>
      </c>
      <c r="BI47">
        <v>1</v>
      </c>
      <c r="BJ47">
        <v>1</v>
      </c>
      <c r="BM47">
        <v>3.440732629929924E-2</v>
      </c>
      <c r="BS47">
        <v>0</v>
      </c>
      <c r="BT47">
        <v>3.440732629929924E-2</v>
      </c>
      <c r="BU47">
        <v>1.0477384074527265</v>
      </c>
      <c r="BV47">
        <v>2.8511955782437828</v>
      </c>
      <c r="BW47">
        <v>1.0000000000000001E-5</v>
      </c>
      <c r="BX47">
        <v>2.8511955782437828</v>
      </c>
      <c r="BY47">
        <v>0.72299999999999998</v>
      </c>
      <c r="BZ47">
        <v>0.01</v>
      </c>
      <c r="CA47">
        <v>0.72299999999999998</v>
      </c>
      <c r="CB47">
        <v>0.3</v>
      </c>
      <c r="CC47">
        <v>0.3</v>
      </c>
      <c r="CD47">
        <v>0.3</v>
      </c>
    </row>
    <row r="48" spans="1:82" x14ac:dyDescent="0.25">
      <c r="A48">
        <v>27</v>
      </c>
      <c r="B48">
        <v>89</v>
      </c>
      <c r="C48" t="s">
        <v>97</v>
      </c>
      <c r="D48">
        <v>0.86360000000000003</v>
      </c>
      <c r="E48">
        <v>863.6</v>
      </c>
      <c r="F48">
        <v>1.1130000000000001E-2</v>
      </c>
      <c r="G48">
        <v>11.13</v>
      </c>
      <c r="H48">
        <v>77.592093441150041</v>
      </c>
      <c r="I48">
        <v>50</v>
      </c>
      <c r="J48" t="s">
        <v>39</v>
      </c>
      <c r="K48">
        <v>14</v>
      </c>
      <c r="L48">
        <v>15</v>
      </c>
      <c r="M48">
        <v>483000</v>
      </c>
      <c r="N48">
        <v>565000</v>
      </c>
      <c r="O48">
        <v>2.8799444073326219</v>
      </c>
      <c r="Q48" t="s">
        <v>42</v>
      </c>
      <c r="R48" t="s">
        <v>44</v>
      </c>
      <c r="S48">
        <v>18.5</v>
      </c>
      <c r="T48">
        <v>40</v>
      </c>
      <c r="U48">
        <v>0</v>
      </c>
      <c r="V48">
        <v>0</v>
      </c>
      <c r="W48">
        <v>0.9</v>
      </c>
      <c r="X48">
        <v>1</v>
      </c>
      <c r="Y48">
        <v>36.46660018039222</v>
      </c>
      <c r="Z48">
        <v>1.5</v>
      </c>
      <c r="AD48">
        <v>3.2859347057707114E-2</v>
      </c>
      <c r="AK48">
        <v>0.19145887314252977</v>
      </c>
      <c r="AL48">
        <v>1.1914588731425297</v>
      </c>
      <c r="AM48">
        <v>-2.307229</v>
      </c>
      <c r="AN48">
        <v>0.5852366</v>
      </c>
      <c r="AO48">
        <v>0.201322</v>
      </c>
      <c r="AY48">
        <v>1.4274935</v>
      </c>
      <c r="AZ48">
        <v>-7.1050000000000002E-3</v>
      </c>
      <c r="BA48">
        <v>5.1415999999999996E-3</v>
      </c>
      <c r="BB48">
        <v>-1.4290590000000001</v>
      </c>
      <c r="BC48">
        <v>4.9200300000000002E-2</v>
      </c>
      <c r="BD48">
        <v>0.14513599999999999</v>
      </c>
      <c r="BE48">
        <v>2.0170299999999999E-2</v>
      </c>
      <c r="BF48">
        <v>-1.032025</v>
      </c>
      <c r="BH48">
        <v>0</v>
      </c>
      <c r="BI48">
        <v>0</v>
      </c>
      <c r="BJ48">
        <v>1</v>
      </c>
      <c r="BM48">
        <v>0</v>
      </c>
      <c r="BS48">
        <v>0</v>
      </c>
      <c r="BT48">
        <v>0</v>
      </c>
      <c r="BU48">
        <v>0.963441685919739</v>
      </c>
      <c r="BV48">
        <v>2.6207005981990892</v>
      </c>
      <c r="BW48">
        <v>1.0000000000000001E-5</v>
      </c>
      <c r="BX48">
        <v>2.6207005981990892</v>
      </c>
      <c r="BY48">
        <v>0.72299999999999998</v>
      </c>
      <c r="BZ48">
        <v>0.01</v>
      </c>
      <c r="CA48">
        <v>0.72299999999999998</v>
      </c>
      <c r="CB48">
        <v>0.3</v>
      </c>
      <c r="CC48">
        <v>0.3</v>
      </c>
      <c r="CD48">
        <v>0.3</v>
      </c>
    </row>
    <row r="49" spans="1:82" x14ac:dyDescent="0.25">
      <c r="A49">
        <v>28</v>
      </c>
      <c r="B49">
        <v>89</v>
      </c>
      <c r="C49" t="s">
        <v>97</v>
      </c>
      <c r="D49">
        <v>1.0668</v>
      </c>
      <c r="E49">
        <v>1066.8</v>
      </c>
      <c r="F49">
        <v>1.2699999999999999E-2</v>
      </c>
      <c r="G49">
        <v>12.7</v>
      </c>
      <c r="H49">
        <v>84</v>
      </c>
      <c r="I49">
        <v>100</v>
      </c>
      <c r="J49" t="s">
        <v>41</v>
      </c>
      <c r="K49">
        <v>15</v>
      </c>
      <c r="L49">
        <v>20</v>
      </c>
      <c r="M49">
        <v>552000</v>
      </c>
      <c r="N49">
        <v>625000</v>
      </c>
      <c r="O49">
        <v>2.9888368774026359</v>
      </c>
      <c r="Q49" t="s">
        <v>42</v>
      </c>
      <c r="R49" t="s">
        <v>45</v>
      </c>
      <c r="S49">
        <v>19</v>
      </c>
      <c r="T49">
        <v>43</v>
      </c>
      <c r="U49">
        <v>0</v>
      </c>
      <c r="V49">
        <v>0</v>
      </c>
      <c r="W49">
        <v>0.9</v>
      </c>
      <c r="X49">
        <v>2</v>
      </c>
      <c r="Y49">
        <v>102.03070645435936</v>
      </c>
      <c r="Z49">
        <v>1.5</v>
      </c>
      <c r="AD49">
        <v>8.6082808953605136E-2</v>
      </c>
      <c r="AK49">
        <v>0.46595416078021362</v>
      </c>
      <c r="AL49">
        <v>1.9659541607802136</v>
      </c>
      <c r="AM49">
        <v>-2.307229</v>
      </c>
      <c r="AN49">
        <v>0.5852366</v>
      </c>
      <c r="AO49">
        <v>0.201322</v>
      </c>
      <c r="AY49">
        <v>1.4274935</v>
      </c>
      <c r="AZ49">
        <v>-7.1050000000000002E-3</v>
      </c>
      <c r="BA49">
        <v>5.1415999999999996E-3</v>
      </c>
      <c r="BB49">
        <v>-1.4290590000000001</v>
      </c>
      <c r="BC49">
        <v>4.9200300000000002E-2</v>
      </c>
      <c r="BD49">
        <v>0.14513599999999999</v>
      </c>
      <c r="BE49">
        <v>2.0170299999999999E-2</v>
      </c>
      <c r="BF49">
        <v>-1.032025</v>
      </c>
      <c r="BH49">
        <v>1</v>
      </c>
      <c r="BI49">
        <v>0</v>
      </c>
      <c r="BJ49">
        <v>1</v>
      </c>
      <c r="BM49">
        <v>-6.8622394401109219E-2</v>
      </c>
      <c r="BS49">
        <v>-6.8622394401109219E-2</v>
      </c>
      <c r="BT49">
        <v>0</v>
      </c>
      <c r="BU49">
        <v>1.1140829412852633</v>
      </c>
      <c r="BV49">
        <v>3.0467728280542432</v>
      </c>
      <c r="BW49">
        <v>1.0000000000000001E-5</v>
      </c>
      <c r="BX49">
        <v>3.0467728280542432</v>
      </c>
      <c r="BY49">
        <v>0.72299999999999998</v>
      </c>
      <c r="BZ49">
        <v>0.01</v>
      </c>
      <c r="CA49">
        <v>0.72299999999999998</v>
      </c>
      <c r="CB49">
        <v>0.3</v>
      </c>
      <c r="CC49">
        <v>0.3</v>
      </c>
      <c r="CD49">
        <v>0.3</v>
      </c>
    </row>
    <row r="50" spans="1:82" x14ac:dyDescent="0.25">
      <c r="A50">
        <v>29</v>
      </c>
      <c r="B50">
        <v>88</v>
      </c>
      <c r="C50" t="s">
        <v>97</v>
      </c>
      <c r="D50">
        <v>0.60960000000000003</v>
      </c>
      <c r="E50">
        <v>609.6</v>
      </c>
      <c r="F50">
        <v>1.1130000000000001E-2</v>
      </c>
      <c r="G50">
        <v>11.13</v>
      </c>
      <c r="H50">
        <v>54.770889487870619</v>
      </c>
      <c r="I50">
        <v>150</v>
      </c>
      <c r="J50" t="s">
        <v>64</v>
      </c>
      <c r="K50">
        <v>3</v>
      </c>
      <c r="L50">
        <v>9</v>
      </c>
      <c r="M50">
        <v>290000</v>
      </c>
      <c r="N50">
        <v>414000</v>
      </c>
      <c r="O50">
        <v>1.7363704307629526</v>
      </c>
      <c r="Q50" t="s">
        <v>42</v>
      </c>
      <c r="R50" t="s">
        <v>45</v>
      </c>
      <c r="S50">
        <v>19</v>
      </c>
      <c r="T50">
        <v>43</v>
      </c>
      <c r="U50">
        <v>0</v>
      </c>
      <c r="V50">
        <v>0</v>
      </c>
      <c r="W50">
        <v>0.9</v>
      </c>
      <c r="X50">
        <v>1</v>
      </c>
      <c r="Y50">
        <v>29.151630415531248</v>
      </c>
      <c r="Z50">
        <v>1.5</v>
      </c>
      <c r="AD50">
        <v>2.5345463138869703E-2</v>
      </c>
      <c r="AK50">
        <v>0.20709526914689702</v>
      </c>
      <c r="AL50">
        <v>1.707095269146897</v>
      </c>
      <c r="AM50">
        <v>-2.307229</v>
      </c>
      <c r="AN50">
        <v>0.5852366</v>
      </c>
      <c r="AO50">
        <v>0.201322</v>
      </c>
      <c r="AY50">
        <v>1.4274935</v>
      </c>
      <c r="AZ50">
        <v>-7.1050000000000002E-3</v>
      </c>
      <c r="BA50">
        <v>5.1415999999999996E-3</v>
      </c>
      <c r="BB50">
        <v>-1.4290590000000001</v>
      </c>
      <c r="BC50">
        <v>4.9200300000000002E-2</v>
      </c>
      <c r="BD50">
        <v>0.14513599999999999</v>
      </c>
      <c r="BE50">
        <v>2.0170299999999999E-2</v>
      </c>
      <c r="BF50">
        <v>-1.032025</v>
      </c>
      <c r="BH50">
        <v>0</v>
      </c>
      <c r="BI50">
        <v>0</v>
      </c>
      <c r="BJ50">
        <v>1</v>
      </c>
      <c r="BM50">
        <v>0</v>
      </c>
      <c r="BS50">
        <v>0</v>
      </c>
      <c r="BT50">
        <v>0</v>
      </c>
      <c r="BU50">
        <v>0.71452669621160059</v>
      </c>
      <c r="BV50">
        <v>2.0432193898872777</v>
      </c>
      <c r="BW50">
        <v>1.0000000000000001E-5</v>
      </c>
      <c r="BX50">
        <v>2.0432193898872777</v>
      </c>
      <c r="BY50">
        <v>0.72299999999999998</v>
      </c>
      <c r="BZ50">
        <v>0.01</v>
      </c>
      <c r="CA50">
        <v>0.72299999999999998</v>
      </c>
      <c r="CB50">
        <v>0.3</v>
      </c>
      <c r="CC50">
        <v>0.3</v>
      </c>
      <c r="CD50">
        <v>0.3</v>
      </c>
    </row>
    <row r="51" spans="1:82" x14ac:dyDescent="0.25">
      <c r="A51">
        <v>30</v>
      </c>
      <c r="B51">
        <v>89</v>
      </c>
      <c r="C51" t="s">
        <v>97</v>
      </c>
      <c r="D51">
        <v>0.60960000000000003</v>
      </c>
      <c r="E51">
        <v>609.6</v>
      </c>
      <c r="F51">
        <v>1.1130000000000001E-2</v>
      </c>
      <c r="G51">
        <v>11.13</v>
      </c>
      <c r="H51">
        <v>54.770889487870619</v>
      </c>
      <c r="I51">
        <v>200</v>
      </c>
      <c r="J51" t="s">
        <v>65</v>
      </c>
      <c r="K51">
        <v>3</v>
      </c>
      <c r="L51">
        <v>8</v>
      </c>
      <c r="M51">
        <v>241000</v>
      </c>
      <c r="N51">
        <v>344000</v>
      </c>
      <c r="O51">
        <v>1.1599577949833839</v>
      </c>
      <c r="Q51" t="s">
        <v>42</v>
      </c>
      <c r="R51" t="s">
        <v>45</v>
      </c>
      <c r="S51">
        <v>19</v>
      </c>
      <c r="T51">
        <v>43</v>
      </c>
      <c r="U51">
        <v>0</v>
      </c>
      <c r="V51">
        <v>0</v>
      </c>
      <c r="W51">
        <v>0.9</v>
      </c>
      <c r="X51">
        <v>2</v>
      </c>
      <c r="Y51">
        <v>58.303260831062495</v>
      </c>
      <c r="Z51">
        <v>2.75</v>
      </c>
      <c r="AD51">
        <v>4.7691565842539682E-2</v>
      </c>
      <c r="AK51">
        <v>0.31151836593386051</v>
      </c>
      <c r="AL51">
        <v>1.8115183659338605</v>
      </c>
      <c r="AM51">
        <v>-2.307229</v>
      </c>
      <c r="AN51">
        <v>0.5852366</v>
      </c>
      <c r="AO51">
        <v>0.201322</v>
      </c>
      <c r="AY51">
        <v>1.4274935</v>
      </c>
      <c r="AZ51">
        <v>-7.1050000000000002E-3</v>
      </c>
      <c r="BA51">
        <v>5.1415999999999996E-3</v>
      </c>
      <c r="BB51">
        <v>-1.4290590000000001</v>
      </c>
      <c r="BC51">
        <v>4.9200300000000002E-2</v>
      </c>
      <c r="BD51">
        <v>0.14513599999999999</v>
      </c>
      <c r="BE51">
        <v>2.0170299999999999E-2</v>
      </c>
      <c r="BF51">
        <v>-1.032025</v>
      </c>
      <c r="BH51">
        <v>0</v>
      </c>
      <c r="BI51">
        <v>0</v>
      </c>
      <c r="BJ51">
        <v>1</v>
      </c>
      <c r="BM51">
        <v>0</v>
      </c>
      <c r="BS51">
        <v>0</v>
      </c>
      <c r="BT51">
        <v>0</v>
      </c>
      <c r="BU51">
        <v>0.85407247289628985</v>
      </c>
      <c r="BV51">
        <v>2.3491944282446702</v>
      </c>
      <c r="BW51">
        <v>1.0000000000000001E-5</v>
      </c>
      <c r="BX51">
        <v>2.3491944282446702</v>
      </c>
      <c r="BY51">
        <v>0.72299999999999998</v>
      </c>
      <c r="BZ51">
        <v>0.01</v>
      </c>
      <c r="CA51">
        <v>0.72299999999999998</v>
      </c>
      <c r="CB51">
        <v>0.3</v>
      </c>
      <c r="CC51">
        <v>0.3</v>
      </c>
      <c r="CD51">
        <v>0.3</v>
      </c>
    </row>
    <row r="52" spans="1:82" x14ac:dyDescent="0.25">
      <c r="A52">
        <v>31</v>
      </c>
      <c r="B52">
        <v>85</v>
      </c>
      <c r="C52" t="s">
        <v>97</v>
      </c>
      <c r="D52">
        <v>0.20319999999999999</v>
      </c>
      <c r="E52">
        <v>203.2</v>
      </c>
      <c r="F52">
        <v>5.5599999999999998E-3</v>
      </c>
      <c r="G52">
        <v>5.56</v>
      </c>
      <c r="H52">
        <v>36.546762589928058</v>
      </c>
      <c r="I52">
        <v>15</v>
      </c>
      <c r="J52" t="s">
        <v>34</v>
      </c>
      <c r="K52">
        <v>8</v>
      </c>
      <c r="L52">
        <v>10</v>
      </c>
      <c r="M52">
        <v>359000</v>
      </c>
      <c r="N52">
        <v>455000</v>
      </c>
      <c r="O52">
        <v>1.9969902892117808</v>
      </c>
      <c r="Q52" t="s">
        <v>35</v>
      </c>
      <c r="R52" t="s">
        <v>36</v>
      </c>
      <c r="S52">
        <v>17.5</v>
      </c>
      <c r="T52">
        <v>0</v>
      </c>
      <c r="U52">
        <v>37.5</v>
      </c>
      <c r="V52">
        <v>1.1000000000000001</v>
      </c>
      <c r="W52">
        <v>0.9</v>
      </c>
      <c r="X52">
        <v>0</v>
      </c>
      <c r="Y52">
        <v>26.332829622389642</v>
      </c>
      <c r="Z52">
        <v>0.75</v>
      </c>
      <c r="AD52">
        <v>2.350134533617947E-2</v>
      </c>
      <c r="AK52">
        <v>7.0401619555061065E-2</v>
      </c>
      <c r="AL52">
        <v>1.070401619555061</v>
      </c>
      <c r="AM52">
        <v>-2.307229</v>
      </c>
      <c r="AN52">
        <v>0.5852366</v>
      </c>
      <c r="AO52">
        <v>0.201322</v>
      </c>
      <c r="AY52">
        <v>1.4274935</v>
      </c>
      <c r="AZ52">
        <v>-7.1050000000000002E-3</v>
      </c>
      <c r="BA52">
        <v>5.1415999999999996E-3</v>
      </c>
      <c r="BB52">
        <v>-1.4290590000000001</v>
      </c>
      <c r="BC52">
        <v>4.9200300000000002E-2</v>
      </c>
      <c r="BD52">
        <v>0.14513599999999999</v>
      </c>
      <c r="BE52">
        <v>2.0170299999999999E-2</v>
      </c>
      <c r="BF52">
        <v>-1.032025</v>
      </c>
      <c r="BH52">
        <v>1</v>
      </c>
      <c r="BI52">
        <v>0</v>
      </c>
      <c r="BJ52">
        <v>0</v>
      </c>
      <c r="BM52">
        <v>-0.51145365159113909</v>
      </c>
      <c r="BS52">
        <v>-0.51145365159113909</v>
      </c>
      <c r="BT52">
        <v>0</v>
      </c>
      <c r="BU52">
        <v>-0.58479113632895929</v>
      </c>
      <c r="BV52">
        <v>0.55722223314007857</v>
      </c>
      <c r="BW52">
        <v>1.0000000000000001E-5</v>
      </c>
      <c r="BX52">
        <v>0.55722223314007857</v>
      </c>
      <c r="BY52">
        <v>0.72299999999999998</v>
      </c>
      <c r="BZ52">
        <v>0.01</v>
      </c>
      <c r="CA52">
        <v>0.72299999999999998</v>
      </c>
      <c r="CB52">
        <v>0.3</v>
      </c>
      <c r="CC52">
        <v>0.3</v>
      </c>
      <c r="CD52">
        <v>0.3</v>
      </c>
    </row>
    <row r="53" spans="1:82" x14ac:dyDescent="0.25">
      <c r="A53">
        <v>32</v>
      </c>
      <c r="B53">
        <v>89</v>
      </c>
      <c r="C53" t="s">
        <v>97</v>
      </c>
      <c r="D53">
        <v>0.30480000000000002</v>
      </c>
      <c r="E53">
        <v>304.8</v>
      </c>
      <c r="F53">
        <v>7.1399999999999996E-3</v>
      </c>
      <c r="G53">
        <v>7.14</v>
      </c>
      <c r="H53">
        <v>42.689075630252105</v>
      </c>
      <c r="I53">
        <v>30</v>
      </c>
      <c r="J53" t="s">
        <v>37</v>
      </c>
      <c r="K53">
        <v>8</v>
      </c>
      <c r="L53">
        <v>12</v>
      </c>
      <c r="M53">
        <v>414000</v>
      </c>
      <c r="N53">
        <v>517000</v>
      </c>
      <c r="O53">
        <v>2.5466769467238102</v>
      </c>
      <c r="Q53" t="s">
        <v>35</v>
      </c>
      <c r="R53" t="s">
        <v>36</v>
      </c>
      <c r="S53">
        <v>17.5</v>
      </c>
      <c r="T53">
        <v>0</v>
      </c>
      <c r="U53">
        <v>37.5</v>
      </c>
      <c r="V53">
        <v>1.1000000000000001</v>
      </c>
      <c r="W53">
        <v>0.9</v>
      </c>
      <c r="X53">
        <v>0</v>
      </c>
      <c r="Y53">
        <v>39.499244433584465</v>
      </c>
      <c r="Z53">
        <v>0.75</v>
      </c>
      <c r="AD53">
        <v>3.4929626553889231E-2</v>
      </c>
      <c r="AK53">
        <v>0.15301812852026347</v>
      </c>
      <c r="AL53">
        <v>1.1530181285202634</v>
      </c>
      <c r="AM53">
        <v>-2.307229</v>
      </c>
      <c r="AN53">
        <v>0.5852366</v>
      </c>
      <c r="AO53">
        <v>0.201322</v>
      </c>
      <c r="AY53">
        <v>1.4274935</v>
      </c>
      <c r="AZ53">
        <v>-7.1050000000000002E-3</v>
      </c>
      <c r="BA53">
        <v>5.1415999999999996E-3</v>
      </c>
      <c r="BB53">
        <v>-1.4290590000000001</v>
      </c>
      <c r="BC53">
        <v>4.9200300000000002E-2</v>
      </c>
      <c r="BD53">
        <v>0.14513599999999999</v>
      </c>
      <c r="BE53">
        <v>2.0170299999999999E-2</v>
      </c>
      <c r="BF53">
        <v>-1.032025</v>
      </c>
      <c r="BH53">
        <v>1</v>
      </c>
      <c r="BI53">
        <v>0</v>
      </c>
      <c r="BJ53">
        <v>0</v>
      </c>
      <c r="BM53">
        <v>-0.60214698226649055</v>
      </c>
      <c r="BS53">
        <v>-0.60214698226649055</v>
      </c>
      <c r="BT53">
        <v>0</v>
      </c>
      <c r="BU53">
        <v>-0.56189437101015471</v>
      </c>
      <c r="BV53">
        <v>0.57012800624291049</v>
      </c>
      <c r="BW53">
        <v>1.0000000000000001E-5</v>
      </c>
      <c r="BX53">
        <v>0.57012800624291049</v>
      </c>
      <c r="BY53">
        <v>0.72299999999999998</v>
      </c>
      <c r="BZ53">
        <v>0.01</v>
      </c>
      <c r="CA53">
        <v>0.72299999999999998</v>
      </c>
      <c r="CB53">
        <v>0.3</v>
      </c>
      <c r="CC53">
        <v>0.3</v>
      </c>
      <c r="CD53">
        <v>0.3</v>
      </c>
    </row>
    <row r="54" spans="1:82" x14ac:dyDescent="0.25">
      <c r="A54">
        <v>33</v>
      </c>
      <c r="B54">
        <v>87</v>
      </c>
      <c r="C54" t="s">
        <v>97</v>
      </c>
      <c r="D54">
        <v>0.40639999999999998</v>
      </c>
      <c r="E54">
        <v>406.4</v>
      </c>
      <c r="F54">
        <v>9.5299999999999985E-3</v>
      </c>
      <c r="G54">
        <v>9.5299999999999994</v>
      </c>
      <c r="H54">
        <v>42.644281217208821</v>
      </c>
      <c r="I54">
        <v>50</v>
      </c>
      <c r="J54" t="s">
        <v>39</v>
      </c>
      <c r="K54">
        <v>14</v>
      </c>
      <c r="L54">
        <v>15</v>
      </c>
      <c r="M54">
        <v>483000</v>
      </c>
      <c r="N54">
        <v>565000</v>
      </c>
      <c r="O54">
        <v>2.8799444073326219</v>
      </c>
      <c r="Q54" t="s">
        <v>35</v>
      </c>
      <c r="R54" t="s">
        <v>36</v>
      </c>
      <c r="S54">
        <v>17.5</v>
      </c>
      <c r="T54">
        <v>0</v>
      </c>
      <c r="U54">
        <v>37.5</v>
      </c>
      <c r="V54">
        <v>1.1000000000000001</v>
      </c>
      <c r="W54">
        <v>0.9</v>
      </c>
      <c r="X54">
        <v>0</v>
      </c>
      <c r="Y54">
        <v>52.665659244779285</v>
      </c>
      <c r="Z54">
        <v>0.75</v>
      </c>
      <c r="AD54">
        <v>4.5980584899860635E-2</v>
      </c>
      <c r="AK54">
        <v>0.22103278039106702</v>
      </c>
      <c r="AL54">
        <v>1.221032780391067</v>
      </c>
      <c r="AM54">
        <v>-2.307229</v>
      </c>
      <c r="AN54">
        <v>0.5852366</v>
      </c>
      <c r="AO54">
        <v>0.201322</v>
      </c>
      <c r="AY54">
        <v>1.4274935</v>
      </c>
      <c r="AZ54">
        <v>-7.1050000000000002E-3</v>
      </c>
      <c r="BA54">
        <v>5.1415999999999996E-3</v>
      </c>
      <c r="BB54">
        <v>-1.4290590000000001</v>
      </c>
      <c r="BC54">
        <v>4.9200300000000002E-2</v>
      </c>
      <c r="BD54">
        <v>0.14513599999999999</v>
      </c>
      <c r="BE54">
        <v>2.0170299999999999E-2</v>
      </c>
      <c r="BF54">
        <v>-1.032025</v>
      </c>
      <c r="BH54">
        <v>1</v>
      </c>
      <c r="BI54">
        <v>0</v>
      </c>
      <c r="BJ54">
        <v>0</v>
      </c>
      <c r="BM54">
        <v>-0.6473721201748025</v>
      </c>
      <c r="BS54">
        <v>-0.6473721201748025</v>
      </c>
      <c r="BT54">
        <v>0</v>
      </c>
      <c r="BU54">
        <v>-0.59642764612512122</v>
      </c>
      <c r="BV54">
        <v>0.55077569153060479</v>
      </c>
      <c r="BW54">
        <v>1.0000000000000001E-5</v>
      </c>
      <c r="BX54">
        <v>0.55077569153060479</v>
      </c>
      <c r="BY54">
        <v>0.72299999999999998</v>
      </c>
      <c r="BZ54">
        <v>0.01</v>
      </c>
      <c r="CA54">
        <v>0.72299999999999998</v>
      </c>
      <c r="CB54">
        <v>0.3</v>
      </c>
      <c r="CC54">
        <v>0.3</v>
      </c>
      <c r="CD54">
        <v>0.3</v>
      </c>
    </row>
    <row r="55" spans="1:82" x14ac:dyDescent="0.25">
      <c r="A55">
        <v>34</v>
      </c>
      <c r="B55">
        <v>85</v>
      </c>
      <c r="C55" t="s">
        <v>97</v>
      </c>
      <c r="D55">
        <v>0.50800000000000001</v>
      </c>
      <c r="E55">
        <v>508</v>
      </c>
      <c r="F55">
        <v>1.1130000000000001E-2</v>
      </c>
      <c r="G55">
        <v>11.13</v>
      </c>
      <c r="H55">
        <v>45.642407906558844</v>
      </c>
      <c r="I55">
        <v>100</v>
      </c>
      <c r="J55" t="s">
        <v>41</v>
      </c>
      <c r="K55">
        <v>15</v>
      </c>
      <c r="L55">
        <v>20</v>
      </c>
      <c r="M55">
        <v>552000</v>
      </c>
      <c r="N55">
        <v>625000</v>
      </c>
      <c r="O55">
        <v>2.9888368774026359</v>
      </c>
      <c r="Q55" t="s">
        <v>35</v>
      </c>
      <c r="R55" t="s">
        <v>36</v>
      </c>
      <c r="S55">
        <v>17.5</v>
      </c>
      <c r="T55">
        <v>0</v>
      </c>
      <c r="U55">
        <v>37.5</v>
      </c>
      <c r="V55">
        <v>1.1000000000000001</v>
      </c>
      <c r="W55">
        <v>0.9</v>
      </c>
      <c r="X55">
        <v>0</v>
      </c>
      <c r="Y55">
        <v>65.832074055974104</v>
      </c>
      <c r="Z55">
        <v>0.75</v>
      </c>
      <c r="AD55">
        <v>5.6761916710913081E-2</v>
      </c>
      <c r="AK55">
        <v>0.30141505236031529</v>
      </c>
      <c r="AL55">
        <v>1.8014150523603152</v>
      </c>
      <c r="AM55">
        <v>-2.307229</v>
      </c>
      <c r="AN55">
        <v>0.5852366</v>
      </c>
      <c r="AO55">
        <v>0.201322</v>
      </c>
      <c r="AY55">
        <v>1.4274935</v>
      </c>
      <c r="AZ55">
        <v>-7.1050000000000002E-3</v>
      </c>
      <c r="BA55">
        <v>5.1415999999999996E-3</v>
      </c>
      <c r="BB55">
        <v>-1.4290590000000001</v>
      </c>
      <c r="BC55">
        <v>4.9200300000000002E-2</v>
      </c>
      <c r="BD55">
        <v>0.14513599999999999</v>
      </c>
      <c r="BE55">
        <v>2.0170299999999999E-2</v>
      </c>
      <c r="BF55">
        <v>-1.032025</v>
      </c>
      <c r="BH55">
        <v>1</v>
      </c>
      <c r="BI55">
        <v>0</v>
      </c>
      <c r="BJ55">
        <v>0</v>
      </c>
      <c r="BM55">
        <v>-0.70363623213972026</v>
      </c>
      <c r="BS55">
        <v>-0.70363623213972026</v>
      </c>
      <c r="BT55">
        <v>0</v>
      </c>
      <c r="BU55">
        <v>-0.59886235386354869</v>
      </c>
      <c r="BV55">
        <v>0.54943634481282166</v>
      </c>
      <c r="BW55">
        <v>1.0000000000000001E-5</v>
      </c>
      <c r="BX55">
        <v>0.54943634481282166</v>
      </c>
      <c r="BY55">
        <v>0.72299999999999998</v>
      </c>
      <c r="BZ55">
        <v>0.01</v>
      </c>
      <c r="CA55">
        <v>0.72299999999999998</v>
      </c>
      <c r="CB55">
        <v>0.3</v>
      </c>
      <c r="CC55">
        <v>0.3</v>
      </c>
      <c r="CD55">
        <v>0.3</v>
      </c>
    </row>
    <row r="56" spans="1:82" x14ac:dyDescent="0.25">
      <c r="A56">
        <v>35</v>
      </c>
      <c r="B56">
        <v>85</v>
      </c>
      <c r="C56" t="s">
        <v>97</v>
      </c>
      <c r="D56">
        <v>0.60960000000000003</v>
      </c>
      <c r="E56">
        <v>609.6</v>
      </c>
      <c r="F56">
        <v>9.5299999999999985E-3</v>
      </c>
      <c r="G56">
        <v>9.5299999999999994</v>
      </c>
      <c r="H56">
        <v>63.966421825813235</v>
      </c>
      <c r="I56">
        <v>15</v>
      </c>
      <c r="J56" t="s">
        <v>34</v>
      </c>
      <c r="K56">
        <v>8</v>
      </c>
      <c r="L56">
        <v>10</v>
      </c>
      <c r="M56">
        <v>359000</v>
      </c>
      <c r="N56">
        <v>455000</v>
      </c>
      <c r="O56">
        <v>1.9969902892117808</v>
      </c>
      <c r="Q56" t="s">
        <v>35</v>
      </c>
      <c r="R56" t="s">
        <v>38</v>
      </c>
      <c r="S56">
        <v>18</v>
      </c>
      <c r="T56">
        <v>0</v>
      </c>
      <c r="U56">
        <v>75</v>
      </c>
      <c r="V56">
        <v>0.72</v>
      </c>
      <c r="W56">
        <v>0.9</v>
      </c>
      <c r="X56">
        <v>0</v>
      </c>
      <c r="Y56">
        <v>103.41620360793024</v>
      </c>
      <c r="Z56">
        <v>0.75</v>
      </c>
      <c r="AD56">
        <v>8.5938878264467361E-2</v>
      </c>
      <c r="AK56">
        <v>0.34319449854464201</v>
      </c>
      <c r="AL56">
        <v>1.343194498544642</v>
      </c>
      <c r="AM56">
        <v>-2.307229</v>
      </c>
      <c r="AN56">
        <v>0.5852366</v>
      </c>
      <c r="AO56">
        <v>0.201322</v>
      </c>
      <c r="AY56">
        <v>1.4274935</v>
      </c>
      <c r="AZ56">
        <v>-7.1050000000000002E-3</v>
      </c>
      <c r="BA56">
        <v>5.1415999999999996E-3</v>
      </c>
      <c r="BB56">
        <v>-1.4290590000000001</v>
      </c>
      <c r="BC56">
        <v>4.9200300000000002E-2</v>
      </c>
      <c r="BD56">
        <v>0.14513599999999999</v>
      </c>
      <c r="BE56">
        <v>2.0170299999999999E-2</v>
      </c>
      <c r="BF56">
        <v>-1.032025</v>
      </c>
      <c r="BH56">
        <v>1</v>
      </c>
      <c r="BI56">
        <v>0</v>
      </c>
      <c r="BJ56">
        <v>0</v>
      </c>
      <c r="BM56">
        <v>-0.64451052521418639</v>
      </c>
      <c r="BS56">
        <v>-0.64451052521418639</v>
      </c>
      <c r="BT56">
        <v>0</v>
      </c>
      <c r="BU56">
        <v>-0.35698842861680458</v>
      </c>
      <c r="BV56">
        <v>0.69978059511718083</v>
      </c>
      <c r="BW56">
        <v>1.0000000000000001E-5</v>
      </c>
      <c r="BX56">
        <v>0.69978059511718083</v>
      </c>
      <c r="BY56">
        <v>0.72299999999999998</v>
      </c>
      <c r="BZ56">
        <v>0.01</v>
      </c>
      <c r="CA56">
        <v>0.72299999999999998</v>
      </c>
      <c r="CB56">
        <v>0.3</v>
      </c>
      <c r="CC56">
        <v>0.3</v>
      </c>
      <c r="CD56">
        <v>0.3</v>
      </c>
    </row>
    <row r="57" spans="1:82" x14ac:dyDescent="0.25">
      <c r="A57">
        <v>36</v>
      </c>
      <c r="B57">
        <v>89</v>
      </c>
      <c r="C57" t="s">
        <v>97</v>
      </c>
      <c r="D57">
        <v>0.76200000000000001</v>
      </c>
      <c r="E57">
        <v>762</v>
      </c>
      <c r="F57">
        <v>1.2699999999999999E-2</v>
      </c>
      <c r="G57">
        <v>12.7</v>
      </c>
      <c r="H57">
        <v>60</v>
      </c>
      <c r="I57">
        <v>30</v>
      </c>
      <c r="J57" t="s">
        <v>37</v>
      </c>
      <c r="K57">
        <v>8</v>
      </c>
      <c r="L57">
        <v>12</v>
      </c>
      <c r="M57">
        <v>414000</v>
      </c>
      <c r="N57">
        <v>517000</v>
      </c>
      <c r="O57">
        <v>2.5466769467238102</v>
      </c>
      <c r="Q57" t="s">
        <v>35</v>
      </c>
      <c r="R57" t="s">
        <v>38</v>
      </c>
      <c r="S57">
        <v>18</v>
      </c>
      <c r="T57">
        <v>0</v>
      </c>
      <c r="U57">
        <v>75</v>
      </c>
      <c r="V57">
        <v>0.72</v>
      </c>
      <c r="W57">
        <v>0.9</v>
      </c>
      <c r="X57">
        <v>0</v>
      </c>
      <c r="Y57">
        <v>129.2702545099128</v>
      </c>
      <c r="Z57">
        <v>1.5</v>
      </c>
      <c r="AD57">
        <v>0.10764414471571518</v>
      </c>
      <c r="AK57">
        <v>0.46262651833971924</v>
      </c>
      <c r="AL57">
        <v>1.4626265183397194</v>
      </c>
      <c r="AM57">
        <v>-2.307229</v>
      </c>
      <c r="AN57">
        <v>0.5852366</v>
      </c>
      <c r="AO57">
        <v>0.201322</v>
      </c>
      <c r="AY57">
        <v>1.4274935</v>
      </c>
      <c r="AZ57">
        <v>-7.1050000000000002E-3</v>
      </c>
      <c r="BA57">
        <v>5.1415999999999996E-3</v>
      </c>
      <c r="BB57">
        <v>-1.4290590000000001</v>
      </c>
      <c r="BC57">
        <v>4.9200300000000002E-2</v>
      </c>
      <c r="BD57">
        <v>0.14513599999999999</v>
      </c>
      <c r="BE57">
        <v>2.0170299999999999E-2</v>
      </c>
      <c r="BF57">
        <v>-1.032025</v>
      </c>
      <c r="BH57">
        <v>1</v>
      </c>
      <c r="BI57">
        <v>0</v>
      </c>
      <c r="BJ57">
        <v>0</v>
      </c>
      <c r="BM57">
        <v>-4.6730844270599627E-2</v>
      </c>
      <c r="BS57">
        <v>-4.6730844270599627E-2</v>
      </c>
      <c r="BT57">
        <v>0</v>
      </c>
      <c r="BU57">
        <v>1.8835024417450885E-2</v>
      </c>
      <c r="BV57">
        <v>1.0190135223999457</v>
      </c>
      <c r="BW57">
        <v>1.0000000000000001E-5</v>
      </c>
      <c r="BX57">
        <v>1.0190135223999457</v>
      </c>
      <c r="BY57">
        <v>0.72299999999999998</v>
      </c>
      <c r="BZ57">
        <v>0.01</v>
      </c>
      <c r="CA57">
        <v>0.72299999999999998</v>
      </c>
      <c r="CB57">
        <v>0.3</v>
      </c>
      <c r="CC57">
        <v>0.3</v>
      </c>
      <c r="CD57">
        <v>0.3</v>
      </c>
    </row>
    <row r="58" spans="1:82" x14ac:dyDescent="0.25">
      <c r="A58">
        <v>37</v>
      </c>
      <c r="B58">
        <v>87</v>
      </c>
      <c r="C58" t="s">
        <v>97</v>
      </c>
      <c r="D58">
        <v>0.86360000000000003</v>
      </c>
      <c r="E58">
        <v>863.6</v>
      </c>
      <c r="F58">
        <v>1.1130000000000001E-2</v>
      </c>
      <c r="G58">
        <v>11.13</v>
      </c>
      <c r="H58">
        <v>77.592093441150041</v>
      </c>
      <c r="I58">
        <v>50</v>
      </c>
      <c r="J58" t="s">
        <v>39</v>
      </c>
      <c r="K58">
        <v>14</v>
      </c>
      <c r="L58">
        <v>15</v>
      </c>
      <c r="M58">
        <v>483000</v>
      </c>
      <c r="N58">
        <v>565000</v>
      </c>
      <c r="O58">
        <v>2.8799444073326219</v>
      </c>
      <c r="Q58" t="s">
        <v>35</v>
      </c>
      <c r="R58" t="s">
        <v>38</v>
      </c>
      <c r="S58">
        <v>18</v>
      </c>
      <c r="T58">
        <v>0</v>
      </c>
      <c r="U58">
        <v>75</v>
      </c>
      <c r="V58">
        <v>0.72</v>
      </c>
      <c r="W58">
        <v>0.9</v>
      </c>
      <c r="X58">
        <v>0</v>
      </c>
      <c r="Y58">
        <v>146.50628844456784</v>
      </c>
      <c r="Z58">
        <v>1.5</v>
      </c>
      <c r="AD58">
        <v>0.12199149455168937</v>
      </c>
      <c r="AK58">
        <v>0.57931434087634726</v>
      </c>
      <c r="AL58">
        <v>1.5793143408763473</v>
      </c>
      <c r="AM58">
        <v>-2.307229</v>
      </c>
      <c r="AN58">
        <v>0.5852366</v>
      </c>
      <c r="AO58">
        <v>0.201322</v>
      </c>
      <c r="AY58">
        <v>1.4274935</v>
      </c>
      <c r="AZ58">
        <v>-7.1050000000000002E-3</v>
      </c>
      <c r="BA58">
        <v>5.1415999999999996E-3</v>
      </c>
      <c r="BB58">
        <v>-1.4290590000000001</v>
      </c>
      <c r="BC58">
        <v>4.9200300000000002E-2</v>
      </c>
      <c r="BD58">
        <v>0.14513599999999999</v>
      </c>
      <c r="BE58">
        <v>2.0170299999999999E-2</v>
      </c>
      <c r="BF58">
        <v>-1.032025</v>
      </c>
      <c r="BH58">
        <v>1</v>
      </c>
      <c r="BI58">
        <v>0</v>
      </c>
      <c r="BJ58">
        <v>0</v>
      </c>
      <c r="BM58">
        <v>-0.13656097636803749</v>
      </c>
      <c r="BS58">
        <v>-0.13656097636803749</v>
      </c>
      <c r="BT58">
        <v>0</v>
      </c>
      <c r="BU58">
        <v>3.4566429204756499E-2</v>
      </c>
      <c r="BV58">
        <v>1.0351707916646211</v>
      </c>
      <c r="BW58">
        <v>1.0000000000000001E-5</v>
      </c>
      <c r="BX58">
        <v>1.0351707916646211</v>
      </c>
      <c r="BY58">
        <v>0.72299999999999998</v>
      </c>
      <c r="BZ58">
        <v>0.01</v>
      </c>
      <c r="CA58">
        <v>0.72299999999999998</v>
      </c>
      <c r="CB58">
        <v>0.3</v>
      </c>
      <c r="CC58">
        <v>0.3</v>
      </c>
      <c r="CD58">
        <v>0.3</v>
      </c>
    </row>
    <row r="59" spans="1:82" x14ac:dyDescent="0.25">
      <c r="A59">
        <v>38</v>
      </c>
      <c r="B59">
        <v>89</v>
      </c>
      <c r="C59" t="s">
        <v>97</v>
      </c>
      <c r="D59">
        <v>1.0668</v>
      </c>
      <c r="E59">
        <v>1066.8</v>
      </c>
      <c r="F59">
        <v>1.2699999999999999E-2</v>
      </c>
      <c r="G59">
        <v>12.7</v>
      </c>
      <c r="H59">
        <v>84</v>
      </c>
      <c r="I59">
        <v>100</v>
      </c>
      <c r="J59" t="s">
        <v>41</v>
      </c>
      <c r="K59">
        <v>15</v>
      </c>
      <c r="L59">
        <v>20</v>
      </c>
      <c r="M59">
        <v>552000</v>
      </c>
      <c r="N59">
        <v>625000</v>
      </c>
      <c r="O59">
        <v>2.9888368774026359</v>
      </c>
      <c r="Q59" t="s">
        <v>35</v>
      </c>
      <c r="R59" t="s">
        <v>40</v>
      </c>
      <c r="S59">
        <v>18.5</v>
      </c>
      <c r="T59">
        <v>0</v>
      </c>
      <c r="U59">
        <v>125</v>
      </c>
      <c r="V59">
        <v>0.4</v>
      </c>
      <c r="W59">
        <v>0.9</v>
      </c>
      <c r="X59">
        <v>0</v>
      </c>
      <c r="Y59">
        <v>167.57255214247957</v>
      </c>
      <c r="Z59">
        <v>1.5</v>
      </c>
      <c r="AD59">
        <v>0.13917170396098252</v>
      </c>
      <c r="AK59">
        <v>0.70118132861093019</v>
      </c>
      <c r="AL59">
        <v>2.2011813286109301</v>
      </c>
      <c r="AM59">
        <v>-2.307229</v>
      </c>
      <c r="AN59">
        <v>0.5852366</v>
      </c>
      <c r="AO59">
        <v>0.201322</v>
      </c>
      <c r="AY59">
        <v>1.4274935</v>
      </c>
      <c r="AZ59">
        <v>-7.1050000000000002E-3</v>
      </c>
      <c r="BA59">
        <v>5.1415999999999996E-3</v>
      </c>
      <c r="BB59">
        <v>-1.4290590000000001</v>
      </c>
      <c r="BC59">
        <v>4.9200300000000002E-2</v>
      </c>
      <c r="BD59">
        <v>0.14513599999999999</v>
      </c>
      <c r="BE59">
        <v>2.0170299999999999E-2</v>
      </c>
      <c r="BF59">
        <v>-1.032025</v>
      </c>
      <c r="BH59">
        <v>1</v>
      </c>
      <c r="BI59">
        <v>0</v>
      </c>
      <c r="BJ59">
        <v>0</v>
      </c>
      <c r="BM59">
        <v>-0.19777054799268215</v>
      </c>
      <c r="BS59">
        <v>-0.19777054799268215</v>
      </c>
      <c r="BT59">
        <v>0</v>
      </c>
      <c r="BU59">
        <v>-1.0808663411078889E-2</v>
      </c>
      <c r="BV59">
        <v>0.98924954030109691</v>
      </c>
      <c r="BW59">
        <v>1.0000000000000001E-5</v>
      </c>
      <c r="BX59">
        <v>0.98924954030109691</v>
      </c>
      <c r="BY59">
        <v>0.72299999999999998</v>
      </c>
      <c r="BZ59">
        <v>0.01</v>
      </c>
      <c r="CA59">
        <v>0.72299999999999998</v>
      </c>
      <c r="CB59">
        <v>0.3</v>
      </c>
      <c r="CC59">
        <v>0.3</v>
      </c>
      <c r="CD59">
        <v>0.3</v>
      </c>
    </row>
    <row r="60" spans="1:82" x14ac:dyDescent="0.25">
      <c r="A60">
        <v>39</v>
      </c>
      <c r="B60">
        <v>85</v>
      </c>
      <c r="C60" t="s">
        <v>97</v>
      </c>
      <c r="D60">
        <v>0.60960000000000003</v>
      </c>
      <c r="E60">
        <v>609.6</v>
      </c>
      <c r="F60">
        <v>1.1130000000000001E-2</v>
      </c>
      <c r="G60">
        <v>11.13</v>
      </c>
      <c r="H60">
        <v>54.770889487870619</v>
      </c>
      <c r="I60">
        <v>150</v>
      </c>
      <c r="J60" t="s">
        <v>64</v>
      </c>
      <c r="K60">
        <v>3</v>
      </c>
      <c r="L60">
        <v>9</v>
      </c>
      <c r="M60">
        <v>290000</v>
      </c>
      <c r="N60">
        <v>414000</v>
      </c>
      <c r="O60">
        <v>1.7363704307629526</v>
      </c>
      <c r="Q60" t="s">
        <v>35</v>
      </c>
      <c r="R60" t="s">
        <v>40</v>
      </c>
      <c r="S60">
        <v>18.5</v>
      </c>
      <c r="T60">
        <v>0</v>
      </c>
      <c r="U60">
        <v>125</v>
      </c>
      <c r="V60">
        <v>0.4</v>
      </c>
      <c r="W60">
        <v>0.9</v>
      </c>
      <c r="X60">
        <v>0</v>
      </c>
      <c r="Y60">
        <v>95.755744081416907</v>
      </c>
      <c r="Z60">
        <v>7.5</v>
      </c>
      <c r="AD60">
        <v>7.9294795208237082E-2</v>
      </c>
      <c r="AK60">
        <v>0.42306301468311602</v>
      </c>
      <c r="AL60">
        <v>1.923063014683116</v>
      </c>
      <c r="AM60">
        <v>-2.307229</v>
      </c>
      <c r="AN60">
        <v>0.5852366</v>
      </c>
      <c r="AO60">
        <v>0.201322</v>
      </c>
      <c r="AY60">
        <v>1.4274935</v>
      </c>
      <c r="AZ60">
        <v>-7.1050000000000002E-3</v>
      </c>
      <c r="BA60">
        <v>5.1415999999999996E-3</v>
      </c>
      <c r="BB60">
        <v>-1.4290590000000001</v>
      </c>
      <c r="BC60">
        <v>4.9200300000000002E-2</v>
      </c>
      <c r="BD60">
        <v>0.14513599999999999</v>
      </c>
      <c r="BE60">
        <v>2.0170299999999999E-2</v>
      </c>
      <c r="BF60">
        <v>-1.032025</v>
      </c>
      <c r="BH60">
        <v>0</v>
      </c>
      <c r="BI60">
        <v>1</v>
      </c>
      <c r="BJ60">
        <v>0</v>
      </c>
      <c r="BM60">
        <v>2.3499863959925666</v>
      </c>
      <c r="BS60">
        <v>0</v>
      </c>
      <c r="BT60">
        <v>2.3499863959925666</v>
      </c>
      <c r="BU60">
        <v>17.660464038190291</v>
      </c>
      <c r="BV60">
        <v>100</v>
      </c>
      <c r="BW60">
        <v>1.0000000000000001E-5</v>
      </c>
      <c r="BX60">
        <v>100</v>
      </c>
      <c r="BY60">
        <v>0.72299999999999998</v>
      </c>
      <c r="BZ60">
        <v>0.01</v>
      </c>
      <c r="CA60">
        <v>0.72299999999999998</v>
      </c>
      <c r="CB60">
        <v>0.3</v>
      </c>
      <c r="CC60">
        <v>0.3</v>
      </c>
      <c r="CD60">
        <v>0.3</v>
      </c>
    </row>
    <row r="61" spans="1:82" x14ac:dyDescent="0.25">
      <c r="A61">
        <v>40</v>
      </c>
      <c r="B61">
        <v>87</v>
      </c>
      <c r="C61" t="s">
        <v>97</v>
      </c>
      <c r="D61">
        <v>0.60960000000000003</v>
      </c>
      <c r="E61">
        <v>609.6</v>
      </c>
      <c r="F61">
        <v>1.1130000000000001E-2</v>
      </c>
      <c r="G61">
        <v>11.13</v>
      </c>
      <c r="H61">
        <v>54.770889487870619</v>
      </c>
      <c r="I61">
        <v>200</v>
      </c>
      <c r="J61" t="s">
        <v>65</v>
      </c>
      <c r="K61">
        <v>3</v>
      </c>
      <c r="L61">
        <v>8</v>
      </c>
      <c r="M61">
        <v>241000</v>
      </c>
      <c r="N61">
        <v>344000</v>
      </c>
      <c r="O61">
        <v>1.1599577949833839</v>
      </c>
      <c r="Q61" t="s">
        <v>35</v>
      </c>
      <c r="R61" t="s">
        <v>40</v>
      </c>
      <c r="S61">
        <v>18.5</v>
      </c>
      <c r="T61">
        <v>0</v>
      </c>
      <c r="U61">
        <v>125</v>
      </c>
      <c r="V61">
        <v>0.4</v>
      </c>
      <c r="W61">
        <v>0.9</v>
      </c>
      <c r="X61">
        <v>0</v>
      </c>
      <c r="Y61">
        <v>95.755744081416907</v>
      </c>
      <c r="Z61">
        <v>3.5</v>
      </c>
      <c r="AD61">
        <v>7.8028077275326749E-2</v>
      </c>
      <c r="AK61">
        <v>0.43296023982302467</v>
      </c>
      <c r="AL61">
        <v>1.9329602398230246</v>
      </c>
      <c r="AM61">
        <v>-2.307229</v>
      </c>
      <c r="AN61">
        <v>0.5852366</v>
      </c>
      <c r="AO61">
        <v>0.201322</v>
      </c>
      <c r="AY61">
        <v>1.4274935</v>
      </c>
      <c r="AZ61">
        <v>-7.1050000000000002E-3</v>
      </c>
      <c r="BA61">
        <v>5.1415999999999996E-3</v>
      </c>
      <c r="BB61">
        <v>-1.4290590000000001</v>
      </c>
      <c r="BC61">
        <v>4.9200300000000002E-2</v>
      </c>
      <c r="BD61">
        <v>0.14513599999999999</v>
      </c>
      <c r="BE61">
        <v>2.0170299999999999E-2</v>
      </c>
      <c r="BF61">
        <v>-1.032025</v>
      </c>
      <c r="BH61">
        <v>0</v>
      </c>
      <c r="BI61">
        <v>0</v>
      </c>
      <c r="BJ61">
        <v>0</v>
      </c>
      <c r="BM61">
        <v>0</v>
      </c>
      <c r="BS61">
        <v>0</v>
      </c>
      <c r="BT61">
        <v>0</v>
      </c>
      <c r="BU61">
        <v>3.5566068246042359E-2</v>
      </c>
      <c r="BV61">
        <v>1.0362061061865622</v>
      </c>
      <c r="BW61">
        <v>1.0000000000000001E-5</v>
      </c>
      <c r="BX61">
        <v>1.0362061061865622</v>
      </c>
      <c r="BY61">
        <v>0.72299999999999998</v>
      </c>
      <c r="BZ61">
        <v>0.01</v>
      </c>
      <c r="CA61">
        <v>0.72299999999999998</v>
      </c>
      <c r="CB61">
        <v>0.3</v>
      </c>
      <c r="CC61">
        <v>0.3</v>
      </c>
      <c r="CD61">
        <v>0.3</v>
      </c>
    </row>
    <row r="62" spans="1:82" x14ac:dyDescent="0.25">
      <c r="A62">
        <v>41</v>
      </c>
      <c r="B62">
        <v>176</v>
      </c>
      <c r="C62" t="s">
        <v>98</v>
      </c>
      <c r="E62">
        <v>610</v>
      </c>
      <c r="G62">
        <v>10.199999999999999</v>
      </c>
      <c r="J62" t="s">
        <v>34</v>
      </c>
      <c r="K62">
        <v>8</v>
      </c>
      <c r="L62">
        <v>10</v>
      </c>
      <c r="M62">
        <v>359000</v>
      </c>
      <c r="P62">
        <v>100</v>
      </c>
      <c r="Q62" t="s">
        <v>42</v>
      </c>
      <c r="S62">
        <v>19</v>
      </c>
      <c r="T62">
        <v>38</v>
      </c>
      <c r="U62">
        <v>40</v>
      </c>
      <c r="V62">
        <v>0.75</v>
      </c>
      <c r="W62">
        <v>0.75</v>
      </c>
      <c r="X62">
        <v>1.2</v>
      </c>
      <c r="Y62">
        <v>23.723510319999999</v>
      </c>
      <c r="Z62">
        <v>0.5</v>
      </c>
      <c r="BP62">
        <v>1234.3048779999999</v>
      </c>
      <c r="BQ62">
        <v>307.95887750000003</v>
      </c>
      <c r="BR62">
        <v>50</v>
      </c>
      <c r="BV62">
        <v>3.0857599999999999E-2</v>
      </c>
      <c r="BW62">
        <v>3.0857599999999999E-2</v>
      </c>
      <c r="BX62">
        <v>1.0000000000000001E-5</v>
      </c>
      <c r="BY62">
        <v>0.45</v>
      </c>
      <c r="BZ62">
        <v>0.45</v>
      </c>
      <c r="CA62">
        <v>0.01</v>
      </c>
      <c r="CB62">
        <v>0.3</v>
      </c>
      <c r="CC62">
        <v>0.3</v>
      </c>
      <c r="CD62">
        <v>0.3</v>
      </c>
    </row>
    <row r="63" spans="1:82" x14ac:dyDescent="0.25">
      <c r="A63">
        <v>42</v>
      </c>
      <c r="B63">
        <v>179</v>
      </c>
      <c r="C63" t="s">
        <v>98</v>
      </c>
      <c r="E63">
        <v>560</v>
      </c>
      <c r="G63">
        <v>7.1</v>
      </c>
      <c r="J63" t="s">
        <v>37</v>
      </c>
      <c r="K63">
        <v>8</v>
      </c>
      <c r="L63">
        <v>12</v>
      </c>
      <c r="M63">
        <v>414000</v>
      </c>
      <c r="P63">
        <v>100</v>
      </c>
      <c r="Q63" t="s">
        <v>42</v>
      </c>
      <c r="S63">
        <v>18</v>
      </c>
      <c r="T63">
        <v>32</v>
      </c>
      <c r="U63">
        <v>33.5</v>
      </c>
      <c r="V63">
        <v>0.6</v>
      </c>
      <c r="W63">
        <v>0.55000000000000004</v>
      </c>
      <c r="X63">
        <v>1.2</v>
      </c>
      <c r="Y63">
        <v>12.05453361</v>
      </c>
      <c r="Z63">
        <v>0.3</v>
      </c>
      <c r="BP63">
        <v>977.45236279999995</v>
      </c>
      <c r="BQ63">
        <v>398.01646820000002</v>
      </c>
      <c r="BR63">
        <v>50</v>
      </c>
      <c r="BV63">
        <v>2.4436300000000001E-2</v>
      </c>
      <c r="BW63">
        <v>2.4436300000000001E-2</v>
      </c>
      <c r="BX63">
        <v>1.0000000000000001E-5</v>
      </c>
      <c r="BY63">
        <v>0.45</v>
      </c>
      <c r="BZ63">
        <v>0.45</v>
      </c>
      <c r="CA63">
        <v>0.01</v>
      </c>
      <c r="CB63">
        <v>0.3</v>
      </c>
      <c r="CC63">
        <v>0.3</v>
      </c>
      <c r="CD63">
        <v>0.3</v>
      </c>
    </row>
    <row r="64" spans="1:82" x14ac:dyDescent="0.25">
      <c r="A64">
        <v>43</v>
      </c>
      <c r="B64">
        <v>180</v>
      </c>
      <c r="C64" t="s">
        <v>98</v>
      </c>
      <c r="E64">
        <v>560</v>
      </c>
      <c r="G64">
        <v>7.1</v>
      </c>
      <c r="J64" t="s">
        <v>37</v>
      </c>
      <c r="K64">
        <v>8</v>
      </c>
      <c r="L64">
        <v>12</v>
      </c>
      <c r="M64">
        <v>414000</v>
      </c>
      <c r="P64">
        <v>200</v>
      </c>
      <c r="Q64" t="s">
        <v>42</v>
      </c>
      <c r="S64">
        <v>19</v>
      </c>
      <c r="T64">
        <v>38</v>
      </c>
      <c r="U64">
        <v>48</v>
      </c>
      <c r="V64">
        <v>0.7</v>
      </c>
      <c r="W64">
        <v>0.65</v>
      </c>
      <c r="X64">
        <v>1.8</v>
      </c>
      <c r="Y64">
        <v>27.674087950000001</v>
      </c>
      <c r="Z64">
        <v>0.6</v>
      </c>
      <c r="BP64">
        <v>2243.977539</v>
      </c>
      <c r="BQ64">
        <v>209.52160710000001</v>
      </c>
      <c r="BR64">
        <v>100</v>
      </c>
      <c r="BV64">
        <v>0.1122433</v>
      </c>
      <c r="BW64">
        <v>0.1122433</v>
      </c>
      <c r="BX64">
        <v>1.0000000000000001E-5</v>
      </c>
      <c r="BY64">
        <v>0.45</v>
      </c>
      <c r="BZ64">
        <v>0.45</v>
      </c>
      <c r="CA64">
        <v>0.01</v>
      </c>
      <c r="CB64">
        <v>0.3</v>
      </c>
      <c r="CC64">
        <v>0.3</v>
      </c>
      <c r="CD64">
        <v>0.3</v>
      </c>
    </row>
    <row r="65" spans="1:82" x14ac:dyDescent="0.25">
      <c r="A65">
        <v>44</v>
      </c>
      <c r="B65">
        <v>177</v>
      </c>
      <c r="C65" t="s">
        <v>98</v>
      </c>
      <c r="E65">
        <v>560</v>
      </c>
      <c r="G65">
        <v>7.1</v>
      </c>
      <c r="J65" t="s">
        <v>64</v>
      </c>
      <c r="K65">
        <v>3</v>
      </c>
      <c r="L65">
        <v>9</v>
      </c>
      <c r="M65">
        <v>290000</v>
      </c>
      <c r="P65">
        <v>300</v>
      </c>
      <c r="Q65" t="s">
        <v>42</v>
      </c>
      <c r="S65">
        <v>20</v>
      </c>
      <c r="T65">
        <v>44</v>
      </c>
      <c r="U65">
        <v>62.2</v>
      </c>
      <c r="V65">
        <v>0.8</v>
      </c>
      <c r="W65">
        <v>0.75</v>
      </c>
      <c r="X65">
        <v>2.4</v>
      </c>
      <c r="Y65">
        <v>54.839880450000003</v>
      </c>
      <c r="Z65">
        <v>1</v>
      </c>
      <c r="BP65">
        <v>4446.7394979999999</v>
      </c>
      <c r="BQ65">
        <v>95.9923967</v>
      </c>
      <c r="BR65">
        <v>95.9923967</v>
      </c>
      <c r="BV65">
        <v>2.2897476999999999</v>
      </c>
      <c r="BW65">
        <v>2.2897476999999999</v>
      </c>
      <c r="BX65">
        <v>1.0000000000000001E-5</v>
      </c>
      <c r="BY65">
        <v>0.45</v>
      </c>
      <c r="BZ65">
        <v>0.45</v>
      </c>
      <c r="CA65">
        <v>0.01</v>
      </c>
      <c r="CB65">
        <v>0.3</v>
      </c>
      <c r="CC65">
        <v>0.3</v>
      </c>
      <c r="CD65">
        <v>0.3</v>
      </c>
    </row>
    <row r="66" spans="1:82" x14ac:dyDescent="0.25">
      <c r="A66">
        <v>45</v>
      </c>
      <c r="B66">
        <v>177</v>
      </c>
      <c r="C66" t="s">
        <v>98</v>
      </c>
      <c r="E66">
        <v>1257</v>
      </c>
      <c r="G66">
        <v>6.5</v>
      </c>
      <c r="J66" t="s">
        <v>65</v>
      </c>
      <c r="K66">
        <v>3</v>
      </c>
      <c r="L66">
        <v>8</v>
      </c>
      <c r="M66">
        <v>241000</v>
      </c>
      <c r="P66">
        <v>100</v>
      </c>
      <c r="Q66" t="s">
        <v>42</v>
      </c>
      <c r="S66">
        <v>18</v>
      </c>
      <c r="T66">
        <v>32</v>
      </c>
      <c r="U66">
        <v>33.5</v>
      </c>
      <c r="V66">
        <v>0.6</v>
      </c>
      <c r="W66">
        <v>0.55000000000000004</v>
      </c>
      <c r="X66">
        <v>1.2</v>
      </c>
      <c r="Y66">
        <v>27.05812276</v>
      </c>
      <c r="Z66">
        <v>0.3</v>
      </c>
      <c r="BP66">
        <v>1059.621441</v>
      </c>
      <c r="BQ66">
        <v>249.48299940000001</v>
      </c>
      <c r="BR66">
        <v>50</v>
      </c>
      <c r="BV66">
        <v>2.64906E-2</v>
      </c>
      <c r="BW66">
        <v>2.64906E-2</v>
      </c>
      <c r="BX66">
        <v>1.0000000000000001E-5</v>
      </c>
      <c r="BY66">
        <v>0.45</v>
      </c>
      <c r="BZ66">
        <v>0.45</v>
      </c>
      <c r="CA66">
        <v>0.01</v>
      </c>
      <c r="CB66">
        <v>0.3</v>
      </c>
      <c r="CC66">
        <v>0.3</v>
      </c>
      <c r="CD66">
        <v>0.3</v>
      </c>
    </row>
    <row r="67" spans="1:82" x14ac:dyDescent="0.25">
      <c r="A67">
        <v>46</v>
      </c>
      <c r="B67">
        <v>178</v>
      </c>
      <c r="C67" t="s">
        <v>98</v>
      </c>
      <c r="E67">
        <v>1257</v>
      </c>
      <c r="G67">
        <v>6.5</v>
      </c>
      <c r="J67" t="s">
        <v>34</v>
      </c>
      <c r="K67">
        <v>8</v>
      </c>
      <c r="L67">
        <v>10</v>
      </c>
      <c r="M67">
        <v>359000</v>
      </c>
      <c r="P67">
        <v>200</v>
      </c>
      <c r="Q67" t="s">
        <v>42</v>
      </c>
      <c r="S67">
        <v>19</v>
      </c>
      <c r="T67">
        <v>38</v>
      </c>
      <c r="U67">
        <v>48</v>
      </c>
      <c r="V67">
        <v>0.7</v>
      </c>
      <c r="W67">
        <v>0.65</v>
      </c>
      <c r="X67">
        <v>1.8</v>
      </c>
      <c r="Y67">
        <v>62.118443849999998</v>
      </c>
      <c r="Z67">
        <v>0.6</v>
      </c>
      <c r="BP67">
        <v>2432.6164659999999</v>
      </c>
      <c r="BQ67">
        <v>177.15355159999999</v>
      </c>
      <c r="BR67">
        <v>100</v>
      </c>
      <c r="BV67">
        <v>0.12343610000000001</v>
      </c>
      <c r="BW67">
        <v>0.12343610000000001</v>
      </c>
      <c r="BX67">
        <v>1.0000000000000001E-5</v>
      </c>
      <c r="BY67">
        <v>0.45</v>
      </c>
      <c r="BZ67">
        <v>0.45</v>
      </c>
      <c r="CA67">
        <v>0.01</v>
      </c>
      <c r="CB67">
        <v>0.3</v>
      </c>
      <c r="CC67">
        <v>0.3</v>
      </c>
      <c r="CD67">
        <v>0.3</v>
      </c>
    </row>
    <row r="68" spans="1:82" x14ac:dyDescent="0.25">
      <c r="A68">
        <v>47</v>
      </c>
      <c r="B68">
        <v>175</v>
      </c>
      <c r="C68" t="s">
        <v>98</v>
      </c>
      <c r="E68">
        <v>1257</v>
      </c>
      <c r="G68">
        <v>6.5</v>
      </c>
      <c r="J68" t="s">
        <v>64</v>
      </c>
      <c r="K68">
        <v>3</v>
      </c>
      <c r="L68">
        <v>9</v>
      </c>
      <c r="M68">
        <v>290000</v>
      </c>
      <c r="P68">
        <v>300</v>
      </c>
      <c r="Q68" t="s">
        <v>42</v>
      </c>
      <c r="S68">
        <v>20</v>
      </c>
      <c r="T68">
        <v>44</v>
      </c>
      <c r="U68">
        <v>62.2</v>
      </c>
      <c r="V68">
        <v>0.8</v>
      </c>
      <c r="W68">
        <v>0.75</v>
      </c>
      <c r="X68">
        <v>2.4</v>
      </c>
      <c r="Y68">
        <v>123.0959459</v>
      </c>
      <c r="Z68">
        <v>1</v>
      </c>
      <c r="BP68">
        <v>4820.552584</v>
      </c>
      <c r="BQ68">
        <v>90.33357694</v>
      </c>
      <c r="BR68">
        <v>90.33357694</v>
      </c>
      <c r="BV68">
        <v>2.7526799999999998</v>
      </c>
      <c r="BW68">
        <v>2.7526799999999998</v>
      </c>
      <c r="BX68">
        <v>1.0000000000000001E-5</v>
      </c>
      <c r="BY68">
        <v>0.45</v>
      </c>
      <c r="BZ68">
        <v>0.45</v>
      </c>
      <c r="CA68">
        <v>0.01</v>
      </c>
      <c r="CB68">
        <v>0.3</v>
      </c>
      <c r="CC68">
        <v>0.3</v>
      </c>
      <c r="CD68">
        <v>0.3</v>
      </c>
    </row>
    <row r="69" spans="1:82" x14ac:dyDescent="0.25">
      <c r="A69">
        <v>48</v>
      </c>
      <c r="B69">
        <v>178</v>
      </c>
      <c r="C69" t="s">
        <v>98</v>
      </c>
      <c r="E69">
        <v>1723</v>
      </c>
      <c r="G69">
        <v>9.5</v>
      </c>
      <c r="J69" t="s">
        <v>39</v>
      </c>
      <c r="K69">
        <v>14</v>
      </c>
      <c r="L69">
        <v>15</v>
      </c>
      <c r="M69">
        <v>483000</v>
      </c>
      <c r="P69">
        <v>100</v>
      </c>
      <c r="Q69" t="s">
        <v>42</v>
      </c>
      <c r="S69">
        <v>18</v>
      </c>
      <c r="T69">
        <v>32</v>
      </c>
      <c r="U69">
        <v>33.5</v>
      </c>
      <c r="V69">
        <v>0.6</v>
      </c>
      <c r="W69">
        <v>0.55000000000000004</v>
      </c>
      <c r="X69">
        <v>1.2</v>
      </c>
      <c r="Y69">
        <v>37.089216800000003</v>
      </c>
      <c r="Z69">
        <v>0.3</v>
      </c>
      <c r="BP69">
        <v>725.25390489999995</v>
      </c>
      <c r="BQ69">
        <v>584.57292270000005</v>
      </c>
      <c r="BR69">
        <v>50</v>
      </c>
      <c r="BV69">
        <v>1.81313E-2</v>
      </c>
      <c r="BW69">
        <v>1.81313E-2</v>
      </c>
      <c r="BX69">
        <v>1.0000000000000001E-5</v>
      </c>
      <c r="BY69">
        <v>0.45</v>
      </c>
      <c r="BZ69">
        <v>0.45</v>
      </c>
      <c r="CA69">
        <v>0.01</v>
      </c>
      <c r="CB69">
        <v>0.3</v>
      </c>
      <c r="CC69">
        <v>0.3</v>
      </c>
      <c r="CD69">
        <v>0.3</v>
      </c>
    </row>
    <row r="70" spans="1:82" x14ac:dyDescent="0.25">
      <c r="A70">
        <v>49</v>
      </c>
      <c r="B70">
        <v>178</v>
      </c>
      <c r="C70" t="s">
        <v>98</v>
      </c>
      <c r="E70">
        <v>1723</v>
      </c>
      <c r="G70">
        <v>9.5</v>
      </c>
      <c r="J70" t="s">
        <v>64</v>
      </c>
      <c r="K70">
        <v>3</v>
      </c>
      <c r="L70">
        <v>9</v>
      </c>
      <c r="M70">
        <v>290000</v>
      </c>
      <c r="P70">
        <v>200</v>
      </c>
      <c r="Q70" t="s">
        <v>42</v>
      </c>
      <c r="S70">
        <v>19</v>
      </c>
      <c r="T70">
        <v>38</v>
      </c>
      <c r="U70">
        <v>48</v>
      </c>
      <c r="V70">
        <v>0.7</v>
      </c>
      <c r="W70">
        <v>0.65</v>
      </c>
      <c r="X70">
        <v>1.8</v>
      </c>
      <c r="Y70">
        <v>85.147238470000005</v>
      </c>
      <c r="Z70">
        <v>0.6</v>
      </c>
      <c r="BP70">
        <v>1664.9951799999999</v>
      </c>
      <c r="BQ70">
        <v>209.7891731</v>
      </c>
      <c r="BR70">
        <v>100</v>
      </c>
      <c r="BV70">
        <v>8.3419099999999996E-2</v>
      </c>
      <c r="BW70">
        <v>8.3419099999999996E-2</v>
      </c>
      <c r="BX70">
        <v>1.0000000000000001E-5</v>
      </c>
      <c r="BY70">
        <v>0.45</v>
      </c>
      <c r="BZ70">
        <v>0.45</v>
      </c>
      <c r="CA70">
        <v>0.01</v>
      </c>
      <c r="CB70">
        <v>0.3</v>
      </c>
      <c r="CC70">
        <v>0.3</v>
      </c>
      <c r="CD70">
        <v>0.3</v>
      </c>
    </row>
    <row r="71" spans="1:82" x14ac:dyDescent="0.25">
      <c r="A71">
        <v>50</v>
      </c>
      <c r="B71">
        <v>176</v>
      </c>
      <c r="C71" t="s">
        <v>98</v>
      </c>
      <c r="E71">
        <v>1723</v>
      </c>
      <c r="G71">
        <v>9.5</v>
      </c>
      <c r="J71" t="s">
        <v>64</v>
      </c>
      <c r="K71">
        <v>3</v>
      </c>
      <c r="L71">
        <v>9</v>
      </c>
      <c r="M71">
        <v>290000</v>
      </c>
      <c r="P71">
        <v>300</v>
      </c>
      <c r="Q71" t="s">
        <v>42</v>
      </c>
      <c r="S71">
        <v>20</v>
      </c>
      <c r="T71">
        <v>44</v>
      </c>
      <c r="U71">
        <v>62.2</v>
      </c>
      <c r="V71">
        <v>0.8</v>
      </c>
      <c r="W71">
        <v>0.75</v>
      </c>
      <c r="X71">
        <v>2.4</v>
      </c>
      <c r="Y71">
        <v>168.73056070000001</v>
      </c>
      <c r="Z71">
        <v>1</v>
      </c>
      <c r="BP71">
        <v>3299.4090630000001</v>
      </c>
      <c r="BQ71">
        <v>125.57334109999999</v>
      </c>
      <c r="BR71">
        <v>125.57334109999999</v>
      </c>
      <c r="BV71">
        <v>1.7483107</v>
      </c>
      <c r="BW71">
        <v>1.7483107</v>
      </c>
      <c r="BX71">
        <v>1.0000000000000001E-5</v>
      </c>
      <c r="BY71">
        <v>0.45</v>
      </c>
      <c r="BZ71">
        <v>0.45</v>
      </c>
      <c r="CA71">
        <v>0.01</v>
      </c>
      <c r="CB71">
        <v>0.3</v>
      </c>
      <c r="CC71">
        <v>0.3</v>
      </c>
      <c r="CD71">
        <v>0.3</v>
      </c>
    </row>
    <row r="72" spans="1:82" x14ac:dyDescent="0.25">
      <c r="A72">
        <v>51</v>
      </c>
      <c r="B72">
        <v>175</v>
      </c>
      <c r="C72" t="s">
        <v>98</v>
      </c>
      <c r="E72">
        <v>168</v>
      </c>
      <c r="G72">
        <v>4.8</v>
      </c>
      <c r="J72" t="s">
        <v>34</v>
      </c>
      <c r="K72">
        <v>8</v>
      </c>
      <c r="L72">
        <v>10</v>
      </c>
      <c r="M72">
        <v>359000</v>
      </c>
      <c r="P72">
        <v>100</v>
      </c>
      <c r="Q72" t="s">
        <v>42</v>
      </c>
      <c r="S72">
        <v>18</v>
      </c>
      <c r="T72">
        <v>32</v>
      </c>
      <c r="U72">
        <v>33.5</v>
      </c>
      <c r="V72">
        <v>0.6</v>
      </c>
      <c r="W72">
        <v>0.55000000000000004</v>
      </c>
      <c r="X72">
        <v>1.2</v>
      </c>
      <c r="Y72">
        <v>3.6163600819999999</v>
      </c>
      <c r="Z72">
        <v>0.3</v>
      </c>
      <c r="BP72">
        <v>1469.4689109999999</v>
      </c>
      <c r="BQ72">
        <v>250.59552020000001</v>
      </c>
      <c r="BR72">
        <v>50</v>
      </c>
      <c r="BV72">
        <v>3.6736699999999997E-2</v>
      </c>
      <c r="BW72">
        <v>3.6736699999999997E-2</v>
      </c>
      <c r="BX72">
        <v>1.0000000000000001E-5</v>
      </c>
      <c r="BY72">
        <v>0.45</v>
      </c>
      <c r="BZ72">
        <v>0.45</v>
      </c>
      <c r="CA72">
        <v>0.01</v>
      </c>
      <c r="CB72">
        <v>0.3</v>
      </c>
      <c r="CC72">
        <v>0.3</v>
      </c>
      <c r="CD72">
        <v>0.3</v>
      </c>
    </row>
    <row r="73" spans="1:82" x14ac:dyDescent="0.25">
      <c r="A73">
        <v>52</v>
      </c>
      <c r="B73">
        <v>175</v>
      </c>
      <c r="C73" t="s">
        <v>98</v>
      </c>
      <c r="E73">
        <v>168</v>
      </c>
      <c r="G73">
        <v>4.8</v>
      </c>
      <c r="J73" t="s">
        <v>64</v>
      </c>
      <c r="K73">
        <v>3</v>
      </c>
      <c r="L73">
        <v>9</v>
      </c>
      <c r="M73">
        <v>290000</v>
      </c>
      <c r="P73">
        <v>200</v>
      </c>
      <c r="Q73" t="s">
        <v>42</v>
      </c>
      <c r="S73">
        <v>19</v>
      </c>
      <c r="T73">
        <v>38</v>
      </c>
      <c r="U73">
        <v>48</v>
      </c>
      <c r="V73">
        <v>0.7</v>
      </c>
      <c r="W73">
        <v>0.65</v>
      </c>
      <c r="X73">
        <v>1.8</v>
      </c>
      <c r="Y73">
        <v>8.3022263859999992</v>
      </c>
      <c r="Z73">
        <v>0.6</v>
      </c>
      <c r="BP73">
        <v>3373.5201390000002</v>
      </c>
      <c r="BQ73">
        <v>112.3792277</v>
      </c>
      <c r="BR73">
        <v>100</v>
      </c>
      <c r="BV73">
        <v>0.3660738</v>
      </c>
      <c r="BW73">
        <v>0.3660738</v>
      </c>
      <c r="BX73">
        <v>1.0000000000000001E-5</v>
      </c>
      <c r="BY73">
        <v>0.45</v>
      </c>
      <c r="BZ73">
        <v>0.45</v>
      </c>
      <c r="CA73">
        <v>0.01</v>
      </c>
      <c r="CB73">
        <v>0.3</v>
      </c>
      <c r="CC73">
        <v>0.3</v>
      </c>
      <c r="CD73">
        <v>0.3</v>
      </c>
    </row>
    <row r="74" spans="1:82" x14ac:dyDescent="0.25">
      <c r="A74">
        <v>53</v>
      </c>
      <c r="B74">
        <v>175</v>
      </c>
      <c r="C74" t="s">
        <v>98</v>
      </c>
      <c r="E74">
        <v>168</v>
      </c>
      <c r="G74">
        <v>4.8</v>
      </c>
      <c r="J74" t="s">
        <v>41</v>
      </c>
      <c r="K74">
        <v>15</v>
      </c>
      <c r="L74">
        <v>20</v>
      </c>
      <c r="M74">
        <v>552000</v>
      </c>
      <c r="P74">
        <v>300</v>
      </c>
      <c r="Q74" t="s">
        <v>42</v>
      </c>
      <c r="S74">
        <v>20</v>
      </c>
      <c r="T74">
        <v>44</v>
      </c>
      <c r="U74">
        <v>62.2</v>
      </c>
      <c r="V74">
        <v>0.8</v>
      </c>
      <c r="W74">
        <v>0.75</v>
      </c>
      <c r="X74">
        <v>2.4</v>
      </c>
      <c r="Y74">
        <v>16.451964140000001</v>
      </c>
      <c r="Z74">
        <v>1</v>
      </c>
      <c r="BP74">
        <v>6685.0781649999999</v>
      </c>
      <c r="BQ74">
        <v>109.07765000000001</v>
      </c>
      <c r="BR74">
        <v>109.07765000000001</v>
      </c>
      <c r="BV74">
        <v>68.558872100000002</v>
      </c>
      <c r="BW74">
        <v>68.558872100000002</v>
      </c>
      <c r="BX74">
        <v>1.0000000000000001E-5</v>
      </c>
      <c r="BY74">
        <v>0.45</v>
      </c>
      <c r="BZ74">
        <v>0.45</v>
      </c>
      <c r="CA74">
        <v>0.01</v>
      </c>
      <c r="CB74">
        <v>0.3</v>
      </c>
      <c r="CC74">
        <v>0.3</v>
      </c>
      <c r="CD74">
        <v>0.3</v>
      </c>
    </row>
    <row r="75" spans="1:82" x14ac:dyDescent="0.25">
      <c r="A75">
        <v>54</v>
      </c>
      <c r="B75">
        <v>176</v>
      </c>
      <c r="C75" t="s">
        <v>98</v>
      </c>
      <c r="E75">
        <v>762</v>
      </c>
      <c r="G75">
        <v>9.5</v>
      </c>
      <c r="J75" t="s">
        <v>41</v>
      </c>
      <c r="K75">
        <v>15</v>
      </c>
      <c r="L75">
        <v>20</v>
      </c>
      <c r="M75">
        <v>552000</v>
      </c>
      <c r="P75">
        <v>100</v>
      </c>
      <c r="Q75" t="s">
        <v>42</v>
      </c>
      <c r="S75">
        <v>18</v>
      </c>
      <c r="T75">
        <v>32</v>
      </c>
      <c r="U75">
        <v>33.5</v>
      </c>
      <c r="V75">
        <v>0.6</v>
      </c>
      <c r="W75">
        <v>0.55000000000000004</v>
      </c>
      <c r="X75">
        <v>1.2</v>
      </c>
      <c r="Y75">
        <v>16.40277609</v>
      </c>
      <c r="Z75">
        <v>0.3</v>
      </c>
      <c r="BP75">
        <v>730.36066300000005</v>
      </c>
      <c r="BQ75">
        <v>636.81414540000003</v>
      </c>
      <c r="BR75">
        <v>50</v>
      </c>
      <c r="BV75">
        <v>1.8259000000000001E-2</v>
      </c>
      <c r="BW75">
        <v>1.8259000000000001E-2</v>
      </c>
      <c r="BX75">
        <v>1.0000000000000001E-5</v>
      </c>
      <c r="BY75">
        <v>0.45</v>
      </c>
      <c r="BZ75">
        <v>0.45</v>
      </c>
      <c r="CA75">
        <v>0.01</v>
      </c>
      <c r="CB75">
        <v>0.3</v>
      </c>
      <c r="CC75">
        <v>0.3</v>
      </c>
      <c r="CD75">
        <v>0.3</v>
      </c>
    </row>
    <row r="76" spans="1:82" x14ac:dyDescent="0.25">
      <c r="A76">
        <v>55</v>
      </c>
      <c r="B76">
        <v>177</v>
      </c>
      <c r="C76" t="s">
        <v>98</v>
      </c>
      <c r="E76">
        <v>762</v>
      </c>
      <c r="G76">
        <v>9.5</v>
      </c>
      <c r="J76" t="s">
        <v>34</v>
      </c>
      <c r="K76">
        <v>8</v>
      </c>
      <c r="L76">
        <v>10</v>
      </c>
      <c r="M76">
        <v>359000</v>
      </c>
      <c r="P76">
        <v>200</v>
      </c>
      <c r="Q76" t="s">
        <v>42</v>
      </c>
      <c r="S76">
        <v>19</v>
      </c>
      <c r="T76">
        <v>38</v>
      </c>
      <c r="U76">
        <v>48</v>
      </c>
      <c r="V76">
        <v>0.7</v>
      </c>
      <c r="W76">
        <v>0.65</v>
      </c>
      <c r="X76">
        <v>1.8</v>
      </c>
      <c r="Y76">
        <v>37.656526820000003</v>
      </c>
      <c r="Z76">
        <v>0.6</v>
      </c>
      <c r="BP76">
        <v>1676.7189739999999</v>
      </c>
      <c r="BQ76">
        <v>242.6722742</v>
      </c>
      <c r="BR76">
        <v>100</v>
      </c>
      <c r="BV76">
        <v>8.3866099999999999E-2</v>
      </c>
      <c r="BW76">
        <v>8.3866099999999999E-2</v>
      </c>
      <c r="BX76">
        <v>1.0000000000000001E-5</v>
      </c>
      <c r="BY76">
        <v>0.45</v>
      </c>
      <c r="BZ76">
        <v>0.45</v>
      </c>
      <c r="CA76">
        <v>0.01</v>
      </c>
      <c r="CB76">
        <v>0.3</v>
      </c>
      <c r="CC76">
        <v>0.3</v>
      </c>
      <c r="CD76">
        <v>0.3</v>
      </c>
    </row>
    <row r="77" spans="1:82" x14ac:dyDescent="0.25">
      <c r="A77">
        <v>56</v>
      </c>
      <c r="B77">
        <v>179</v>
      </c>
      <c r="C77" t="s">
        <v>98</v>
      </c>
      <c r="E77">
        <v>762</v>
      </c>
      <c r="G77">
        <v>9.5</v>
      </c>
      <c r="J77" t="s">
        <v>41</v>
      </c>
      <c r="K77">
        <v>15</v>
      </c>
      <c r="L77">
        <v>20</v>
      </c>
      <c r="M77">
        <v>552000</v>
      </c>
      <c r="P77">
        <v>300</v>
      </c>
      <c r="Q77" t="s">
        <v>42</v>
      </c>
      <c r="S77">
        <v>20</v>
      </c>
      <c r="T77">
        <v>44</v>
      </c>
      <c r="U77">
        <v>62.2</v>
      </c>
      <c r="V77">
        <v>0.8</v>
      </c>
      <c r="W77">
        <v>0.75</v>
      </c>
      <c r="X77">
        <v>2.4</v>
      </c>
      <c r="Y77">
        <v>74.621408759999994</v>
      </c>
      <c r="Z77">
        <v>1</v>
      </c>
      <c r="BP77">
        <v>3322.6413189999998</v>
      </c>
      <c r="BQ77">
        <v>200.65724950000001</v>
      </c>
      <c r="BR77">
        <v>150</v>
      </c>
      <c r="BV77">
        <v>0.27227249999999997</v>
      </c>
      <c r="BW77">
        <v>0.27227249999999997</v>
      </c>
      <c r="BX77">
        <v>1.0000000000000001E-5</v>
      </c>
      <c r="BY77">
        <v>0.45</v>
      </c>
      <c r="BZ77">
        <v>0.45</v>
      </c>
      <c r="CA77">
        <v>0.01</v>
      </c>
      <c r="CB77">
        <v>0.3</v>
      </c>
      <c r="CC77">
        <v>0.3</v>
      </c>
      <c r="CD77">
        <v>0.3</v>
      </c>
    </row>
    <row r="78" spans="1:82" x14ac:dyDescent="0.25">
      <c r="A78">
        <v>57</v>
      </c>
      <c r="B78">
        <v>177</v>
      </c>
      <c r="C78" t="s">
        <v>98</v>
      </c>
      <c r="E78">
        <v>610</v>
      </c>
      <c r="G78">
        <v>6.4</v>
      </c>
      <c r="J78" t="s">
        <v>34</v>
      </c>
      <c r="K78">
        <v>8</v>
      </c>
      <c r="L78">
        <v>10</v>
      </c>
      <c r="M78">
        <v>359000</v>
      </c>
      <c r="P78">
        <v>100</v>
      </c>
      <c r="Q78" t="s">
        <v>42</v>
      </c>
      <c r="S78">
        <v>18</v>
      </c>
      <c r="T78">
        <v>32</v>
      </c>
      <c r="U78">
        <v>33.5</v>
      </c>
      <c r="V78">
        <v>0.6</v>
      </c>
      <c r="W78">
        <v>0.55000000000000004</v>
      </c>
      <c r="X78">
        <v>1.2</v>
      </c>
      <c r="Y78">
        <v>13.13083125</v>
      </c>
      <c r="Z78">
        <v>0.3</v>
      </c>
      <c r="BP78">
        <v>1081.9648259999999</v>
      </c>
      <c r="BQ78">
        <v>327.81318340000001</v>
      </c>
      <c r="BR78">
        <v>50</v>
      </c>
      <c r="BV78">
        <v>2.70491E-2</v>
      </c>
      <c r="BW78">
        <v>2.70491E-2</v>
      </c>
      <c r="BX78">
        <v>1.0000000000000001E-5</v>
      </c>
      <c r="BY78">
        <v>0.45</v>
      </c>
      <c r="BZ78">
        <v>0.45</v>
      </c>
      <c r="CA78">
        <v>0.01</v>
      </c>
      <c r="CB78">
        <v>0.3</v>
      </c>
      <c r="CC78">
        <v>0.3</v>
      </c>
      <c r="CD78">
        <v>0.3</v>
      </c>
    </row>
    <row r="79" spans="1:82" x14ac:dyDescent="0.25">
      <c r="A79">
        <v>58</v>
      </c>
      <c r="B79">
        <v>180</v>
      </c>
      <c r="C79" t="s">
        <v>98</v>
      </c>
      <c r="E79">
        <v>610</v>
      </c>
      <c r="G79">
        <v>6.4</v>
      </c>
      <c r="J79" t="s">
        <v>41</v>
      </c>
      <c r="K79">
        <v>15</v>
      </c>
      <c r="L79">
        <v>20</v>
      </c>
      <c r="M79">
        <v>552000</v>
      </c>
      <c r="P79">
        <v>200</v>
      </c>
      <c r="Q79" t="s">
        <v>42</v>
      </c>
      <c r="S79">
        <v>19</v>
      </c>
      <c r="T79">
        <v>38</v>
      </c>
      <c r="U79">
        <v>48</v>
      </c>
      <c r="V79">
        <v>0.7</v>
      </c>
      <c r="W79">
        <v>0.65</v>
      </c>
      <c r="X79">
        <v>1.8</v>
      </c>
      <c r="Y79">
        <v>30.144988659999999</v>
      </c>
      <c r="Z79">
        <v>0.6</v>
      </c>
      <c r="BP79">
        <v>2483.9110930000002</v>
      </c>
      <c r="BQ79">
        <v>238.38257490000001</v>
      </c>
      <c r="BR79">
        <v>100</v>
      </c>
      <c r="BV79">
        <v>0.1241956</v>
      </c>
      <c r="BW79">
        <v>0.1241956</v>
      </c>
      <c r="BX79">
        <v>1.0000000000000001E-5</v>
      </c>
      <c r="BY79">
        <v>0.45</v>
      </c>
      <c r="BZ79">
        <v>0.45</v>
      </c>
      <c r="CA79">
        <v>0.01</v>
      </c>
      <c r="CB79">
        <v>0.3</v>
      </c>
      <c r="CC79">
        <v>0.3</v>
      </c>
      <c r="CD79">
        <v>0.3</v>
      </c>
    </row>
    <row r="80" spans="1:82" x14ac:dyDescent="0.25">
      <c r="A80">
        <v>59</v>
      </c>
      <c r="B80">
        <v>177</v>
      </c>
      <c r="C80" t="s">
        <v>98</v>
      </c>
      <c r="E80">
        <v>610</v>
      </c>
      <c r="G80">
        <v>6.4</v>
      </c>
      <c r="J80" t="s">
        <v>64</v>
      </c>
      <c r="K80">
        <v>3</v>
      </c>
      <c r="L80">
        <v>9</v>
      </c>
      <c r="M80">
        <v>290000</v>
      </c>
      <c r="P80">
        <v>300</v>
      </c>
      <c r="Q80" t="s">
        <v>42</v>
      </c>
      <c r="S80">
        <v>20</v>
      </c>
      <c r="T80">
        <v>44</v>
      </c>
      <c r="U80">
        <v>62.2</v>
      </c>
      <c r="V80">
        <v>0.8</v>
      </c>
      <c r="W80">
        <v>0.75</v>
      </c>
      <c r="X80">
        <v>2.4</v>
      </c>
      <c r="Y80">
        <v>59.736298349999998</v>
      </c>
      <c r="Z80">
        <v>1</v>
      </c>
      <c r="BP80">
        <v>4922.1997000000001</v>
      </c>
      <c r="BQ80">
        <v>87.994095999999999</v>
      </c>
      <c r="BR80">
        <v>87.994095999999999</v>
      </c>
      <c r="BV80">
        <v>2.6189157999999999</v>
      </c>
      <c r="BW80">
        <v>2.6189157999999999</v>
      </c>
      <c r="BX80">
        <v>1.0000000000000001E-5</v>
      </c>
      <c r="BY80">
        <v>0.45</v>
      </c>
      <c r="BZ80">
        <v>0.45</v>
      </c>
      <c r="CA80">
        <v>0.01</v>
      </c>
      <c r="CB80">
        <v>0.3</v>
      </c>
      <c r="CC80">
        <v>0.3</v>
      </c>
      <c r="CD80">
        <v>0.3</v>
      </c>
    </row>
    <row r="81" spans="1:82" x14ac:dyDescent="0.25">
      <c r="A81">
        <v>60</v>
      </c>
      <c r="B81">
        <v>175</v>
      </c>
      <c r="C81" t="s">
        <v>98</v>
      </c>
      <c r="E81">
        <v>406</v>
      </c>
      <c r="G81">
        <v>9.5</v>
      </c>
      <c r="J81" t="s">
        <v>34</v>
      </c>
      <c r="K81">
        <v>8</v>
      </c>
      <c r="L81">
        <v>10</v>
      </c>
      <c r="M81">
        <v>359000</v>
      </c>
      <c r="P81">
        <v>100</v>
      </c>
      <c r="Q81" t="s">
        <v>42</v>
      </c>
      <c r="S81">
        <v>18</v>
      </c>
      <c r="T81">
        <v>32</v>
      </c>
      <c r="U81">
        <v>33.5</v>
      </c>
      <c r="V81">
        <v>0.6</v>
      </c>
      <c r="W81">
        <v>0.55000000000000004</v>
      </c>
      <c r="X81">
        <v>1.2</v>
      </c>
      <c r="Y81">
        <v>8.7395368659999999</v>
      </c>
      <c r="Z81">
        <v>0.3</v>
      </c>
      <c r="BP81">
        <v>738.53613459999997</v>
      </c>
      <c r="BQ81">
        <v>455.79616240000001</v>
      </c>
      <c r="BR81">
        <v>50</v>
      </c>
      <c r="BV81">
        <v>1.8463400000000001E-2</v>
      </c>
      <c r="BW81">
        <v>1.8463400000000001E-2</v>
      </c>
      <c r="BX81">
        <v>1.0000000000000001E-5</v>
      </c>
      <c r="BY81">
        <v>0.45</v>
      </c>
      <c r="BZ81">
        <v>0.45</v>
      </c>
      <c r="CA81">
        <v>0.01</v>
      </c>
      <c r="CB81">
        <v>0.3</v>
      </c>
      <c r="CC81">
        <v>0.3</v>
      </c>
      <c r="CD81">
        <v>0.3</v>
      </c>
    </row>
    <row r="82" spans="1:82" x14ac:dyDescent="0.25">
      <c r="A82">
        <v>61</v>
      </c>
      <c r="B82">
        <v>176</v>
      </c>
      <c r="C82" t="s">
        <v>98</v>
      </c>
      <c r="E82">
        <v>406</v>
      </c>
      <c r="G82">
        <v>9.5</v>
      </c>
      <c r="J82" t="s">
        <v>65</v>
      </c>
      <c r="K82">
        <v>3</v>
      </c>
      <c r="L82">
        <v>8</v>
      </c>
      <c r="M82">
        <v>241000</v>
      </c>
      <c r="P82">
        <v>200</v>
      </c>
      <c r="Q82" t="s">
        <v>42</v>
      </c>
      <c r="S82">
        <v>19</v>
      </c>
      <c r="T82">
        <v>38</v>
      </c>
      <c r="U82">
        <v>48</v>
      </c>
      <c r="V82">
        <v>0.7</v>
      </c>
      <c r="W82">
        <v>0.65</v>
      </c>
      <c r="X82">
        <v>1.8</v>
      </c>
      <c r="Y82">
        <v>20.06371377</v>
      </c>
      <c r="Z82">
        <v>0.6</v>
      </c>
      <c r="BP82">
        <v>1695.48774</v>
      </c>
      <c r="BQ82">
        <v>177.87598059999999</v>
      </c>
      <c r="BR82">
        <v>100</v>
      </c>
      <c r="BV82">
        <v>8.6470099999999994E-2</v>
      </c>
      <c r="BW82">
        <v>8.6470099999999994E-2</v>
      </c>
      <c r="BX82">
        <v>1.0000000000000001E-5</v>
      </c>
      <c r="BY82">
        <v>0.45</v>
      </c>
      <c r="BZ82">
        <v>0.45</v>
      </c>
      <c r="CA82">
        <v>0.01</v>
      </c>
      <c r="CB82">
        <v>0.3</v>
      </c>
      <c r="CC82">
        <v>0.3</v>
      </c>
      <c r="CD82">
        <v>0.3</v>
      </c>
    </row>
    <row r="83" spans="1:82" x14ac:dyDescent="0.25">
      <c r="A83">
        <v>62</v>
      </c>
      <c r="B83">
        <v>177</v>
      </c>
      <c r="C83" t="s">
        <v>98</v>
      </c>
      <c r="E83">
        <v>406</v>
      </c>
      <c r="G83">
        <v>9.5</v>
      </c>
      <c r="J83" t="s">
        <v>65</v>
      </c>
      <c r="K83">
        <v>3</v>
      </c>
      <c r="L83">
        <v>8</v>
      </c>
      <c r="M83">
        <v>241000</v>
      </c>
      <c r="P83">
        <v>300</v>
      </c>
      <c r="Q83" t="s">
        <v>42</v>
      </c>
      <c r="S83">
        <v>20</v>
      </c>
      <c r="T83">
        <v>44</v>
      </c>
      <c r="U83">
        <v>62.2</v>
      </c>
      <c r="V83">
        <v>0.8</v>
      </c>
      <c r="W83">
        <v>0.75</v>
      </c>
      <c r="X83">
        <v>2.4</v>
      </c>
      <c r="Y83">
        <v>39.758913329999999</v>
      </c>
      <c r="Z83">
        <v>1</v>
      </c>
      <c r="BP83">
        <v>3359.8341209999999</v>
      </c>
      <c r="BQ83">
        <v>106.4710864</v>
      </c>
      <c r="BR83">
        <v>106.4710864</v>
      </c>
      <c r="BV83">
        <v>1.5838037</v>
      </c>
      <c r="BW83">
        <v>1.5838037</v>
      </c>
      <c r="BX83">
        <v>1.0000000000000001E-5</v>
      </c>
      <c r="BY83">
        <v>0.45</v>
      </c>
      <c r="BZ83">
        <v>0.45</v>
      </c>
      <c r="CA83">
        <v>0.01</v>
      </c>
      <c r="CB83">
        <v>0.3</v>
      </c>
      <c r="CC83">
        <v>0.3</v>
      </c>
      <c r="CD83">
        <v>0.3</v>
      </c>
    </row>
    <row r="84" spans="1:82" x14ac:dyDescent="0.25">
      <c r="A84">
        <v>63</v>
      </c>
      <c r="B84">
        <v>179</v>
      </c>
      <c r="C84" t="s">
        <v>98</v>
      </c>
      <c r="E84">
        <v>610</v>
      </c>
      <c r="G84">
        <v>10.199999999999999</v>
      </c>
      <c r="J84" t="s">
        <v>34</v>
      </c>
      <c r="K84">
        <v>8</v>
      </c>
      <c r="L84">
        <v>10</v>
      </c>
      <c r="M84">
        <v>359000</v>
      </c>
      <c r="P84">
        <v>100</v>
      </c>
      <c r="Q84" t="s">
        <v>35</v>
      </c>
      <c r="S84">
        <v>19</v>
      </c>
      <c r="T84">
        <v>38</v>
      </c>
      <c r="U84">
        <v>40</v>
      </c>
      <c r="V84">
        <v>0.75</v>
      </c>
      <c r="W84">
        <v>0.75</v>
      </c>
      <c r="X84">
        <v>1.2</v>
      </c>
      <c r="Y84">
        <v>57.49114556</v>
      </c>
      <c r="Z84">
        <v>0.5</v>
      </c>
      <c r="BP84">
        <v>2991.193143</v>
      </c>
      <c r="BQ84">
        <v>146.99126380000001</v>
      </c>
      <c r="BR84">
        <v>50</v>
      </c>
      <c r="BV84">
        <v>7.4788400000000005E-2</v>
      </c>
      <c r="BW84">
        <v>7.4788400000000005E-2</v>
      </c>
      <c r="BX84">
        <v>1.0000000000000001E-5</v>
      </c>
      <c r="BY84">
        <v>0.45</v>
      </c>
      <c r="BZ84">
        <v>0.45</v>
      </c>
      <c r="CA84">
        <v>0.01</v>
      </c>
      <c r="CB84">
        <v>0.3</v>
      </c>
      <c r="CC84">
        <v>0.3</v>
      </c>
      <c r="CD84">
        <v>0.3</v>
      </c>
    </row>
    <row r="85" spans="1:82" x14ac:dyDescent="0.25">
      <c r="A85">
        <v>64</v>
      </c>
      <c r="B85">
        <v>177</v>
      </c>
      <c r="C85" t="s">
        <v>98</v>
      </c>
      <c r="E85">
        <v>560</v>
      </c>
      <c r="G85">
        <v>7.1</v>
      </c>
      <c r="J85" t="s">
        <v>37</v>
      </c>
      <c r="K85">
        <v>8</v>
      </c>
      <c r="L85">
        <v>12</v>
      </c>
      <c r="M85">
        <v>414000</v>
      </c>
      <c r="P85">
        <v>100</v>
      </c>
      <c r="Q85" t="s">
        <v>35</v>
      </c>
      <c r="S85">
        <v>18</v>
      </c>
      <c r="T85">
        <v>32</v>
      </c>
      <c r="U85">
        <v>33.5</v>
      </c>
      <c r="V85">
        <v>0.6</v>
      </c>
      <c r="W85">
        <v>0.55000000000000004</v>
      </c>
      <c r="X85">
        <v>1.2</v>
      </c>
      <c r="Y85">
        <v>35.36176691</v>
      </c>
      <c r="Z85">
        <v>0.3</v>
      </c>
      <c r="BP85">
        <v>2867.3396870000001</v>
      </c>
      <c r="BQ85">
        <v>161.1675936</v>
      </c>
      <c r="BR85">
        <v>50</v>
      </c>
      <c r="BV85">
        <v>7.16836E-2</v>
      </c>
      <c r="BW85">
        <v>7.16836E-2</v>
      </c>
      <c r="BX85">
        <v>1.0000000000000001E-5</v>
      </c>
      <c r="BY85">
        <v>0.45</v>
      </c>
      <c r="BZ85">
        <v>0.45</v>
      </c>
      <c r="CA85">
        <v>0.01</v>
      </c>
      <c r="CB85">
        <v>0.3</v>
      </c>
      <c r="CC85">
        <v>0.3</v>
      </c>
      <c r="CD85">
        <v>0.3</v>
      </c>
    </row>
    <row r="86" spans="1:82" x14ac:dyDescent="0.25">
      <c r="A86">
        <v>65</v>
      </c>
      <c r="B86">
        <v>180</v>
      </c>
      <c r="C86" t="s">
        <v>98</v>
      </c>
      <c r="E86">
        <v>560</v>
      </c>
      <c r="G86">
        <v>7.1</v>
      </c>
      <c r="J86" t="s">
        <v>37</v>
      </c>
      <c r="K86">
        <v>8</v>
      </c>
      <c r="L86">
        <v>12</v>
      </c>
      <c r="M86">
        <v>414000</v>
      </c>
      <c r="P86">
        <v>200</v>
      </c>
      <c r="Q86" t="s">
        <v>35</v>
      </c>
      <c r="S86">
        <v>19</v>
      </c>
      <c r="T86">
        <v>38</v>
      </c>
      <c r="U86">
        <v>48</v>
      </c>
      <c r="V86">
        <v>0.7</v>
      </c>
      <c r="W86">
        <v>0.65</v>
      </c>
      <c r="X86">
        <v>1.8</v>
      </c>
      <c r="Y86">
        <v>59.11220737</v>
      </c>
      <c r="Z86">
        <v>0.6</v>
      </c>
      <c r="BP86">
        <v>4793.1648489999998</v>
      </c>
      <c r="BQ86">
        <v>110.58326479999999</v>
      </c>
      <c r="BR86">
        <v>100</v>
      </c>
      <c r="BV86">
        <v>1.0951253000000001</v>
      </c>
      <c r="BW86">
        <v>1.0951253000000001</v>
      </c>
      <c r="BX86">
        <v>1.0000000000000001E-5</v>
      </c>
      <c r="BY86">
        <v>0.45</v>
      </c>
      <c r="BZ86">
        <v>0.45</v>
      </c>
      <c r="CA86">
        <v>0.01</v>
      </c>
      <c r="CB86">
        <v>0.3</v>
      </c>
      <c r="CC86">
        <v>0.3</v>
      </c>
      <c r="CD86">
        <v>0.3</v>
      </c>
    </row>
    <row r="87" spans="1:82" x14ac:dyDescent="0.25">
      <c r="A87">
        <v>66</v>
      </c>
      <c r="B87">
        <v>179</v>
      </c>
      <c r="C87" t="s">
        <v>98</v>
      </c>
      <c r="E87">
        <v>560</v>
      </c>
      <c r="G87">
        <v>7.1</v>
      </c>
      <c r="J87" t="s">
        <v>64</v>
      </c>
      <c r="K87">
        <v>3</v>
      </c>
      <c r="L87">
        <v>9</v>
      </c>
      <c r="M87">
        <v>290000</v>
      </c>
      <c r="P87">
        <v>300</v>
      </c>
      <c r="Q87" t="s">
        <v>35</v>
      </c>
      <c r="S87">
        <v>20</v>
      </c>
      <c r="T87">
        <v>44</v>
      </c>
      <c r="U87">
        <v>62.2</v>
      </c>
      <c r="V87">
        <v>0.8</v>
      </c>
      <c r="W87">
        <v>0.75</v>
      </c>
      <c r="X87">
        <v>2.4</v>
      </c>
      <c r="Y87">
        <v>87.542364250000006</v>
      </c>
      <c r="Z87">
        <v>1</v>
      </c>
      <c r="BP87">
        <v>7098.4488959999999</v>
      </c>
      <c r="BQ87">
        <v>62.522269739999999</v>
      </c>
      <c r="BR87">
        <v>62.522269739999999</v>
      </c>
      <c r="BV87">
        <v>3.2873344000000002</v>
      </c>
      <c r="BW87">
        <v>3.2873344000000002</v>
      </c>
      <c r="BX87">
        <v>1.0000000000000001E-5</v>
      </c>
      <c r="BY87">
        <v>0.45</v>
      </c>
      <c r="BZ87">
        <v>0.45</v>
      </c>
      <c r="CA87">
        <v>0.01</v>
      </c>
      <c r="CB87">
        <v>0.3</v>
      </c>
      <c r="CC87">
        <v>0.3</v>
      </c>
      <c r="CD87">
        <v>0.3</v>
      </c>
    </row>
    <row r="88" spans="1:82" x14ac:dyDescent="0.25">
      <c r="A88">
        <v>67</v>
      </c>
      <c r="B88">
        <v>176</v>
      </c>
      <c r="C88" t="s">
        <v>98</v>
      </c>
      <c r="E88">
        <v>1257</v>
      </c>
      <c r="G88">
        <v>6.5</v>
      </c>
      <c r="J88" t="s">
        <v>65</v>
      </c>
      <c r="K88">
        <v>3</v>
      </c>
      <c r="L88">
        <v>8</v>
      </c>
      <c r="M88">
        <v>241000</v>
      </c>
      <c r="P88">
        <v>100</v>
      </c>
      <c r="Q88" t="s">
        <v>35</v>
      </c>
      <c r="S88">
        <v>18</v>
      </c>
      <c r="T88">
        <v>32</v>
      </c>
      <c r="U88">
        <v>33.5</v>
      </c>
      <c r="V88">
        <v>0.6</v>
      </c>
      <c r="W88">
        <v>0.55000000000000004</v>
      </c>
      <c r="X88">
        <v>1.2</v>
      </c>
      <c r="Y88">
        <v>79.374537509999996</v>
      </c>
      <c r="Z88">
        <v>0.3</v>
      </c>
      <c r="BP88">
        <v>3108.3812630000002</v>
      </c>
      <c r="BQ88">
        <v>97.444123289999993</v>
      </c>
      <c r="BR88">
        <v>50</v>
      </c>
      <c r="BV88">
        <v>7.8484399999999996E-2</v>
      </c>
      <c r="BW88">
        <v>7.8484399999999996E-2</v>
      </c>
      <c r="BX88">
        <v>1.0000000000000001E-5</v>
      </c>
      <c r="BY88">
        <v>0.45</v>
      </c>
      <c r="BZ88">
        <v>0.45</v>
      </c>
      <c r="CA88">
        <v>0.01</v>
      </c>
      <c r="CB88">
        <v>0.3</v>
      </c>
      <c r="CC88">
        <v>0.3</v>
      </c>
      <c r="CD88">
        <v>0.3</v>
      </c>
    </row>
    <row r="89" spans="1:82" x14ac:dyDescent="0.25">
      <c r="A89">
        <v>68</v>
      </c>
      <c r="B89">
        <v>178</v>
      </c>
      <c r="C89" t="s">
        <v>98</v>
      </c>
      <c r="E89">
        <v>1257</v>
      </c>
      <c r="G89">
        <v>6.5</v>
      </c>
      <c r="J89" t="s">
        <v>34</v>
      </c>
      <c r="K89">
        <v>8</v>
      </c>
      <c r="L89">
        <v>10</v>
      </c>
      <c r="M89">
        <v>359000</v>
      </c>
      <c r="P89">
        <v>200</v>
      </c>
      <c r="Q89" t="s">
        <v>35</v>
      </c>
      <c r="S89">
        <v>19</v>
      </c>
      <c r="T89">
        <v>38</v>
      </c>
      <c r="U89">
        <v>48</v>
      </c>
      <c r="V89">
        <v>0.7</v>
      </c>
      <c r="W89">
        <v>0.65</v>
      </c>
      <c r="X89">
        <v>1.8</v>
      </c>
      <c r="Y89">
        <v>132.68579399999999</v>
      </c>
      <c r="Z89">
        <v>0.6</v>
      </c>
      <c r="BP89">
        <v>5196.1000219999996</v>
      </c>
      <c r="BQ89">
        <v>91.491185990000005</v>
      </c>
      <c r="BR89">
        <v>91.491185990000005</v>
      </c>
      <c r="BV89">
        <v>3.1041672</v>
      </c>
      <c r="BW89">
        <v>3.1041672</v>
      </c>
      <c r="BX89">
        <v>1.0000000000000001E-5</v>
      </c>
      <c r="BY89">
        <v>0.45</v>
      </c>
      <c r="BZ89">
        <v>0.45</v>
      </c>
      <c r="CA89">
        <v>0.01</v>
      </c>
      <c r="CB89">
        <v>0.3</v>
      </c>
      <c r="CC89">
        <v>0.3</v>
      </c>
      <c r="CD89">
        <v>0.3</v>
      </c>
    </row>
    <row r="90" spans="1:82" x14ac:dyDescent="0.25">
      <c r="A90">
        <v>69</v>
      </c>
      <c r="B90">
        <v>180</v>
      </c>
      <c r="C90" t="s">
        <v>98</v>
      </c>
      <c r="E90">
        <v>1257</v>
      </c>
      <c r="G90">
        <v>6.5</v>
      </c>
      <c r="J90" t="s">
        <v>64</v>
      </c>
      <c r="K90">
        <v>3</v>
      </c>
      <c r="L90">
        <v>9</v>
      </c>
      <c r="M90">
        <v>290000</v>
      </c>
      <c r="P90">
        <v>300</v>
      </c>
      <c r="Q90" t="s">
        <v>35</v>
      </c>
      <c r="S90">
        <v>20</v>
      </c>
      <c r="T90">
        <v>44</v>
      </c>
      <c r="U90">
        <v>62.2</v>
      </c>
      <c r="V90">
        <v>0.8</v>
      </c>
      <c r="W90">
        <v>0.75</v>
      </c>
      <c r="X90">
        <v>2.4</v>
      </c>
      <c r="Y90">
        <v>196.50134259999999</v>
      </c>
      <c r="Z90">
        <v>1</v>
      </c>
      <c r="BP90">
        <v>7695.1766989999996</v>
      </c>
      <c r="BQ90">
        <v>57.868806139999997</v>
      </c>
      <c r="BR90">
        <v>57.868806139999997</v>
      </c>
      <c r="BV90">
        <v>3.3932481999999999</v>
      </c>
      <c r="BW90">
        <v>3.3932481999999999</v>
      </c>
      <c r="BX90">
        <v>1.0000000000000001E-5</v>
      </c>
      <c r="BY90">
        <v>0.45</v>
      </c>
      <c r="BZ90">
        <v>0.45</v>
      </c>
      <c r="CA90">
        <v>0.01</v>
      </c>
      <c r="CB90">
        <v>0.3</v>
      </c>
      <c r="CC90">
        <v>0.3</v>
      </c>
      <c r="CD90">
        <v>0.3</v>
      </c>
    </row>
    <row r="91" spans="1:82" x14ac:dyDescent="0.25">
      <c r="A91">
        <v>70</v>
      </c>
      <c r="B91">
        <v>176</v>
      </c>
      <c r="C91" t="s">
        <v>98</v>
      </c>
      <c r="E91">
        <v>1723</v>
      </c>
      <c r="G91">
        <v>9.5</v>
      </c>
      <c r="J91" t="s">
        <v>39</v>
      </c>
      <c r="K91">
        <v>14</v>
      </c>
      <c r="L91">
        <v>15</v>
      </c>
      <c r="M91">
        <v>483000</v>
      </c>
      <c r="P91">
        <v>100</v>
      </c>
      <c r="Q91" t="s">
        <v>35</v>
      </c>
      <c r="S91">
        <v>18</v>
      </c>
      <c r="T91">
        <v>32</v>
      </c>
      <c r="U91">
        <v>33.5</v>
      </c>
      <c r="V91">
        <v>0.6</v>
      </c>
      <c r="W91">
        <v>0.55000000000000004</v>
      </c>
      <c r="X91">
        <v>1.2</v>
      </c>
      <c r="Y91">
        <v>108.8005793</v>
      </c>
      <c r="Z91">
        <v>0.3</v>
      </c>
      <c r="BP91">
        <v>2127.5198500000001</v>
      </c>
      <c r="BQ91">
        <v>234.8272054</v>
      </c>
      <c r="BR91">
        <v>50</v>
      </c>
      <c r="BV91">
        <v>5.3187999999999999E-2</v>
      </c>
      <c r="BW91">
        <v>5.3187999999999999E-2</v>
      </c>
      <c r="BX91">
        <v>1.0000000000000001E-5</v>
      </c>
      <c r="BY91">
        <v>0.45</v>
      </c>
      <c r="BZ91">
        <v>0.45</v>
      </c>
      <c r="CA91">
        <v>0.01</v>
      </c>
      <c r="CB91">
        <v>0.3</v>
      </c>
      <c r="CC91">
        <v>0.3</v>
      </c>
      <c r="CD91">
        <v>0.3</v>
      </c>
    </row>
    <row r="92" spans="1:82" x14ac:dyDescent="0.25">
      <c r="A92">
        <v>71</v>
      </c>
      <c r="B92">
        <v>176</v>
      </c>
      <c r="C92" t="s">
        <v>98</v>
      </c>
      <c r="E92">
        <v>1723</v>
      </c>
      <c r="G92">
        <v>9.5</v>
      </c>
      <c r="J92" t="s">
        <v>64</v>
      </c>
      <c r="K92">
        <v>3</v>
      </c>
      <c r="L92">
        <v>9</v>
      </c>
      <c r="M92">
        <v>290000</v>
      </c>
      <c r="P92">
        <v>200</v>
      </c>
      <c r="Q92" t="s">
        <v>35</v>
      </c>
      <c r="S92">
        <v>19</v>
      </c>
      <c r="T92">
        <v>38</v>
      </c>
      <c r="U92">
        <v>48</v>
      </c>
      <c r="V92">
        <v>0.7</v>
      </c>
      <c r="W92">
        <v>0.65</v>
      </c>
      <c r="X92">
        <v>1.8</v>
      </c>
      <c r="Y92">
        <v>181.87559519999999</v>
      </c>
      <c r="Z92">
        <v>0.6</v>
      </c>
      <c r="BP92">
        <v>3556.4510930000001</v>
      </c>
      <c r="BQ92">
        <v>107.8452269</v>
      </c>
      <c r="BR92">
        <v>100</v>
      </c>
      <c r="BV92">
        <v>0.51253950000000004</v>
      </c>
      <c r="BW92">
        <v>0.51253950000000004</v>
      </c>
      <c r="BX92">
        <v>1.0000000000000001E-5</v>
      </c>
      <c r="BY92">
        <v>0.45</v>
      </c>
      <c r="BZ92">
        <v>0.45</v>
      </c>
      <c r="CA92">
        <v>0.01</v>
      </c>
      <c r="CB92">
        <v>0.3</v>
      </c>
      <c r="CC92">
        <v>0.3</v>
      </c>
      <c r="CD92">
        <v>0.3</v>
      </c>
    </row>
    <row r="93" spans="1:82" x14ac:dyDescent="0.25">
      <c r="A93">
        <v>72</v>
      </c>
      <c r="B93">
        <v>176</v>
      </c>
      <c r="C93" t="s">
        <v>98</v>
      </c>
      <c r="E93">
        <v>1723</v>
      </c>
      <c r="G93">
        <v>9.5</v>
      </c>
      <c r="J93" t="s">
        <v>64</v>
      </c>
      <c r="K93">
        <v>3</v>
      </c>
      <c r="L93">
        <v>9</v>
      </c>
      <c r="M93">
        <v>290000</v>
      </c>
      <c r="P93">
        <v>300</v>
      </c>
      <c r="Q93" t="s">
        <v>35</v>
      </c>
      <c r="S93">
        <v>20</v>
      </c>
      <c r="T93">
        <v>44</v>
      </c>
      <c r="U93">
        <v>62.2</v>
      </c>
      <c r="V93">
        <v>0.8</v>
      </c>
      <c r="W93">
        <v>0.75</v>
      </c>
      <c r="X93">
        <v>2.4</v>
      </c>
      <c r="Y93">
        <v>269.34909570000002</v>
      </c>
      <c r="Z93">
        <v>1</v>
      </c>
      <c r="BP93">
        <v>5266.9347129999996</v>
      </c>
      <c r="BQ93">
        <v>80.689737109999996</v>
      </c>
      <c r="BR93">
        <v>80.689737109999996</v>
      </c>
      <c r="BV93">
        <v>2.1998313</v>
      </c>
      <c r="BW93">
        <v>2.1998313</v>
      </c>
      <c r="BX93">
        <v>1.0000000000000001E-5</v>
      </c>
      <c r="BY93">
        <v>0.45</v>
      </c>
      <c r="BZ93">
        <v>0.45</v>
      </c>
      <c r="CA93">
        <v>0.01</v>
      </c>
      <c r="CB93">
        <v>0.3</v>
      </c>
      <c r="CC93">
        <v>0.3</v>
      </c>
      <c r="CD93">
        <v>0.3</v>
      </c>
    </row>
    <row r="94" spans="1:82" x14ac:dyDescent="0.25">
      <c r="A94">
        <v>73</v>
      </c>
      <c r="B94">
        <v>180</v>
      </c>
      <c r="C94" t="s">
        <v>98</v>
      </c>
      <c r="E94">
        <v>168</v>
      </c>
      <c r="G94">
        <v>4.8</v>
      </c>
      <c r="J94" t="s">
        <v>34</v>
      </c>
      <c r="K94">
        <v>8</v>
      </c>
      <c r="L94">
        <v>10</v>
      </c>
      <c r="M94">
        <v>359000</v>
      </c>
      <c r="P94">
        <v>100</v>
      </c>
      <c r="Q94" t="s">
        <v>35</v>
      </c>
      <c r="S94">
        <v>18</v>
      </c>
      <c r="T94">
        <v>32</v>
      </c>
      <c r="U94">
        <v>33.5</v>
      </c>
      <c r="V94">
        <v>0.6</v>
      </c>
      <c r="W94">
        <v>0.55000000000000004</v>
      </c>
      <c r="X94">
        <v>1.2</v>
      </c>
      <c r="Y94">
        <v>10.60853007</v>
      </c>
      <c r="Z94">
        <v>0.3</v>
      </c>
      <c r="BP94">
        <v>4310.6617649999998</v>
      </c>
      <c r="BQ94">
        <v>102.24046</v>
      </c>
      <c r="BR94">
        <v>50</v>
      </c>
      <c r="BV94">
        <v>0.1082434</v>
      </c>
      <c r="BW94">
        <v>0.1082434</v>
      </c>
      <c r="BX94">
        <v>1.0000000000000001E-5</v>
      </c>
      <c r="BY94">
        <v>0.45</v>
      </c>
      <c r="BZ94">
        <v>0.45</v>
      </c>
      <c r="CA94">
        <v>0.01</v>
      </c>
      <c r="CB94">
        <v>0.3</v>
      </c>
      <c r="CC94">
        <v>0.3</v>
      </c>
      <c r="CD94">
        <v>0.3</v>
      </c>
    </row>
    <row r="95" spans="1:82" x14ac:dyDescent="0.25">
      <c r="A95">
        <v>74</v>
      </c>
      <c r="B95">
        <v>176</v>
      </c>
      <c r="C95" t="s">
        <v>98</v>
      </c>
      <c r="E95">
        <v>168</v>
      </c>
      <c r="G95">
        <v>4.8</v>
      </c>
      <c r="J95" t="s">
        <v>64</v>
      </c>
      <c r="K95">
        <v>3</v>
      </c>
      <c r="L95">
        <v>9</v>
      </c>
      <c r="M95">
        <v>290000</v>
      </c>
      <c r="P95">
        <v>200</v>
      </c>
      <c r="Q95" t="s">
        <v>35</v>
      </c>
      <c r="S95">
        <v>19</v>
      </c>
      <c r="T95">
        <v>38</v>
      </c>
      <c r="U95">
        <v>48</v>
      </c>
      <c r="V95">
        <v>0.7</v>
      </c>
      <c r="W95">
        <v>0.65</v>
      </c>
      <c r="X95">
        <v>1.8</v>
      </c>
      <c r="Y95">
        <v>17.733662209999999</v>
      </c>
      <c r="Z95">
        <v>0.6</v>
      </c>
      <c r="BP95">
        <v>7205.882353</v>
      </c>
      <c r="BQ95">
        <v>59.303779749999997</v>
      </c>
      <c r="BR95">
        <v>59.303779749999997</v>
      </c>
      <c r="BV95">
        <v>2.3135973999999999</v>
      </c>
      <c r="BW95">
        <v>2.3135973999999999</v>
      </c>
      <c r="BX95">
        <v>1.0000000000000001E-5</v>
      </c>
      <c r="BY95">
        <v>0.45</v>
      </c>
      <c r="BZ95">
        <v>0.45</v>
      </c>
      <c r="CA95">
        <v>0.01</v>
      </c>
      <c r="CB95">
        <v>0.3</v>
      </c>
      <c r="CC95">
        <v>0.3</v>
      </c>
      <c r="CD95">
        <v>0.3</v>
      </c>
    </row>
    <row r="96" spans="1:82" x14ac:dyDescent="0.25">
      <c r="A96">
        <v>75</v>
      </c>
      <c r="B96">
        <v>178</v>
      </c>
      <c r="C96" t="s">
        <v>98</v>
      </c>
      <c r="E96">
        <v>168</v>
      </c>
      <c r="G96">
        <v>4.8</v>
      </c>
      <c r="J96" t="s">
        <v>41</v>
      </c>
      <c r="K96">
        <v>15</v>
      </c>
      <c r="L96">
        <v>20</v>
      </c>
      <c r="M96">
        <v>552000</v>
      </c>
      <c r="P96">
        <v>300</v>
      </c>
      <c r="Q96" t="s">
        <v>35</v>
      </c>
      <c r="S96">
        <v>20</v>
      </c>
      <c r="T96">
        <v>44</v>
      </c>
      <c r="U96">
        <v>62.2</v>
      </c>
      <c r="V96">
        <v>0.8</v>
      </c>
      <c r="W96">
        <v>0.75</v>
      </c>
      <c r="X96">
        <v>2.4</v>
      </c>
      <c r="Y96">
        <v>26.262709269999998</v>
      </c>
      <c r="Z96">
        <v>1</v>
      </c>
      <c r="BP96">
        <v>10671.56863</v>
      </c>
      <c r="BQ96">
        <v>73.637422060000006</v>
      </c>
      <c r="BR96">
        <v>73.637422060000006</v>
      </c>
      <c r="BV96">
        <v>100</v>
      </c>
      <c r="BW96">
        <v>100</v>
      </c>
      <c r="BX96">
        <v>1.0000000000000001E-5</v>
      </c>
      <c r="BY96">
        <v>0.45</v>
      </c>
      <c r="BZ96">
        <v>0.45</v>
      </c>
      <c r="CA96">
        <v>0.01</v>
      </c>
      <c r="CB96">
        <v>0.3</v>
      </c>
      <c r="CC96">
        <v>0.3</v>
      </c>
      <c r="CD96">
        <v>0.3</v>
      </c>
    </row>
    <row r="97" spans="1:82" x14ac:dyDescent="0.25">
      <c r="A97">
        <v>76</v>
      </c>
      <c r="B97">
        <v>180</v>
      </c>
      <c r="C97" t="s">
        <v>98</v>
      </c>
      <c r="E97">
        <v>762</v>
      </c>
      <c r="G97">
        <v>9.5</v>
      </c>
      <c r="J97" t="s">
        <v>41</v>
      </c>
      <c r="K97">
        <v>15</v>
      </c>
      <c r="L97">
        <v>20</v>
      </c>
      <c r="M97">
        <v>552000</v>
      </c>
      <c r="P97">
        <v>100</v>
      </c>
      <c r="Q97" t="s">
        <v>35</v>
      </c>
      <c r="S97">
        <v>18</v>
      </c>
      <c r="T97">
        <v>32</v>
      </c>
      <c r="U97">
        <v>33.5</v>
      </c>
      <c r="V97">
        <v>0.6</v>
      </c>
      <c r="W97">
        <v>0.55000000000000004</v>
      </c>
      <c r="X97">
        <v>1.2</v>
      </c>
      <c r="Y97">
        <v>48.117261399999997</v>
      </c>
      <c r="Z97">
        <v>0.3</v>
      </c>
      <c r="BP97">
        <v>2142.5004370000001</v>
      </c>
      <c r="BQ97">
        <v>260.84833689999999</v>
      </c>
      <c r="BR97">
        <v>50</v>
      </c>
      <c r="BV97">
        <v>5.3562499999999999E-2</v>
      </c>
      <c r="BW97">
        <v>5.3562499999999999E-2</v>
      </c>
      <c r="BX97">
        <v>1.0000000000000001E-5</v>
      </c>
      <c r="BY97">
        <v>0.45</v>
      </c>
      <c r="BZ97">
        <v>0.45</v>
      </c>
      <c r="CA97">
        <v>0.01</v>
      </c>
      <c r="CB97">
        <v>0.3</v>
      </c>
      <c r="CC97">
        <v>0.3</v>
      </c>
      <c r="CD97">
        <v>0.3</v>
      </c>
    </row>
    <row r="98" spans="1:82" x14ac:dyDescent="0.25">
      <c r="A98">
        <v>77</v>
      </c>
      <c r="B98">
        <v>176</v>
      </c>
      <c r="C98" t="s">
        <v>98</v>
      </c>
      <c r="E98">
        <v>762</v>
      </c>
      <c r="G98">
        <v>9.5</v>
      </c>
      <c r="J98" t="s">
        <v>34</v>
      </c>
      <c r="K98">
        <v>8</v>
      </c>
      <c r="L98">
        <v>10</v>
      </c>
      <c r="M98">
        <v>359000</v>
      </c>
      <c r="P98">
        <v>200</v>
      </c>
      <c r="Q98" t="s">
        <v>35</v>
      </c>
      <c r="S98">
        <v>19</v>
      </c>
      <c r="T98">
        <v>38</v>
      </c>
      <c r="U98">
        <v>48</v>
      </c>
      <c r="V98">
        <v>0.7</v>
      </c>
      <c r="W98">
        <v>0.65</v>
      </c>
      <c r="X98">
        <v>1.8</v>
      </c>
      <c r="Y98">
        <v>80.434825029999999</v>
      </c>
      <c r="Z98">
        <v>0.6</v>
      </c>
      <c r="BP98">
        <v>3581.4932680000002</v>
      </c>
      <c r="BQ98">
        <v>127.5713159</v>
      </c>
      <c r="BR98">
        <v>100</v>
      </c>
      <c r="BV98">
        <v>0.30625750000000002</v>
      </c>
      <c r="BW98">
        <v>0.30625750000000002</v>
      </c>
      <c r="BX98">
        <v>1.0000000000000001E-5</v>
      </c>
      <c r="BY98">
        <v>0.45</v>
      </c>
      <c r="BZ98">
        <v>0.45</v>
      </c>
      <c r="CA98">
        <v>0.01</v>
      </c>
      <c r="CB98">
        <v>0.3</v>
      </c>
      <c r="CC98">
        <v>0.3</v>
      </c>
      <c r="CD98">
        <v>0.3</v>
      </c>
    </row>
    <row r="99" spans="1:82" x14ac:dyDescent="0.25">
      <c r="A99">
        <v>78</v>
      </c>
      <c r="B99">
        <v>178</v>
      </c>
      <c r="C99" t="s">
        <v>98</v>
      </c>
      <c r="E99">
        <v>762</v>
      </c>
      <c r="G99">
        <v>9.5</v>
      </c>
      <c r="J99" t="s">
        <v>41</v>
      </c>
      <c r="K99">
        <v>15</v>
      </c>
      <c r="L99">
        <v>20</v>
      </c>
      <c r="M99">
        <v>552000</v>
      </c>
      <c r="P99">
        <v>300</v>
      </c>
      <c r="Q99" t="s">
        <v>35</v>
      </c>
      <c r="S99">
        <v>20</v>
      </c>
      <c r="T99">
        <v>44</v>
      </c>
      <c r="U99">
        <v>62.2</v>
      </c>
      <c r="V99">
        <v>0.8</v>
      </c>
      <c r="W99">
        <v>0.75</v>
      </c>
      <c r="X99">
        <v>2.4</v>
      </c>
      <c r="Y99">
        <v>119.1201456</v>
      </c>
      <c r="Z99">
        <v>1</v>
      </c>
      <c r="BP99">
        <v>5304.0209830000003</v>
      </c>
      <c r="BQ99">
        <v>133.9112705</v>
      </c>
      <c r="BR99">
        <v>133.9112705</v>
      </c>
      <c r="BV99">
        <v>39.613304399999997</v>
      </c>
      <c r="BW99">
        <v>39.613304399999997</v>
      </c>
      <c r="BX99">
        <v>1.0000000000000001E-5</v>
      </c>
      <c r="BY99">
        <v>0.45</v>
      </c>
      <c r="BZ99">
        <v>0.45</v>
      </c>
      <c r="CA99">
        <v>0.01</v>
      </c>
      <c r="CB99">
        <v>0.3</v>
      </c>
      <c r="CC99">
        <v>0.3</v>
      </c>
      <c r="CD99">
        <v>0.3</v>
      </c>
    </row>
    <row r="100" spans="1:82" x14ac:dyDescent="0.25">
      <c r="A100">
        <v>79</v>
      </c>
      <c r="B100">
        <v>175</v>
      </c>
      <c r="C100" t="s">
        <v>98</v>
      </c>
      <c r="E100">
        <v>610</v>
      </c>
      <c r="G100">
        <v>6.4</v>
      </c>
      <c r="J100" t="s">
        <v>34</v>
      </c>
      <c r="K100">
        <v>8</v>
      </c>
      <c r="L100">
        <v>10</v>
      </c>
      <c r="M100">
        <v>359000</v>
      </c>
      <c r="P100">
        <v>100</v>
      </c>
      <c r="Q100" t="s">
        <v>35</v>
      </c>
      <c r="S100">
        <v>18</v>
      </c>
      <c r="T100">
        <v>32</v>
      </c>
      <c r="U100">
        <v>33.5</v>
      </c>
      <c r="V100">
        <v>0.6</v>
      </c>
      <c r="W100">
        <v>0.55000000000000004</v>
      </c>
      <c r="X100">
        <v>1.2</v>
      </c>
      <c r="Y100">
        <v>38.519067530000001</v>
      </c>
      <c r="Z100">
        <v>0.3</v>
      </c>
      <c r="BP100">
        <v>3173.9251989999998</v>
      </c>
      <c r="BQ100">
        <v>131.54341969999999</v>
      </c>
      <c r="BR100">
        <v>50</v>
      </c>
      <c r="BV100">
        <v>7.9364599999999993E-2</v>
      </c>
      <c r="BW100">
        <v>7.9364599999999993E-2</v>
      </c>
      <c r="BX100">
        <v>1.0000000000000001E-5</v>
      </c>
      <c r="BY100">
        <v>0.45</v>
      </c>
      <c r="BZ100">
        <v>0.45</v>
      </c>
      <c r="CA100">
        <v>0.01</v>
      </c>
      <c r="CB100">
        <v>0.3</v>
      </c>
      <c r="CC100">
        <v>0.3</v>
      </c>
      <c r="CD100">
        <v>0.3</v>
      </c>
    </row>
    <row r="101" spans="1:82" x14ac:dyDescent="0.25">
      <c r="A101">
        <v>80</v>
      </c>
      <c r="B101">
        <v>176</v>
      </c>
      <c r="C101" t="s">
        <v>98</v>
      </c>
      <c r="E101">
        <v>610</v>
      </c>
      <c r="G101">
        <v>6.4</v>
      </c>
      <c r="J101" t="s">
        <v>41</v>
      </c>
      <c r="K101">
        <v>15</v>
      </c>
      <c r="L101">
        <v>20</v>
      </c>
      <c r="M101">
        <v>552000</v>
      </c>
      <c r="P101">
        <v>200</v>
      </c>
      <c r="Q101" t="s">
        <v>35</v>
      </c>
      <c r="S101">
        <v>19</v>
      </c>
      <c r="T101">
        <v>38</v>
      </c>
      <c r="U101">
        <v>48</v>
      </c>
      <c r="V101">
        <v>0.7</v>
      </c>
      <c r="W101">
        <v>0.65</v>
      </c>
      <c r="X101">
        <v>1.8</v>
      </c>
      <c r="Y101">
        <v>64.39008303</v>
      </c>
      <c r="Z101">
        <v>0.6</v>
      </c>
      <c r="BP101">
        <v>5305.6660039999997</v>
      </c>
      <c r="BQ101">
        <v>126.62735549999999</v>
      </c>
      <c r="BR101">
        <v>100</v>
      </c>
      <c r="BV101">
        <v>0.35110530000000001</v>
      </c>
      <c r="BW101">
        <v>0.35110530000000001</v>
      </c>
      <c r="BX101">
        <v>1.0000000000000001E-5</v>
      </c>
      <c r="BY101">
        <v>0.45</v>
      </c>
      <c r="BZ101">
        <v>0.45</v>
      </c>
      <c r="CA101">
        <v>0.01</v>
      </c>
      <c r="CB101">
        <v>0.3</v>
      </c>
      <c r="CC101">
        <v>0.3</v>
      </c>
      <c r="CD101">
        <v>0.3</v>
      </c>
    </row>
    <row r="102" spans="1:82" x14ac:dyDescent="0.25">
      <c r="A102">
        <v>81</v>
      </c>
      <c r="B102">
        <v>179</v>
      </c>
      <c r="C102" t="s">
        <v>98</v>
      </c>
      <c r="E102">
        <v>610</v>
      </c>
      <c r="G102">
        <v>6.4</v>
      </c>
      <c r="J102" t="s">
        <v>64</v>
      </c>
      <c r="K102">
        <v>3</v>
      </c>
      <c r="L102">
        <v>9</v>
      </c>
      <c r="M102">
        <v>290000</v>
      </c>
      <c r="P102">
        <v>300</v>
      </c>
      <c r="Q102" t="s">
        <v>35</v>
      </c>
      <c r="S102">
        <v>20</v>
      </c>
      <c r="T102">
        <v>44</v>
      </c>
      <c r="U102">
        <v>62.2</v>
      </c>
      <c r="V102">
        <v>0.8</v>
      </c>
      <c r="W102">
        <v>0.75</v>
      </c>
      <c r="X102">
        <v>2.4</v>
      </c>
      <c r="Y102">
        <v>95.358646769999993</v>
      </c>
      <c r="Z102">
        <v>1</v>
      </c>
      <c r="BP102">
        <v>7857.438701</v>
      </c>
      <c r="BQ102">
        <v>57.088164460000002</v>
      </c>
      <c r="BR102">
        <v>57.088164460000002</v>
      </c>
      <c r="BV102">
        <v>3.6344853000000001</v>
      </c>
      <c r="BW102">
        <v>3.6344853000000001</v>
      </c>
      <c r="BX102">
        <v>1.0000000000000001E-5</v>
      </c>
      <c r="BY102">
        <v>0.45</v>
      </c>
      <c r="BZ102">
        <v>0.45</v>
      </c>
      <c r="CA102">
        <v>0.01</v>
      </c>
      <c r="CB102">
        <v>0.3</v>
      </c>
      <c r="CC102">
        <v>0.3</v>
      </c>
      <c r="CD102">
        <v>0.3</v>
      </c>
    </row>
    <row r="103" spans="1:82" x14ac:dyDescent="0.25">
      <c r="A103">
        <v>82</v>
      </c>
      <c r="B103">
        <v>179</v>
      </c>
      <c r="C103" t="s">
        <v>98</v>
      </c>
      <c r="E103">
        <v>406</v>
      </c>
      <c r="G103">
        <v>9.5</v>
      </c>
      <c r="J103" t="s">
        <v>34</v>
      </c>
      <c r="K103">
        <v>8</v>
      </c>
      <c r="L103">
        <v>10</v>
      </c>
      <c r="M103">
        <v>359000</v>
      </c>
      <c r="P103">
        <v>100</v>
      </c>
      <c r="Q103" t="s">
        <v>35</v>
      </c>
      <c r="S103">
        <v>18</v>
      </c>
      <c r="T103">
        <v>32</v>
      </c>
      <c r="U103">
        <v>33.5</v>
      </c>
      <c r="V103">
        <v>0.6</v>
      </c>
      <c r="W103">
        <v>0.55000000000000004</v>
      </c>
      <c r="X103">
        <v>1.2</v>
      </c>
      <c r="Y103">
        <v>25.637281009999999</v>
      </c>
      <c r="Z103">
        <v>0.3</v>
      </c>
      <c r="BP103">
        <v>2166.4830419999998</v>
      </c>
      <c r="BQ103">
        <v>185.9265235</v>
      </c>
      <c r="BR103">
        <v>50</v>
      </c>
      <c r="BV103">
        <v>5.4162299999999997E-2</v>
      </c>
      <c r="BW103">
        <v>5.4162299999999997E-2</v>
      </c>
      <c r="BX103">
        <v>1.0000000000000001E-5</v>
      </c>
      <c r="BY103">
        <v>0.45</v>
      </c>
      <c r="BZ103">
        <v>0.45</v>
      </c>
      <c r="CA103">
        <v>0.01</v>
      </c>
      <c r="CB103">
        <v>0.3</v>
      </c>
      <c r="CC103">
        <v>0.3</v>
      </c>
      <c r="CD103">
        <v>0.3</v>
      </c>
    </row>
    <row r="104" spans="1:82" x14ac:dyDescent="0.25">
      <c r="A104">
        <v>83</v>
      </c>
      <c r="B104">
        <v>178</v>
      </c>
      <c r="C104" t="s">
        <v>98</v>
      </c>
      <c r="E104">
        <v>406</v>
      </c>
      <c r="G104">
        <v>9.5</v>
      </c>
      <c r="J104" t="s">
        <v>65</v>
      </c>
      <c r="K104">
        <v>3</v>
      </c>
      <c r="L104">
        <v>8</v>
      </c>
      <c r="M104">
        <v>241000</v>
      </c>
      <c r="P104">
        <v>200</v>
      </c>
      <c r="Q104" t="s">
        <v>35</v>
      </c>
      <c r="S104">
        <v>19</v>
      </c>
      <c r="T104">
        <v>38</v>
      </c>
      <c r="U104">
        <v>48</v>
      </c>
      <c r="V104">
        <v>0.7</v>
      </c>
      <c r="W104">
        <v>0.65</v>
      </c>
      <c r="X104">
        <v>1.8</v>
      </c>
      <c r="Y104">
        <v>42.856350339999999</v>
      </c>
      <c r="Z104">
        <v>0.6</v>
      </c>
      <c r="BP104">
        <v>3621.5835929999998</v>
      </c>
      <c r="BQ104">
        <v>93.226872830000005</v>
      </c>
      <c r="BR104">
        <v>93.226872830000005</v>
      </c>
      <c r="BV104">
        <v>1.003781</v>
      </c>
      <c r="BW104">
        <v>1.003781</v>
      </c>
      <c r="BX104">
        <v>1.0000000000000001E-5</v>
      </c>
      <c r="BY104">
        <v>0.45</v>
      </c>
      <c r="BZ104">
        <v>0.45</v>
      </c>
      <c r="CA104">
        <v>0.01</v>
      </c>
      <c r="CB104">
        <v>0.3</v>
      </c>
      <c r="CC104">
        <v>0.3</v>
      </c>
      <c r="CD104">
        <v>0.3</v>
      </c>
    </row>
    <row r="105" spans="1:82" x14ac:dyDescent="0.25">
      <c r="A105">
        <v>84</v>
      </c>
      <c r="B105">
        <v>178</v>
      </c>
      <c r="C105" t="s">
        <v>98</v>
      </c>
      <c r="E105">
        <v>406</v>
      </c>
      <c r="G105">
        <v>9.5</v>
      </c>
      <c r="J105" t="s">
        <v>65</v>
      </c>
      <c r="K105">
        <v>3</v>
      </c>
      <c r="L105">
        <v>8</v>
      </c>
      <c r="M105">
        <v>241000</v>
      </c>
      <c r="P105">
        <v>300</v>
      </c>
      <c r="Q105" t="s">
        <v>35</v>
      </c>
      <c r="S105">
        <v>20</v>
      </c>
      <c r="T105">
        <v>44</v>
      </c>
      <c r="U105">
        <v>62.2</v>
      </c>
      <c r="V105">
        <v>0.8</v>
      </c>
      <c r="W105">
        <v>0.75</v>
      </c>
      <c r="X105">
        <v>2.4</v>
      </c>
      <c r="Y105">
        <v>63.468214080000003</v>
      </c>
      <c r="Z105">
        <v>1</v>
      </c>
      <c r="BP105">
        <v>5363.3928450000003</v>
      </c>
      <c r="BQ105">
        <v>69.752292960000005</v>
      </c>
      <c r="BR105">
        <v>69.752292960000005</v>
      </c>
      <c r="BV105">
        <v>2.2893572999999998</v>
      </c>
      <c r="BW105">
        <v>2.2893572999999998</v>
      </c>
      <c r="BX105">
        <v>1.0000000000000001E-5</v>
      </c>
      <c r="BY105">
        <v>0.45</v>
      </c>
      <c r="BZ105">
        <v>0.45</v>
      </c>
      <c r="CA105">
        <v>0.01</v>
      </c>
      <c r="CB105">
        <v>0.3</v>
      </c>
      <c r="CC105">
        <v>0.3</v>
      </c>
      <c r="CD105">
        <v>0.3</v>
      </c>
    </row>
    <row r="106" spans="1:82" x14ac:dyDescent="0.25">
      <c r="A106">
        <v>85</v>
      </c>
      <c r="B106">
        <v>3</v>
      </c>
      <c r="C106" t="s">
        <v>99</v>
      </c>
      <c r="E106">
        <v>610</v>
      </c>
      <c r="G106">
        <v>10.199999999999999</v>
      </c>
      <c r="J106" t="s">
        <v>34</v>
      </c>
      <c r="K106">
        <v>8</v>
      </c>
      <c r="L106">
        <v>10</v>
      </c>
      <c r="M106">
        <v>359000</v>
      </c>
      <c r="P106">
        <v>100</v>
      </c>
      <c r="Q106" t="s">
        <v>42</v>
      </c>
      <c r="S106">
        <v>19</v>
      </c>
      <c r="T106">
        <v>38</v>
      </c>
      <c r="U106">
        <v>40</v>
      </c>
      <c r="V106">
        <v>0.75</v>
      </c>
      <c r="W106">
        <v>0.75</v>
      </c>
      <c r="X106">
        <v>1.2</v>
      </c>
      <c r="Y106">
        <v>23.723510319999999</v>
      </c>
      <c r="Z106">
        <v>0.5</v>
      </c>
      <c r="BP106">
        <v>1234.3048779999999</v>
      </c>
      <c r="BQ106">
        <v>307.95887750000003</v>
      </c>
      <c r="BR106">
        <v>50</v>
      </c>
      <c r="BV106">
        <v>3.0857599999999999E-2</v>
      </c>
      <c r="BW106">
        <v>1.0000000000000001E-5</v>
      </c>
      <c r="BX106">
        <v>3.0857599999999999E-2</v>
      </c>
      <c r="BY106">
        <v>0.45</v>
      </c>
      <c r="BZ106">
        <v>0.01</v>
      </c>
      <c r="CA106">
        <v>0.45</v>
      </c>
      <c r="CB106">
        <v>0.3</v>
      </c>
      <c r="CC106">
        <v>0.3</v>
      </c>
      <c r="CD106">
        <v>0.3</v>
      </c>
    </row>
    <row r="107" spans="1:82" x14ac:dyDescent="0.25">
      <c r="A107">
        <v>86</v>
      </c>
      <c r="B107">
        <v>2</v>
      </c>
      <c r="C107" t="s">
        <v>99</v>
      </c>
      <c r="E107">
        <v>560</v>
      </c>
      <c r="G107">
        <v>7.1</v>
      </c>
      <c r="J107" t="s">
        <v>37</v>
      </c>
      <c r="K107">
        <v>8</v>
      </c>
      <c r="L107">
        <v>12</v>
      </c>
      <c r="M107">
        <v>414000</v>
      </c>
      <c r="P107">
        <v>100</v>
      </c>
      <c r="Q107" t="s">
        <v>42</v>
      </c>
      <c r="S107">
        <v>18</v>
      </c>
      <c r="T107">
        <v>32</v>
      </c>
      <c r="U107">
        <v>33.5</v>
      </c>
      <c r="V107">
        <v>0.6</v>
      </c>
      <c r="W107">
        <v>0.55000000000000004</v>
      </c>
      <c r="X107">
        <v>1.2</v>
      </c>
      <c r="Y107">
        <v>12.05453361</v>
      </c>
      <c r="Z107">
        <v>0.3</v>
      </c>
      <c r="BP107">
        <v>977.45236279999995</v>
      </c>
      <c r="BQ107">
        <v>398.01646820000002</v>
      </c>
      <c r="BR107">
        <v>50</v>
      </c>
      <c r="BV107">
        <v>2.4436300000000001E-2</v>
      </c>
      <c r="BW107">
        <v>1.0000000000000001E-5</v>
      </c>
      <c r="BX107">
        <v>2.4436300000000001E-2</v>
      </c>
      <c r="BY107">
        <v>0.45</v>
      </c>
      <c r="BZ107">
        <v>0.01</v>
      </c>
      <c r="CA107">
        <v>0.45</v>
      </c>
      <c r="CB107">
        <v>0.3</v>
      </c>
      <c r="CC107">
        <v>0.3</v>
      </c>
      <c r="CD107">
        <v>0.3</v>
      </c>
    </row>
    <row r="108" spans="1:82" x14ac:dyDescent="0.25">
      <c r="A108">
        <v>87</v>
      </c>
      <c r="B108">
        <v>5</v>
      </c>
      <c r="C108" t="s">
        <v>99</v>
      </c>
      <c r="E108">
        <v>560</v>
      </c>
      <c r="G108">
        <v>7.1</v>
      </c>
      <c r="J108" t="s">
        <v>37</v>
      </c>
      <c r="K108">
        <v>8</v>
      </c>
      <c r="L108">
        <v>12</v>
      </c>
      <c r="M108">
        <v>414000</v>
      </c>
      <c r="P108">
        <v>200</v>
      </c>
      <c r="Q108" t="s">
        <v>42</v>
      </c>
      <c r="S108">
        <v>19</v>
      </c>
      <c r="T108">
        <v>38</v>
      </c>
      <c r="U108">
        <v>48</v>
      </c>
      <c r="V108">
        <v>0.7</v>
      </c>
      <c r="W108">
        <v>0.65</v>
      </c>
      <c r="X108">
        <v>1.8</v>
      </c>
      <c r="Y108">
        <v>27.674087950000001</v>
      </c>
      <c r="Z108">
        <v>0.6</v>
      </c>
      <c r="BP108">
        <v>2243.977539</v>
      </c>
      <c r="BQ108">
        <v>209.52160710000001</v>
      </c>
      <c r="BR108">
        <v>100</v>
      </c>
      <c r="BV108">
        <v>0.1122433</v>
      </c>
      <c r="BW108">
        <v>1.0000000000000001E-5</v>
      </c>
      <c r="BX108">
        <v>0.1122433</v>
      </c>
      <c r="BY108">
        <v>0.45</v>
      </c>
      <c r="BZ108">
        <v>0.01</v>
      </c>
      <c r="CA108">
        <v>0.45</v>
      </c>
      <c r="CB108">
        <v>0.3</v>
      </c>
      <c r="CC108">
        <v>0.3</v>
      </c>
      <c r="CD108">
        <v>0.3</v>
      </c>
    </row>
    <row r="109" spans="1:82" x14ac:dyDescent="0.25">
      <c r="A109">
        <v>88</v>
      </c>
      <c r="B109">
        <v>0</v>
      </c>
      <c r="C109" t="s">
        <v>99</v>
      </c>
      <c r="E109">
        <v>560</v>
      </c>
      <c r="G109">
        <v>7.1</v>
      </c>
      <c r="J109" t="s">
        <v>64</v>
      </c>
      <c r="K109">
        <v>3</v>
      </c>
      <c r="L109">
        <v>9</v>
      </c>
      <c r="M109">
        <v>290000</v>
      </c>
      <c r="P109">
        <v>300</v>
      </c>
      <c r="Q109" t="s">
        <v>42</v>
      </c>
      <c r="S109">
        <v>20</v>
      </c>
      <c r="T109">
        <v>44</v>
      </c>
      <c r="U109">
        <v>62.2</v>
      </c>
      <c r="V109">
        <v>0.8</v>
      </c>
      <c r="W109">
        <v>0.75</v>
      </c>
      <c r="X109">
        <v>2.4</v>
      </c>
      <c r="Y109">
        <v>54.839880450000003</v>
      </c>
      <c r="Z109">
        <v>1</v>
      </c>
      <c r="BP109">
        <v>4446.7394979999999</v>
      </c>
      <c r="BQ109">
        <v>95.9923967</v>
      </c>
      <c r="BR109">
        <v>95.9923967</v>
      </c>
      <c r="BV109">
        <v>2.2897476999999999</v>
      </c>
      <c r="BW109">
        <v>1.0000000000000001E-5</v>
      </c>
      <c r="BX109">
        <v>2.2897476999999999</v>
      </c>
      <c r="BY109">
        <v>0.45</v>
      </c>
      <c r="BZ109">
        <v>0.01</v>
      </c>
      <c r="CA109">
        <v>0.45</v>
      </c>
      <c r="CB109">
        <v>0.3</v>
      </c>
      <c r="CC109">
        <v>0.3</v>
      </c>
      <c r="CD109">
        <v>0.3</v>
      </c>
    </row>
    <row r="110" spans="1:82" x14ac:dyDescent="0.25">
      <c r="A110">
        <v>89</v>
      </c>
      <c r="B110">
        <v>2</v>
      </c>
      <c r="C110" t="s">
        <v>99</v>
      </c>
      <c r="E110">
        <v>1257</v>
      </c>
      <c r="G110">
        <v>6.5</v>
      </c>
      <c r="J110" t="s">
        <v>65</v>
      </c>
      <c r="K110">
        <v>3</v>
      </c>
      <c r="L110">
        <v>8</v>
      </c>
      <c r="M110">
        <v>241000</v>
      </c>
      <c r="P110">
        <v>100</v>
      </c>
      <c r="Q110" t="s">
        <v>42</v>
      </c>
      <c r="S110">
        <v>18</v>
      </c>
      <c r="T110">
        <v>32</v>
      </c>
      <c r="U110">
        <v>33.5</v>
      </c>
      <c r="V110">
        <v>0.6</v>
      </c>
      <c r="W110">
        <v>0.55000000000000004</v>
      </c>
      <c r="X110">
        <v>1.2</v>
      </c>
      <c r="Y110">
        <v>27.05812276</v>
      </c>
      <c r="Z110">
        <v>0.3</v>
      </c>
      <c r="BP110">
        <v>1059.621441</v>
      </c>
      <c r="BQ110">
        <v>249.48299940000001</v>
      </c>
      <c r="BR110">
        <v>50</v>
      </c>
      <c r="BV110">
        <v>2.64906E-2</v>
      </c>
      <c r="BW110">
        <v>1.0000000000000001E-5</v>
      </c>
      <c r="BX110">
        <v>2.64906E-2</v>
      </c>
      <c r="BY110">
        <v>0.45</v>
      </c>
      <c r="BZ110">
        <v>0.01</v>
      </c>
      <c r="CA110">
        <v>0.45</v>
      </c>
      <c r="CB110">
        <v>0.3</v>
      </c>
      <c r="CC110">
        <v>0.3</v>
      </c>
      <c r="CD110">
        <v>0.3</v>
      </c>
    </row>
    <row r="111" spans="1:82" x14ac:dyDescent="0.25">
      <c r="A111">
        <v>90</v>
      </c>
      <c r="B111">
        <v>4</v>
      </c>
      <c r="C111" t="s">
        <v>99</v>
      </c>
      <c r="E111">
        <v>1257</v>
      </c>
      <c r="G111">
        <v>6.5</v>
      </c>
      <c r="J111" t="s">
        <v>34</v>
      </c>
      <c r="K111">
        <v>8</v>
      </c>
      <c r="L111">
        <v>10</v>
      </c>
      <c r="M111">
        <v>359000</v>
      </c>
      <c r="P111">
        <v>200</v>
      </c>
      <c r="Q111" t="s">
        <v>42</v>
      </c>
      <c r="S111">
        <v>19</v>
      </c>
      <c r="T111">
        <v>38</v>
      </c>
      <c r="U111">
        <v>48</v>
      </c>
      <c r="V111">
        <v>0.7</v>
      </c>
      <c r="W111">
        <v>0.65</v>
      </c>
      <c r="X111">
        <v>1.8</v>
      </c>
      <c r="Y111">
        <v>62.118443849999998</v>
      </c>
      <c r="Z111">
        <v>0.6</v>
      </c>
      <c r="BP111">
        <v>2432.6164659999999</v>
      </c>
      <c r="BQ111">
        <v>177.15355159999999</v>
      </c>
      <c r="BR111">
        <v>100</v>
      </c>
      <c r="BV111">
        <v>0.12343610000000001</v>
      </c>
      <c r="BW111">
        <v>1.0000000000000001E-5</v>
      </c>
      <c r="BX111">
        <v>0.12343610000000001</v>
      </c>
      <c r="BY111">
        <v>0.45</v>
      </c>
      <c r="BZ111">
        <v>0.01</v>
      </c>
      <c r="CA111">
        <v>0.45</v>
      </c>
      <c r="CB111">
        <v>0.3</v>
      </c>
      <c r="CC111">
        <v>0.3</v>
      </c>
      <c r="CD111">
        <v>0.3</v>
      </c>
    </row>
    <row r="112" spans="1:82" x14ac:dyDescent="0.25">
      <c r="A112">
        <v>91</v>
      </c>
      <c r="B112">
        <v>1</v>
      </c>
      <c r="C112" t="s">
        <v>99</v>
      </c>
      <c r="E112">
        <v>1257</v>
      </c>
      <c r="G112">
        <v>6.5</v>
      </c>
      <c r="J112" t="s">
        <v>64</v>
      </c>
      <c r="K112">
        <v>3</v>
      </c>
      <c r="L112">
        <v>9</v>
      </c>
      <c r="M112">
        <v>290000</v>
      </c>
      <c r="P112">
        <v>300</v>
      </c>
      <c r="Q112" t="s">
        <v>42</v>
      </c>
      <c r="S112">
        <v>20</v>
      </c>
      <c r="T112">
        <v>44</v>
      </c>
      <c r="U112">
        <v>62.2</v>
      </c>
      <c r="V112">
        <v>0.8</v>
      </c>
      <c r="W112">
        <v>0.75</v>
      </c>
      <c r="X112">
        <v>2.4</v>
      </c>
      <c r="Y112">
        <v>123.0959459</v>
      </c>
      <c r="Z112">
        <v>1</v>
      </c>
      <c r="BP112">
        <v>4820.552584</v>
      </c>
      <c r="BQ112">
        <v>90.33357694</v>
      </c>
      <c r="BR112">
        <v>90.33357694</v>
      </c>
      <c r="BV112">
        <v>2.7526799999999998</v>
      </c>
      <c r="BW112">
        <v>1.0000000000000001E-5</v>
      </c>
      <c r="BX112">
        <v>2.7526799999999998</v>
      </c>
      <c r="BY112">
        <v>0.45</v>
      </c>
      <c r="BZ112">
        <v>0.01</v>
      </c>
      <c r="CA112">
        <v>0.45</v>
      </c>
      <c r="CB112">
        <v>0.3</v>
      </c>
      <c r="CC112">
        <v>0.3</v>
      </c>
      <c r="CD112">
        <v>0.3</v>
      </c>
    </row>
    <row r="113" spans="1:82" x14ac:dyDescent="0.25">
      <c r="A113">
        <v>92</v>
      </c>
      <c r="B113">
        <v>5</v>
      </c>
      <c r="C113" t="s">
        <v>99</v>
      </c>
      <c r="E113">
        <v>1723</v>
      </c>
      <c r="G113">
        <v>9.5</v>
      </c>
      <c r="J113" t="s">
        <v>39</v>
      </c>
      <c r="K113">
        <v>14</v>
      </c>
      <c r="L113">
        <v>15</v>
      </c>
      <c r="M113">
        <v>483000</v>
      </c>
      <c r="P113">
        <v>100</v>
      </c>
      <c r="Q113" t="s">
        <v>42</v>
      </c>
      <c r="S113">
        <v>18</v>
      </c>
      <c r="T113">
        <v>32</v>
      </c>
      <c r="U113">
        <v>33.5</v>
      </c>
      <c r="V113">
        <v>0.6</v>
      </c>
      <c r="W113">
        <v>0.55000000000000004</v>
      </c>
      <c r="X113">
        <v>1.2</v>
      </c>
      <c r="Y113">
        <v>37.089216800000003</v>
      </c>
      <c r="Z113">
        <v>0.3</v>
      </c>
      <c r="BP113">
        <v>725.25390489999995</v>
      </c>
      <c r="BQ113">
        <v>584.57292270000005</v>
      </c>
      <c r="BR113">
        <v>50</v>
      </c>
      <c r="BV113">
        <v>1.81313E-2</v>
      </c>
      <c r="BW113">
        <v>1.0000000000000001E-5</v>
      </c>
      <c r="BX113">
        <v>1.81313E-2</v>
      </c>
      <c r="BY113">
        <v>0.45</v>
      </c>
      <c r="BZ113">
        <v>0.01</v>
      </c>
      <c r="CA113">
        <v>0.45</v>
      </c>
      <c r="CB113">
        <v>0.3</v>
      </c>
      <c r="CC113">
        <v>0.3</v>
      </c>
      <c r="CD113">
        <v>0.3</v>
      </c>
    </row>
    <row r="114" spans="1:82" x14ac:dyDescent="0.25">
      <c r="A114">
        <v>93</v>
      </c>
      <c r="B114">
        <v>3</v>
      </c>
      <c r="C114" t="s">
        <v>99</v>
      </c>
      <c r="E114">
        <v>1723</v>
      </c>
      <c r="G114">
        <v>9.5</v>
      </c>
      <c r="J114" t="s">
        <v>64</v>
      </c>
      <c r="K114">
        <v>3</v>
      </c>
      <c r="L114">
        <v>9</v>
      </c>
      <c r="M114">
        <v>290000</v>
      </c>
      <c r="P114">
        <v>200</v>
      </c>
      <c r="Q114" t="s">
        <v>42</v>
      </c>
      <c r="S114">
        <v>19</v>
      </c>
      <c r="T114">
        <v>38</v>
      </c>
      <c r="U114">
        <v>48</v>
      </c>
      <c r="V114">
        <v>0.7</v>
      </c>
      <c r="W114">
        <v>0.65</v>
      </c>
      <c r="X114">
        <v>1.8</v>
      </c>
      <c r="Y114">
        <v>85.147238470000005</v>
      </c>
      <c r="Z114">
        <v>0.6</v>
      </c>
      <c r="BP114">
        <v>1664.9951799999999</v>
      </c>
      <c r="BQ114">
        <v>209.7891731</v>
      </c>
      <c r="BR114">
        <v>100</v>
      </c>
      <c r="BV114">
        <v>8.3419099999999996E-2</v>
      </c>
      <c r="BW114">
        <v>1.0000000000000001E-5</v>
      </c>
      <c r="BX114">
        <v>8.3419099999999996E-2</v>
      </c>
      <c r="BY114">
        <v>0.45</v>
      </c>
      <c r="BZ114">
        <v>0.01</v>
      </c>
      <c r="CA114">
        <v>0.45</v>
      </c>
      <c r="CB114">
        <v>0.3</v>
      </c>
      <c r="CC114">
        <v>0.3</v>
      </c>
      <c r="CD114">
        <v>0.3</v>
      </c>
    </row>
    <row r="115" spans="1:82" x14ac:dyDescent="0.25">
      <c r="A115">
        <v>94</v>
      </c>
      <c r="B115">
        <v>4</v>
      </c>
      <c r="C115" t="s">
        <v>99</v>
      </c>
      <c r="E115">
        <v>1723</v>
      </c>
      <c r="G115">
        <v>9.5</v>
      </c>
      <c r="J115" t="s">
        <v>64</v>
      </c>
      <c r="K115">
        <v>3</v>
      </c>
      <c r="L115">
        <v>9</v>
      </c>
      <c r="M115">
        <v>290000</v>
      </c>
      <c r="P115">
        <v>300</v>
      </c>
      <c r="Q115" t="s">
        <v>42</v>
      </c>
      <c r="S115">
        <v>20</v>
      </c>
      <c r="T115">
        <v>44</v>
      </c>
      <c r="U115">
        <v>62.2</v>
      </c>
      <c r="V115">
        <v>0.8</v>
      </c>
      <c r="W115">
        <v>0.75</v>
      </c>
      <c r="X115">
        <v>2.4</v>
      </c>
      <c r="Y115">
        <v>168.73056070000001</v>
      </c>
      <c r="Z115">
        <v>1</v>
      </c>
      <c r="BP115">
        <v>3299.4090630000001</v>
      </c>
      <c r="BQ115">
        <v>125.57334109999999</v>
      </c>
      <c r="BR115">
        <v>125.57334109999999</v>
      </c>
      <c r="BV115">
        <v>1.7483107</v>
      </c>
      <c r="BW115">
        <v>1.0000000000000001E-5</v>
      </c>
      <c r="BX115">
        <v>1.7483107</v>
      </c>
      <c r="BY115">
        <v>0.45</v>
      </c>
      <c r="BZ115">
        <v>0.01</v>
      </c>
      <c r="CA115">
        <v>0.45</v>
      </c>
      <c r="CB115">
        <v>0.3</v>
      </c>
      <c r="CC115">
        <v>0.3</v>
      </c>
      <c r="CD115">
        <v>0.3</v>
      </c>
    </row>
    <row r="116" spans="1:82" x14ac:dyDescent="0.25">
      <c r="A116">
        <v>95</v>
      </c>
      <c r="B116">
        <v>3</v>
      </c>
      <c r="C116" t="s">
        <v>99</v>
      </c>
      <c r="E116">
        <v>168</v>
      </c>
      <c r="G116">
        <v>4.8</v>
      </c>
      <c r="J116" t="s">
        <v>34</v>
      </c>
      <c r="K116">
        <v>8</v>
      </c>
      <c r="L116">
        <v>10</v>
      </c>
      <c r="M116">
        <v>359000</v>
      </c>
      <c r="P116">
        <v>100</v>
      </c>
      <c r="Q116" t="s">
        <v>42</v>
      </c>
      <c r="S116">
        <v>18</v>
      </c>
      <c r="T116">
        <v>32</v>
      </c>
      <c r="U116">
        <v>33.5</v>
      </c>
      <c r="V116">
        <v>0.6</v>
      </c>
      <c r="W116">
        <v>0.55000000000000004</v>
      </c>
      <c r="X116">
        <v>1.2</v>
      </c>
      <c r="Y116">
        <v>3.6163600819999999</v>
      </c>
      <c r="Z116">
        <v>0.3</v>
      </c>
      <c r="BP116">
        <v>1469.4689109999999</v>
      </c>
      <c r="BQ116">
        <v>250.59552020000001</v>
      </c>
      <c r="BR116">
        <v>50</v>
      </c>
      <c r="BV116">
        <v>3.6736699999999997E-2</v>
      </c>
      <c r="BW116">
        <v>1.0000000000000001E-5</v>
      </c>
      <c r="BX116">
        <v>3.6736699999999997E-2</v>
      </c>
      <c r="BY116">
        <v>0.45</v>
      </c>
      <c r="BZ116">
        <v>0.01</v>
      </c>
      <c r="CA116">
        <v>0.45</v>
      </c>
      <c r="CB116">
        <v>0.3</v>
      </c>
      <c r="CC116">
        <v>0.3</v>
      </c>
      <c r="CD116">
        <v>0.3</v>
      </c>
    </row>
    <row r="117" spans="1:82" x14ac:dyDescent="0.25">
      <c r="A117">
        <v>96</v>
      </c>
      <c r="B117">
        <v>5</v>
      </c>
      <c r="C117" t="s">
        <v>99</v>
      </c>
      <c r="E117">
        <v>168</v>
      </c>
      <c r="G117">
        <v>4.8</v>
      </c>
      <c r="J117" t="s">
        <v>64</v>
      </c>
      <c r="K117">
        <v>3</v>
      </c>
      <c r="L117">
        <v>9</v>
      </c>
      <c r="M117">
        <v>290000</v>
      </c>
      <c r="P117">
        <v>200</v>
      </c>
      <c r="Q117" t="s">
        <v>42</v>
      </c>
      <c r="S117">
        <v>19</v>
      </c>
      <c r="T117">
        <v>38</v>
      </c>
      <c r="U117">
        <v>48</v>
      </c>
      <c r="V117">
        <v>0.7</v>
      </c>
      <c r="W117">
        <v>0.65</v>
      </c>
      <c r="X117">
        <v>1.8</v>
      </c>
      <c r="Y117">
        <v>8.3022263859999992</v>
      </c>
      <c r="Z117">
        <v>0.6</v>
      </c>
      <c r="BP117">
        <v>3373.5201390000002</v>
      </c>
      <c r="BQ117">
        <v>112.3792277</v>
      </c>
      <c r="BR117">
        <v>100</v>
      </c>
      <c r="BV117">
        <v>0.3660738</v>
      </c>
      <c r="BW117">
        <v>1.0000000000000001E-5</v>
      </c>
      <c r="BX117">
        <v>0.3660738</v>
      </c>
      <c r="BY117">
        <v>0.45</v>
      </c>
      <c r="BZ117">
        <v>0.01</v>
      </c>
      <c r="CA117">
        <v>0.45</v>
      </c>
      <c r="CB117">
        <v>0.3</v>
      </c>
      <c r="CC117">
        <v>0.3</v>
      </c>
      <c r="CD117">
        <v>0.3</v>
      </c>
    </row>
    <row r="118" spans="1:82" x14ac:dyDescent="0.25">
      <c r="A118">
        <v>97</v>
      </c>
      <c r="B118">
        <v>0</v>
      </c>
      <c r="C118" t="s">
        <v>99</v>
      </c>
      <c r="E118">
        <v>168</v>
      </c>
      <c r="G118">
        <v>4.8</v>
      </c>
      <c r="J118" t="s">
        <v>41</v>
      </c>
      <c r="K118">
        <v>15</v>
      </c>
      <c r="L118">
        <v>20</v>
      </c>
      <c r="M118">
        <v>552000</v>
      </c>
      <c r="P118">
        <v>300</v>
      </c>
      <c r="Q118" t="s">
        <v>42</v>
      </c>
      <c r="S118">
        <v>20</v>
      </c>
      <c r="T118">
        <v>44</v>
      </c>
      <c r="U118">
        <v>62.2</v>
      </c>
      <c r="V118">
        <v>0.8</v>
      </c>
      <c r="W118">
        <v>0.75</v>
      </c>
      <c r="X118">
        <v>2.4</v>
      </c>
      <c r="Y118">
        <v>16.451964140000001</v>
      </c>
      <c r="Z118">
        <v>1</v>
      </c>
      <c r="BP118">
        <v>6685.0781649999999</v>
      </c>
      <c r="BQ118">
        <v>109.07765000000001</v>
      </c>
      <c r="BR118">
        <v>109.07765000000001</v>
      </c>
      <c r="BV118">
        <v>68.558872100000002</v>
      </c>
      <c r="BW118">
        <v>1.0000000000000001E-5</v>
      </c>
      <c r="BX118">
        <v>68.558872100000002</v>
      </c>
      <c r="BY118">
        <v>0.45</v>
      </c>
      <c r="BZ118">
        <v>0.01</v>
      </c>
      <c r="CA118">
        <v>0.45</v>
      </c>
      <c r="CB118">
        <v>0.3</v>
      </c>
      <c r="CC118">
        <v>0.3</v>
      </c>
      <c r="CD118">
        <v>0.3</v>
      </c>
    </row>
    <row r="119" spans="1:82" x14ac:dyDescent="0.25">
      <c r="A119">
        <v>98</v>
      </c>
      <c r="B119">
        <v>1</v>
      </c>
      <c r="C119" t="s">
        <v>99</v>
      </c>
      <c r="E119">
        <v>762</v>
      </c>
      <c r="G119">
        <v>9.5</v>
      </c>
      <c r="J119" t="s">
        <v>41</v>
      </c>
      <c r="K119">
        <v>15</v>
      </c>
      <c r="L119">
        <v>20</v>
      </c>
      <c r="M119">
        <v>552000</v>
      </c>
      <c r="P119">
        <v>100</v>
      </c>
      <c r="Q119" t="s">
        <v>42</v>
      </c>
      <c r="S119">
        <v>18</v>
      </c>
      <c r="T119">
        <v>32</v>
      </c>
      <c r="U119">
        <v>33.5</v>
      </c>
      <c r="V119">
        <v>0.6</v>
      </c>
      <c r="W119">
        <v>0.55000000000000004</v>
      </c>
      <c r="X119">
        <v>1.2</v>
      </c>
      <c r="Y119">
        <v>16.40277609</v>
      </c>
      <c r="Z119">
        <v>0.3</v>
      </c>
      <c r="BP119">
        <v>730.36066300000005</v>
      </c>
      <c r="BQ119">
        <v>636.81414540000003</v>
      </c>
      <c r="BR119">
        <v>50</v>
      </c>
      <c r="BV119">
        <v>1.8259000000000001E-2</v>
      </c>
      <c r="BW119">
        <v>1.0000000000000001E-5</v>
      </c>
      <c r="BX119">
        <v>1.8259000000000001E-2</v>
      </c>
      <c r="BY119">
        <v>0.45</v>
      </c>
      <c r="BZ119">
        <v>0.01</v>
      </c>
      <c r="CA119">
        <v>0.45</v>
      </c>
      <c r="CB119">
        <v>0.3</v>
      </c>
      <c r="CC119">
        <v>0.3</v>
      </c>
      <c r="CD119">
        <v>0.3</v>
      </c>
    </row>
    <row r="120" spans="1:82" x14ac:dyDescent="0.25">
      <c r="A120">
        <v>99</v>
      </c>
      <c r="B120">
        <v>4</v>
      </c>
      <c r="C120" t="s">
        <v>99</v>
      </c>
      <c r="E120">
        <v>762</v>
      </c>
      <c r="G120">
        <v>9.5</v>
      </c>
      <c r="J120" t="s">
        <v>34</v>
      </c>
      <c r="K120">
        <v>8</v>
      </c>
      <c r="L120">
        <v>10</v>
      </c>
      <c r="M120">
        <v>359000</v>
      </c>
      <c r="P120">
        <v>200</v>
      </c>
      <c r="Q120" t="s">
        <v>42</v>
      </c>
      <c r="S120">
        <v>19</v>
      </c>
      <c r="T120">
        <v>38</v>
      </c>
      <c r="U120">
        <v>48</v>
      </c>
      <c r="V120">
        <v>0.7</v>
      </c>
      <c r="W120">
        <v>0.65</v>
      </c>
      <c r="X120">
        <v>1.8</v>
      </c>
      <c r="Y120">
        <v>37.656526820000003</v>
      </c>
      <c r="Z120">
        <v>0.6</v>
      </c>
      <c r="BP120">
        <v>1676.7189739999999</v>
      </c>
      <c r="BQ120">
        <v>242.6722742</v>
      </c>
      <c r="BR120">
        <v>100</v>
      </c>
      <c r="BV120">
        <v>8.3866099999999999E-2</v>
      </c>
      <c r="BW120">
        <v>1.0000000000000001E-5</v>
      </c>
      <c r="BX120">
        <v>8.3866099999999999E-2</v>
      </c>
      <c r="BY120">
        <v>0.45</v>
      </c>
      <c r="BZ120">
        <v>0.01</v>
      </c>
      <c r="CA120">
        <v>0.45</v>
      </c>
      <c r="CB120">
        <v>0.3</v>
      </c>
      <c r="CC120">
        <v>0.3</v>
      </c>
      <c r="CD120">
        <v>0.3</v>
      </c>
    </row>
    <row r="121" spans="1:82" x14ac:dyDescent="0.25">
      <c r="A121">
        <v>100</v>
      </c>
      <c r="B121">
        <v>5</v>
      </c>
      <c r="C121" t="s">
        <v>99</v>
      </c>
      <c r="E121">
        <v>762</v>
      </c>
      <c r="G121">
        <v>9.5</v>
      </c>
      <c r="J121" t="s">
        <v>41</v>
      </c>
      <c r="K121">
        <v>15</v>
      </c>
      <c r="L121">
        <v>20</v>
      </c>
      <c r="M121">
        <v>552000</v>
      </c>
      <c r="P121">
        <v>300</v>
      </c>
      <c r="Q121" t="s">
        <v>42</v>
      </c>
      <c r="S121">
        <v>20</v>
      </c>
      <c r="T121">
        <v>44</v>
      </c>
      <c r="U121">
        <v>62.2</v>
      </c>
      <c r="V121">
        <v>0.8</v>
      </c>
      <c r="W121">
        <v>0.75</v>
      </c>
      <c r="X121">
        <v>2.4</v>
      </c>
      <c r="Y121">
        <v>74.621408759999994</v>
      </c>
      <c r="Z121">
        <v>1</v>
      </c>
      <c r="BP121">
        <v>3322.6413189999998</v>
      </c>
      <c r="BQ121">
        <v>200.65724950000001</v>
      </c>
      <c r="BR121">
        <v>150</v>
      </c>
      <c r="BV121">
        <v>0.27227249999999997</v>
      </c>
      <c r="BW121">
        <v>1.0000000000000001E-5</v>
      </c>
      <c r="BX121">
        <v>0.27227249999999997</v>
      </c>
      <c r="BY121">
        <v>0.45</v>
      </c>
      <c r="BZ121">
        <v>0.01</v>
      </c>
      <c r="CA121">
        <v>0.45</v>
      </c>
      <c r="CB121">
        <v>0.3</v>
      </c>
      <c r="CC121">
        <v>0.3</v>
      </c>
      <c r="CD121">
        <v>0.3</v>
      </c>
    </row>
    <row r="122" spans="1:82" x14ac:dyDescent="0.25">
      <c r="A122">
        <v>101</v>
      </c>
      <c r="B122">
        <v>5</v>
      </c>
      <c r="C122" t="s">
        <v>99</v>
      </c>
      <c r="E122">
        <v>610</v>
      </c>
      <c r="G122">
        <v>6.4</v>
      </c>
      <c r="J122" t="s">
        <v>34</v>
      </c>
      <c r="K122">
        <v>8</v>
      </c>
      <c r="L122">
        <v>10</v>
      </c>
      <c r="M122">
        <v>359000</v>
      </c>
      <c r="P122">
        <v>100</v>
      </c>
      <c r="Q122" t="s">
        <v>42</v>
      </c>
      <c r="S122">
        <v>18</v>
      </c>
      <c r="T122">
        <v>32</v>
      </c>
      <c r="U122">
        <v>33.5</v>
      </c>
      <c r="V122">
        <v>0.6</v>
      </c>
      <c r="W122">
        <v>0.55000000000000004</v>
      </c>
      <c r="X122">
        <v>1.2</v>
      </c>
      <c r="Y122">
        <v>13.13083125</v>
      </c>
      <c r="Z122">
        <v>0.3</v>
      </c>
      <c r="BP122">
        <v>1081.9648259999999</v>
      </c>
      <c r="BQ122">
        <v>327.81318340000001</v>
      </c>
      <c r="BR122">
        <v>50</v>
      </c>
      <c r="BV122">
        <v>2.70491E-2</v>
      </c>
      <c r="BW122">
        <v>1.0000000000000001E-5</v>
      </c>
      <c r="BX122">
        <v>2.70491E-2</v>
      </c>
      <c r="BY122">
        <v>0.45</v>
      </c>
      <c r="BZ122">
        <v>0.01</v>
      </c>
      <c r="CA122">
        <v>0.45</v>
      </c>
      <c r="CB122">
        <v>0.3</v>
      </c>
      <c r="CC122">
        <v>0.3</v>
      </c>
      <c r="CD122">
        <v>0.3</v>
      </c>
    </row>
    <row r="123" spans="1:82" x14ac:dyDescent="0.25">
      <c r="A123">
        <v>102</v>
      </c>
      <c r="B123">
        <v>3</v>
      </c>
      <c r="C123" t="s">
        <v>99</v>
      </c>
      <c r="E123">
        <v>610</v>
      </c>
      <c r="G123">
        <v>6.4</v>
      </c>
      <c r="J123" t="s">
        <v>41</v>
      </c>
      <c r="K123">
        <v>15</v>
      </c>
      <c r="L123">
        <v>20</v>
      </c>
      <c r="M123">
        <v>552000</v>
      </c>
      <c r="P123">
        <v>200</v>
      </c>
      <c r="Q123" t="s">
        <v>42</v>
      </c>
      <c r="S123">
        <v>19</v>
      </c>
      <c r="T123">
        <v>38</v>
      </c>
      <c r="U123">
        <v>48</v>
      </c>
      <c r="V123">
        <v>0.7</v>
      </c>
      <c r="W123">
        <v>0.65</v>
      </c>
      <c r="X123">
        <v>1.8</v>
      </c>
      <c r="Y123">
        <v>30.144988659999999</v>
      </c>
      <c r="Z123">
        <v>0.6</v>
      </c>
      <c r="BP123">
        <v>2483.9110930000002</v>
      </c>
      <c r="BQ123">
        <v>238.38257490000001</v>
      </c>
      <c r="BR123">
        <v>100</v>
      </c>
      <c r="BV123">
        <v>0.1241956</v>
      </c>
      <c r="BW123">
        <v>1.0000000000000001E-5</v>
      </c>
      <c r="BX123">
        <v>0.1241956</v>
      </c>
      <c r="BY123">
        <v>0.45</v>
      </c>
      <c r="BZ123">
        <v>0.01</v>
      </c>
      <c r="CA123">
        <v>0.45</v>
      </c>
      <c r="CB123">
        <v>0.3</v>
      </c>
      <c r="CC123">
        <v>0.3</v>
      </c>
      <c r="CD123">
        <v>0.3</v>
      </c>
    </row>
    <row r="124" spans="1:82" x14ac:dyDescent="0.25">
      <c r="A124">
        <v>103</v>
      </c>
      <c r="B124">
        <v>1</v>
      </c>
      <c r="C124" t="s">
        <v>99</v>
      </c>
      <c r="E124">
        <v>610</v>
      </c>
      <c r="G124">
        <v>6.4</v>
      </c>
      <c r="J124" t="s">
        <v>64</v>
      </c>
      <c r="K124">
        <v>3</v>
      </c>
      <c r="L124">
        <v>9</v>
      </c>
      <c r="M124">
        <v>290000</v>
      </c>
      <c r="P124">
        <v>300</v>
      </c>
      <c r="Q124" t="s">
        <v>42</v>
      </c>
      <c r="S124">
        <v>20</v>
      </c>
      <c r="T124">
        <v>44</v>
      </c>
      <c r="U124">
        <v>62.2</v>
      </c>
      <c r="V124">
        <v>0.8</v>
      </c>
      <c r="W124">
        <v>0.75</v>
      </c>
      <c r="X124">
        <v>2.4</v>
      </c>
      <c r="Y124">
        <v>59.736298349999998</v>
      </c>
      <c r="Z124">
        <v>1</v>
      </c>
      <c r="BP124">
        <v>4922.1997000000001</v>
      </c>
      <c r="BQ124">
        <v>87.994095999999999</v>
      </c>
      <c r="BR124">
        <v>87.994095999999999</v>
      </c>
      <c r="BV124">
        <v>2.6189157999999999</v>
      </c>
      <c r="BW124">
        <v>1.0000000000000001E-5</v>
      </c>
      <c r="BX124">
        <v>2.6189157999999999</v>
      </c>
      <c r="BY124">
        <v>0.45</v>
      </c>
      <c r="BZ124">
        <v>0.01</v>
      </c>
      <c r="CA124">
        <v>0.45</v>
      </c>
      <c r="CB124">
        <v>0.3</v>
      </c>
      <c r="CC124">
        <v>0.3</v>
      </c>
      <c r="CD124">
        <v>0.3</v>
      </c>
    </row>
    <row r="125" spans="1:82" x14ac:dyDescent="0.25">
      <c r="A125">
        <v>104</v>
      </c>
      <c r="B125">
        <v>4</v>
      </c>
      <c r="C125" t="s">
        <v>99</v>
      </c>
      <c r="E125">
        <v>406</v>
      </c>
      <c r="G125">
        <v>9.5</v>
      </c>
      <c r="J125" t="s">
        <v>34</v>
      </c>
      <c r="K125">
        <v>8</v>
      </c>
      <c r="L125">
        <v>10</v>
      </c>
      <c r="M125">
        <v>359000</v>
      </c>
      <c r="P125">
        <v>100</v>
      </c>
      <c r="Q125" t="s">
        <v>42</v>
      </c>
      <c r="S125">
        <v>18</v>
      </c>
      <c r="T125">
        <v>32</v>
      </c>
      <c r="U125">
        <v>33.5</v>
      </c>
      <c r="V125">
        <v>0.6</v>
      </c>
      <c r="W125">
        <v>0.55000000000000004</v>
      </c>
      <c r="X125">
        <v>1.2</v>
      </c>
      <c r="Y125">
        <v>8.7395368659999999</v>
      </c>
      <c r="Z125">
        <v>0.3</v>
      </c>
      <c r="BP125">
        <v>738.53613459999997</v>
      </c>
      <c r="BQ125">
        <v>455.79616240000001</v>
      </c>
      <c r="BR125">
        <v>50</v>
      </c>
      <c r="BV125">
        <v>1.8463400000000001E-2</v>
      </c>
      <c r="BW125">
        <v>1.0000000000000001E-5</v>
      </c>
      <c r="BX125">
        <v>1.8463400000000001E-2</v>
      </c>
      <c r="BY125">
        <v>0.45</v>
      </c>
      <c r="BZ125">
        <v>0.01</v>
      </c>
      <c r="CA125">
        <v>0.45</v>
      </c>
      <c r="CB125">
        <v>0.3</v>
      </c>
      <c r="CC125">
        <v>0.3</v>
      </c>
      <c r="CD125">
        <v>0.3</v>
      </c>
    </row>
    <row r="126" spans="1:82" x14ac:dyDescent="0.25">
      <c r="A126">
        <v>105</v>
      </c>
      <c r="B126">
        <v>0</v>
      </c>
      <c r="C126" t="s">
        <v>99</v>
      </c>
      <c r="E126">
        <v>406</v>
      </c>
      <c r="G126">
        <v>9.5</v>
      </c>
      <c r="J126" t="s">
        <v>65</v>
      </c>
      <c r="K126">
        <v>3</v>
      </c>
      <c r="L126">
        <v>8</v>
      </c>
      <c r="M126">
        <v>241000</v>
      </c>
      <c r="P126">
        <v>200</v>
      </c>
      <c r="Q126" t="s">
        <v>42</v>
      </c>
      <c r="S126">
        <v>19</v>
      </c>
      <c r="T126">
        <v>38</v>
      </c>
      <c r="U126">
        <v>48</v>
      </c>
      <c r="V126">
        <v>0.7</v>
      </c>
      <c r="W126">
        <v>0.65</v>
      </c>
      <c r="X126">
        <v>1.8</v>
      </c>
      <c r="Y126">
        <v>20.06371377</v>
      </c>
      <c r="Z126">
        <v>0.6</v>
      </c>
      <c r="BP126">
        <v>1695.48774</v>
      </c>
      <c r="BQ126">
        <v>177.87598059999999</v>
      </c>
      <c r="BR126">
        <v>100</v>
      </c>
      <c r="BV126">
        <v>8.6470099999999994E-2</v>
      </c>
      <c r="BW126">
        <v>1.0000000000000001E-5</v>
      </c>
      <c r="BX126">
        <v>8.6470099999999994E-2</v>
      </c>
      <c r="BY126">
        <v>0.45</v>
      </c>
      <c r="BZ126">
        <v>0.01</v>
      </c>
      <c r="CA126">
        <v>0.45</v>
      </c>
      <c r="CB126">
        <v>0.3</v>
      </c>
      <c r="CC126">
        <v>0.3</v>
      </c>
      <c r="CD126">
        <v>0.3</v>
      </c>
    </row>
    <row r="127" spans="1:82" x14ac:dyDescent="0.25">
      <c r="A127">
        <v>106</v>
      </c>
      <c r="B127">
        <v>4</v>
      </c>
      <c r="C127" t="s">
        <v>99</v>
      </c>
      <c r="E127">
        <v>406</v>
      </c>
      <c r="G127">
        <v>9.5</v>
      </c>
      <c r="J127" t="s">
        <v>65</v>
      </c>
      <c r="K127">
        <v>3</v>
      </c>
      <c r="L127">
        <v>8</v>
      </c>
      <c r="M127">
        <v>241000</v>
      </c>
      <c r="P127">
        <v>300</v>
      </c>
      <c r="Q127" t="s">
        <v>42</v>
      </c>
      <c r="S127">
        <v>20</v>
      </c>
      <c r="T127">
        <v>44</v>
      </c>
      <c r="U127">
        <v>62.2</v>
      </c>
      <c r="V127">
        <v>0.8</v>
      </c>
      <c r="W127">
        <v>0.75</v>
      </c>
      <c r="X127">
        <v>2.4</v>
      </c>
      <c r="Y127">
        <v>39.758913329999999</v>
      </c>
      <c r="Z127">
        <v>1</v>
      </c>
      <c r="BP127">
        <v>3359.8341209999999</v>
      </c>
      <c r="BQ127">
        <v>106.4710864</v>
      </c>
      <c r="BR127">
        <v>106.4710864</v>
      </c>
      <c r="BV127">
        <v>1.5838037</v>
      </c>
      <c r="BW127">
        <v>1.0000000000000001E-5</v>
      </c>
      <c r="BX127">
        <v>1.5838037</v>
      </c>
      <c r="BY127">
        <v>0.45</v>
      </c>
      <c r="BZ127">
        <v>0.01</v>
      </c>
      <c r="CA127">
        <v>0.45</v>
      </c>
      <c r="CB127">
        <v>0.3</v>
      </c>
      <c r="CC127">
        <v>0.3</v>
      </c>
      <c r="CD127">
        <v>0.3</v>
      </c>
    </row>
    <row r="128" spans="1:82" x14ac:dyDescent="0.25">
      <c r="A128">
        <v>107</v>
      </c>
      <c r="B128">
        <v>1</v>
      </c>
      <c r="C128" t="s">
        <v>99</v>
      </c>
      <c r="E128">
        <v>610</v>
      </c>
      <c r="G128">
        <v>10.199999999999999</v>
      </c>
      <c r="J128" t="s">
        <v>34</v>
      </c>
      <c r="K128">
        <v>8</v>
      </c>
      <c r="L128">
        <v>10</v>
      </c>
      <c r="M128">
        <v>359000</v>
      </c>
      <c r="P128">
        <v>100</v>
      </c>
      <c r="Q128" t="s">
        <v>35</v>
      </c>
      <c r="S128">
        <v>19</v>
      </c>
      <c r="T128">
        <v>38</v>
      </c>
      <c r="U128">
        <v>40</v>
      </c>
      <c r="V128">
        <v>0.75</v>
      </c>
      <c r="W128">
        <v>0.75</v>
      </c>
      <c r="X128">
        <v>1.2</v>
      </c>
      <c r="Y128">
        <v>57.49114556</v>
      </c>
      <c r="Z128">
        <v>0.5</v>
      </c>
      <c r="BP128">
        <v>2991.193143</v>
      </c>
      <c r="BQ128">
        <v>146.99126380000001</v>
      </c>
      <c r="BR128">
        <v>50</v>
      </c>
      <c r="BV128">
        <v>7.4788400000000005E-2</v>
      </c>
      <c r="BW128">
        <v>1.0000000000000001E-5</v>
      </c>
      <c r="BX128">
        <v>7.4788400000000005E-2</v>
      </c>
      <c r="BY128">
        <v>0.45</v>
      </c>
      <c r="BZ128">
        <v>0.01</v>
      </c>
      <c r="CA128">
        <v>0.45</v>
      </c>
      <c r="CB128">
        <v>0.3</v>
      </c>
      <c r="CC128">
        <v>0.3</v>
      </c>
      <c r="CD128">
        <v>0.3</v>
      </c>
    </row>
    <row r="129" spans="1:82" x14ac:dyDescent="0.25">
      <c r="A129">
        <v>108</v>
      </c>
      <c r="B129">
        <v>2</v>
      </c>
      <c r="C129" t="s">
        <v>99</v>
      </c>
      <c r="E129">
        <v>560</v>
      </c>
      <c r="G129">
        <v>7.1</v>
      </c>
      <c r="J129" t="s">
        <v>37</v>
      </c>
      <c r="K129">
        <v>8</v>
      </c>
      <c r="L129">
        <v>12</v>
      </c>
      <c r="M129">
        <v>414000</v>
      </c>
      <c r="P129">
        <v>100</v>
      </c>
      <c r="Q129" t="s">
        <v>35</v>
      </c>
      <c r="S129">
        <v>18</v>
      </c>
      <c r="T129">
        <v>32</v>
      </c>
      <c r="U129">
        <v>33.5</v>
      </c>
      <c r="V129">
        <v>0.6</v>
      </c>
      <c r="W129">
        <v>0.55000000000000004</v>
      </c>
      <c r="X129">
        <v>1.2</v>
      </c>
      <c r="Y129">
        <v>35.36176691</v>
      </c>
      <c r="Z129">
        <v>0.3</v>
      </c>
      <c r="BP129">
        <v>2867.3396870000001</v>
      </c>
      <c r="BQ129">
        <v>161.1675936</v>
      </c>
      <c r="BR129">
        <v>50</v>
      </c>
      <c r="BV129">
        <v>7.16836E-2</v>
      </c>
      <c r="BW129">
        <v>1.0000000000000001E-5</v>
      </c>
      <c r="BX129">
        <v>7.16836E-2</v>
      </c>
      <c r="BY129">
        <v>0.45</v>
      </c>
      <c r="BZ129">
        <v>0.01</v>
      </c>
      <c r="CA129">
        <v>0.45</v>
      </c>
      <c r="CB129">
        <v>0.3</v>
      </c>
      <c r="CC129">
        <v>0.3</v>
      </c>
      <c r="CD129">
        <v>0.3</v>
      </c>
    </row>
    <row r="130" spans="1:82" x14ac:dyDescent="0.25">
      <c r="A130">
        <v>109</v>
      </c>
      <c r="B130">
        <v>0</v>
      </c>
      <c r="C130" t="s">
        <v>99</v>
      </c>
      <c r="E130">
        <v>560</v>
      </c>
      <c r="G130">
        <v>7.1</v>
      </c>
      <c r="J130" t="s">
        <v>37</v>
      </c>
      <c r="K130">
        <v>8</v>
      </c>
      <c r="L130">
        <v>12</v>
      </c>
      <c r="M130">
        <v>414000</v>
      </c>
      <c r="P130">
        <v>200</v>
      </c>
      <c r="Q130" t="s">
        <v>35</v>
      </c>
      <c r="S130">
        <v>19</v>
      </c>
      <c r="T130">
        <v>38</v>
      </c>
      <c r="U130">
        <v>48</v>
      </c>
      <c r="V130">
        <v>0.7</v>
      </c>
      <c r="W130">
        <v>0.65</v>
      </c>
      <c r="X130">
        <v>1.8</v>
      </c>
      <c r="Y130">
        <v>59.11220737</v>
      </c>
      <c r="Z130">
        <v>0.6</v>
      </c>
      <c r="BP130">
        <v>4793.1648489999998</v>
      </c>
      <c r="BQ130">
        <v>110.58326479999999</v>
      </c>
      <c r="BR130">
        <v>100</v>
      </c>
      <c r="BV130">
        <v>1.0951253000000001</v>
      </c>
      <c r="BW130">
        <v>1.0000000000000001E-5</v>
      </c>
      <c r="BX130">
        <v>1.0951253000000001</v>
      </c>
      <c r="BY130">
        <v>0.45</v>
      </c>
      <c r="BZ130">
        <v>0.01</v>
      </c>
      <c r="CA130">
        <v>0.45</v>
      </c>
      <c r="CB130">
        <v>0.3</v>
      </c>
      <c r="CC130">
        <v>0.3</v>
      </c>
      <c r="CD130">
        <v>0.3</v>
      </c>
    </row>
    <row r="131" spans="1:82" x14ac:dyDescent="0.25">
      <c r="A131">
        <v>110</v>
      </c>
      <c r="B131">
        <v>0</v>
      </c>
      <c r="C131" t="s">
        <v>99</v>
      </c>
      <c r="E131">
        <v>560</v>
      </c>
      <c r="G131">
        <v>7.1</v>
      </c>
      <c r="J131" t="s">
        <v>64</v>
      </c>
      <c r="K131">
        <v>3</v>
      </c>
      <c r="L131">
        <v>9</v>
      </c>
      <c r="M131">
        <v>290000</v>
      </c>
      <c r="P131">
        <v>300</v>
      </c>
      <c r="Q131" t="s">
        <v>35</v>
      </c>
      <c r="S131">
        <v>20</v>
      </c>
      <c r="T131">
        <v>44</v>
      </c>
      <c r="U131">
        <v>62.2</v>
      </c>
      <c r="V131">
        <v>0.8</v>
      </c>
      <c r="W131">
        <v>0.75</v>
      </c>
      <c r="X131">
        <v>2.4</v>
      </c>
      <c r="Y131">
        <v>87.542364250000006</v>
      </c>
      <c r="Z131">
        <v>1</v>
      </c>
      <c r="BP131">
        <v>7098.4488959999999</v>
      </c>
      <c r="BQ131">
        <v>62.522269739999999</v>
      </c>
      <c r="BR131">
        <v>62.522269739999999</v>
      </c>
      <c r="BV131">
        <v>3.2873344000000002</v>
      </c>
      <c r="BW131">
        <v>1.0000000000000001E-5</v>
      </c>
      <c r="BX131">
        <v>3.2873344000000002</v>
      </c>
      <c r="BY131">
        <v>0.45</v>
      </c>
      <c r="BZ131">
        <v>0.01</v>
      </c>
      <c r="CA131">
        <v>0.45</v>
      </c>
      <c r="CB131">
        <v>0.3</v>
      </c>
      <c r="CC131">
        <v>0.3</v>
      </c>
      <c r="CD131">
        <v>0.3</v>
      </c>
    </row>
    <row r="132" spans="1:82" x14ac:dyDescent="0.25">
      <c r="A132">
        <v>111</v>
      </c>
      <c r="B132">
        <v>5</v>
      </c>
      <c r="C132" t="s">
        <v>99</v>
      </c>
      <c r="E132">
        <v>1257</v>
      </c>
      <c r="G132">
        <v>6.5</v>
      </c>
      <c r="J132" t="s">
        <v>65</v>
      </c>
      <c r="K132">
        <v>3</v>
      </c>
      <c r="L132">
        <v>8</v>
      </c>
      <c r="M132">
        <v>241000</v>
      </c>
      <c r="P132">
        <v>100</v>
      </c>
      <c r="Q132" t="s">
        <v>35</v>
      </c>
      <c r="S132">
        <v>18</v>
      </c>
      <c r="T132">
        <v>32</v>
      </c>
      <c r="U132">
        <v>33.5</v>
      </c>
      <c r="V132">
        <v>0.6</v>
      </c>
      <c r="W132">
        <v>0.55000000000000004</v>
      </c>
      <c r="X132">
        <v>1.2</v>
      </c>
      <c r="Y132">
        <v>79.374537509999996</v>
      </c>
      <c r="Z132">
        <v>0.3</v>
      </c>
      <c r="BP132">
        <v>3108.3812630000002</v>
      </c>
      <c r="BQ132">
        <v>97.444123289999993</v>
      </c>
      <c r="BR132">
        <v>50</v>
      </c>
      <c r="BV132">
        <v>7.8484399999999996E-2</v>
      </c>
      <c r="BW132">
        <v>1.0000000000000001E-5</v>
      </c>
      <c r="BX132">
        <v>7.8484399999999996E-2</v>
      </c>
      <c r="BY132">
        <v>0.45</v>
      </c>
      <c r="BZ132">
        <v>0.01</v>
      </c>
      <c r="CA132">
        <v>0.45</v>
      </c>
      <c r="CB132">
        <v>0.3</v>
      </c>
      <c r="CC132">
        <v>0.3</v>
      </c>
      <c r="CD132">
        <v>0.3</v>
      </c>
    </row>
    <row r="133" spans="1:82" x14ac:dyDescent="0.25">
      <c r="A133">
        <v>112</v>
      </c>
      <c r="B133">
        <v>1</v>
      </c>
      <c r="C133" t="s">
        <v>99</v>
      </c>
      <c r="E133">
        <v>1257</v>
      </c>
      <c r="G133">
        <v>6.5</v>
      </c>
      <c r="J133" t="s">
        <v>34</v>
      </c>
      <c r="K133">
        <v>8</v>
      </c>
      <c r="L133">
        <v>10</v>
      </c>
      <c r="M133">
        <v>359000</v>
      </c>
      <c r="P133">
        <v>200</v>
      </c>
      <c r="Q133" t="s">
        <v>35</v>
      </c>
      <c r="S133">
        <v>19</v>
      </c>
      <c r="T133">
        <v>38</v>
      </c>
      <c r="U133">
        <v>48</v>
      </c>
      <c r="V133">
        <v>0.7</v>
      </c>
      <c r="W133">
        <v>0.65</v>
      </c>
      <c r="X133">
        <v>1.8</v>
      </c>
      <c r="Y133">
        <v>132.68579399999999</v>
      </c>
      <c r="Z133">
        <v>0.6</v>
      </c>
      <c r="BP133">
        <v>5196.1000219999996</v>
      </c>
      <c r="BQ133">
        <v>91.491185990000005</v>
      </c>
      <c r="BR133">
        <v>91.491185990000005</v>
      </c>
      <c r="BV133">
        <v>3.1041672</v>
      </c>
      <c r="BW133">
        <v>1.0000000000000001E-5</v>
      </c>
      <c r="BX133">
        <v>3.1041672</v>
      </c>
      <c r="BY133">
        <v>0.45</v>
      </c>
      <c r="BZ133">
        <v>0.01</v>
      </c>
      <c r="CA133">
        <v>0.45</v>
      </c>
      <c r="CB133">
        <v>0.3</v>
      </c>
      <c r="CC133">
        <v>0.3</v>
      </c>
      <c r="CD133">
        <v>0.3</v>
      </c>
    </row>
    <row r="134" spans="1:82" x14ac:dyDescent="0.25">
      <c r="A134">
        <v>113</v>
      </c>
      <c r="B134">
        <v>0</v>
      </c>
      <c r="C134" t="s">
        <v>99</v>
      </c>
      <c r="E134">
        <v>1257</v>
      </c>
      <c r="G134">
        <v>6.5</v>
      </c>
      <c r="J134" t="s">
        <v>64</v>
      </c>
      <c r="K134">
        <v>3</v>
      </c>
      <c r="L134">
        <v>9</v>
      </c>
      <c r="M134">
        <v>290000</v>
      </c>
      <c r="P134">
        <v>300</v>
      </c>
      <c r="Q134" t="s">
        <v>35</v>
      </c>
      <c r="S134">
        <v>20</v>
      </c>
      <c r="T134">
        <v>44</v>
      </c>
      <c r="U134">
        <v>62.2</v>
      </c>
      <c r="V134">
        <v>0.8</v>
      </c>
      <c r="W134">
        <v>0.75</v>
      </c>
      <c r="X134">
        <v>2.4</v>
      </c>
      <c r="Y134">
        <v>196.50134259999999</v>
      </c>
      <c r="Z134">
        <v>1</v>
      </c>
      <c r="BP134">
        <v>7695.1766989999996</v>
      </c>
      <c r="BQ134">
        <v>57.868806139999997</v>
      </c>
      <c r="BR134">
        <v>57.868806139999997</v>
      </c>
      <c r="BV134">
        <v>3.3932481999999999</v>
      </c>
      <c r="BW134">
        <v>1.0000000000000001E-5</v>
      </c>
      <c r="BX134">
        <v>3.3932481999999999</v>
      </c>
      <c r="BY134">
        <v>0.45</v>
      </c>
      <c r="BZ134">
        <v>0.01</v>
      </c>
      <c r="CA134">
        <v>0.45</v>
      </c>
      <c r="CB134">
        <v>0.3</v>
      </c>
      <c r="CC134">
        <v>0.3</v>
      </c>
      <c r="CD134">
        <v>0.3</v>
      </c>
    </row>
    <row r="135" spans="1:82" x14ac:dyDescent="0.25">
      <c r="A135">
        <v>114</v>
      </c>
      <c r="B135">
        <v>2</v>
      </c>
      <c r="C135" t="s">
        <v>99</v>
      </c>
      <c r="E135">
        <v>1723</v>
      </c>
      <c r="G135">
        <v>9.5</v>
      </c>
      <c r="J135" t="s">
        <v>39</v>
      </c>
      <c r="K135">
        <v>14</v>
      </c>
      <c r="L135">
        <v>15</v>
      </c>
      <c r="M135">
        <v>483000</v>
      </c>
      <c r="P135">
        <v>100</v>
      </c>
      <c r="Q135" t="s">
        <v>35</v>
      </c>
      <c r="S135">
        <v>18</v>
      </c>
      <c r="T135">
        <v>32</v>
      </c>
      <c r="U135">
        <v>33.5</v>
      </c>
      <c r="V135">
        <v>0.6</v>
      </c>
      <c r="W135">
        <v>0.55000000000000004</v>
      </c>
      <c r="X135">
        <v>1.2</v>
      </c>
      <c r="Y135">
        <v>108.8005793</v>
      </c>
      <c r="Z135">
        <v>0.3</v>
      </c>
      <c r="BP135">
        <v>2127.5198500000001</v>
      </c>
      <c r="BQ135">
        <v>234.8272054</v>
      </c>
      <c r="BR135">
        <v>50</v>
      </c>
      <c r="BV135">
        <v>5.3187999999999999E-2</v>
      </c>
      <c r="BW135">
        <v>1.0000000000000001E-5</v>
      </c>
      <c r="BX135">
        <v>5.3187999999999999E-2</v>
      </c>
      <c r="BY135">
        <v>0.45</v>
      </c>
      <c r="BZ135">
        <v>0.01</v>
      </c>
      <c r="CA135">
        <v>0.45</v>
      </c>
      <c r="CB135">
        <v>0.3</v>
      </c>
      <c r="CC135">
        <v>0.3</v>
      </c>
      <c r="CD135">
        <v>0.3</v>
      </c>
    </row>
    <row r="136" spans="1:82" x14ac:dyDescent="0.25">
      <c r="A136">
        <v>115</v>
      </c>
      <c r="B136">
        <v>5</v>
      </c>
      <c r="C136" t="s">
        <v>99</v>
      </c>
      <c r="E136">
        <v>1723</v>
      </c>
      <c r="G136">
        <v>9.5</v>
      </c>
      <c r="J136" t="s">
        <v>64</v>
      </c>
      <c r="K136">
        <v>3</v>
      </c>
      <c r="L136">
        <v>9</v>
      </c>
      <c r="M136">
        <v>290000</v>
      </c>
      <c r="P136">
        <v>200</v>
      </c>
      <c r="Q136" t="s">
        <v>35</v>
      </c>
      <c r="S136">
        <v>19</v>
      </c>
      <c r="T136">
        <v>38</v>
      </c>
      <c r="U136">
        <v>48</v>
      </c>
      <c r="V136">
        <v>0.7</v>
      </c>
      <c r="W136">
        <v>0.65</v>
      </c>
      <c r="X136">
        <v>1.8</v>
      </c>
      <c r="Y136">
        <v>181.87559519999999</v>
      </c>
      <c r="Z136">
        <v>0.6</v>
      </c>
      <c r="BP136">
        <v>3556.4510930000001</v>
      </c>
      <c r="BQ136">
        <v>107.8452269</v>
      </c>
      <c r="BR136">
        <v>100</v>
      </c>
      <c r="BV136">
        <v>0.51253950000000004</v>
      </c>
      <c r="BW136">
        <v>1.0000000000000001E-5</v>
      </c>
      <c r="BX136">
        <v>0.51253950000000004</v>
      </c>
      <c r="BY136">
        <v>0.45</v>
      </c>
      <c r="BZ136">
        <v>0.01</v>
      </c>
      <c r="CA136">
        <v>0.45</v>
      </c>
      <c r="CB136">
        <v>0.3</v>
      </c>
      <c r="CC136">
        <v>0.3</v>
      </c>
      <c r="CD136">
        <v>0.3</v>
      </c>
    </row>
    <row r="137" spans="1:82" x14ac:dyDescent="0.25">
      <c r="A137">
        <v>116</v>
      </c>
      <c r="B137">
        <v>5</v>
      </c>
      <c r="C137" t="s">
        <v>99</v>
      </c>
      <c r="E137">
        <v>1723</v>
      </c>
      <c r="G137">
        <v>9.5</v>
      </c>
      <c r="J137" t="s">
        <v>64</v>
      </c>
      <c r="K137">
        <v>3</v>
      </c>
      <c r="L137">
        <v>9</v>
      </c>
      <c r="M137">
        <v>290000</v>
      </c>
      <c r="P137">
        <v>300</v>
      </c>
      <c r="Q137" t="s">
        <v>35</v>
      </c>
      <c r="S137">
        <v>20</v>
      </c>
      <c r="T137">
        <v>44</v>
      </c>
      <c r="U137">
        <v>62.2</v>
      </c>
      <c r="V137">
        <v>0.8</v>
      </c>
      <c r="W137">
        <v>0.75</v>
      </c>
      <c r="X137">
        <v>2.4</v>
      </c>
      <c r="Y137">
        <v>269.34909570000002</v>
      </c>
      <c r="Z137">
        <v>1</v>
      </c>
      <c r="BP137">
        <v>5266.9347129999996</v>
      </c>
      <c r="BQ137">
        <v>80.689737109999996</v>
      </c>
      <c r="BR137">
        <v>80.689737109999996</v>
      </c>
      <c r="BV137">
        <v>2.1998313</v>
      </c>
      <c r="BW137">
        <v>1.0000000000000001E-5</v>
      </c>
      <c r="BX137">
        <v>2.1998313</v>
      </c>
      <c r="BY137">
        <v>0.45</v>
      </c>
      <c r="BZ137">
        <v>0.01</v>
      </c>
      <c r="CA137">
        <v>0.45</v>
      </c>
      <c r="CB137">
        <v>0.3</v>
      </c>
      <c r="CC137">
        <v>0.3</v>
      </c>
      <c r="CD137">
        <v>0.3</v>
      </c>
    </row>
    <row r="138" spans="1:82" x14ac:dyDescent="0.25">
      <c r="A138">
        <v>117</v>
      </c>
      <c r="B138">
        <v>1</v>
      </c>
      <c r="C138" t="s">
        <v>99</v>
      </c>
      <c r="E138">
        <v>168</v>
      </c>
      <c r="G138">
        <v>4.8</v>
      </c>
      <c r="J138" t="s">
        <v>34</v>
      </c>
      <c r="K138">
        <v>8</v>
      </c>
      <c r="L138">
        <v>10</v>
      </c>
      <c r="M138">
        <v>359000</v>
      </c>
      <c r="P138">
        <v>100</v>
      </c>
      <c r="Q138" t="s">
        <v>35</v>
      </c>
      <c r="S138">
        <v>18</v>
      </c>
      <c r="T138">
        <v>32</v>
      </c>
      <c r="U138">
        <v>33.5</v>
      </c>
      <c r="V138">
        <v>0.6</v>
      </c>
      <c r="W138">
        <v>0.55000000000000004</v>
      </c>
      <c r="X138">
        <v>1.2</v>
      </c>
      <c r="Y138">
        <v>10.60853007</v>
      </c>
      <c r="Z138">
        <v>0.3</v>
      </c>
      <c r="BP138">
        <v>4310.6617649999998</v>
      </c>
      <c r="BQ138">
        <v>102.24046</v>
      </c>
      <c r="BR138">
        <v>50</v>
      </c>
      <c r="BV138">
        <v>0.1082434</v>
      </c>
      <c r="BW138">
        <v>1.0000000000000001E-5</v>
      </c>
      <c r="BX138">
        <v>0.1082434</v>
      </c>
      <c r="BY138">
        <v>0.45</v>
      </c>
      <c r="BZ138">
        <v>0.01</v>
      </c>
      <c r="CA138">
        <v>0.45</v>
      </c>
      <c r="CB138">
        <v>0.3</v>
      </c>
      <c r="CC138">
        <v>0.3</v>
      </c>
      <c r="CD138">
        <v>0.3</v>
      </c>
    </row>
    <row r="139" spans="1:82" x14ac:dyDescent="0.25">
      <c r="A139">
        <v>118</v>
      </c>
      <c r="B139">
        <v>3</v>
      </c>
      <c r="C139" t="s">
        <v>99</v>
      </c>
      <c r="E139">
        <v>168</v>
      </c>
      <c r="G139">
        <v>4.8</v>
      </c>
      <c r="J139" t="s">
        <v>64</v>
      </c>
      <c r="K139">
        <v>3</v>
      </c>
      <c r="L139">
        <v>9</v>
      </c>
      <c r="M139">
        <v>290000</v>
      </c>
      <c r="P139">
        <v>200</v>
      </c>
      <c r="Q139" t="s">
        <v>35</v>
      </c>
      <c r="S139">
        <v>19</v>
      </c>
      <c r="T139">
        <v>38</v>
      </c>
      <c r="U139">
        <v>48</v>
      </c>
      <c r="V139">
        <v>0.7</v>
      </c>
      <c r="W139">
        <v>0.65</v>
      </c>
      <c r="X139">
        <v>1.8</v>
      </c>
      <c r="Y139">
        <v>17.733662209999999</v>
      </c>
      <c r="Z139">
        <v>0.6</v>
      </c>
      <c r="BP139">
        <v>7205.882353</v>
      </c>
      <c r="BQ139">
        <v>59.303779749999997</v>
      </c>
      <c r="BR139">
        <v>59.303779749999997</v>
      </c>
      <c r="BV139">
        <v>2.3135973999999999</v>
      </c>
      <c r="BW139">
        <v>1.0000000000000001E-5</v>
      </c>
      <c r="BX139">
        <v>2.3135973999999999</v>
      </c>
      <c r="BY139">
        <v>0.45</v>
      </c>
      <c r="BZ139">
        <v>0.01</v>
      </c>
      <c r="CA139">
        <v>0.45</v>
      </c>
      <c r="CB139">
        <v>0.3</v>
      </c>
      <c r="CC139">
        <v>0.3</v>
      </c>
      <c r="CD139">
        <v>0.3</v>
      </c>
    </row>
    <row r="140" spans="1:82" x14ac:dyDescent="0.25">
      <c r="A140">
        <v>119</v>
      </c>
      <c r="B140">
        <v>2</v>
      </c>
      <c r="C140" t="s">
        <v>99</v>
      </c>
      <c r="E140">
        <v>168</v>
      </c>
      <c r="G140">
        <v>4.8</v>
      </c>
      <c r="J140" t="s">
        <v>41</v>
      </c>
      <c r="K140">
        <v>15</v>
      </c>
      <c r="L140">
        <v>20</v>
      </c>
      <c r="M140">
        <v>552000</v>
      </c>
      <c r="P140">
        <v>300</v>
      </c>
      <c r="Q140" t="s">
        <v>35</v>
      </c>
      <c r="S140">
        <v>20</v>
      </c>
      <c r="T140">
        <v>44</v>
      </c>
      <c r="U140">
        <v>62.2</v>
      </c>
      <c r="V140">
        <v>0.8</v>
      </c>
      <c r="W140">
        <v>0.75</v>
      </c>
      <c r="X140">
        <v>2.4</v>
      </c>
      <c r="Y140">
        <v>26.262709269999998</v>
      </c>
      <c r="Z140">
        <v>1</v>
      </c>
      <c r="BP140">
        <v>10671.56863</v>
      </c>
      <c r="BQ140">
        <v>73.637422060000006</v>
      </c>
      <c r="BR140">
        <v>73.637422060000006</v>
      </c>
      <c r="BV140">
        <v>100</v>
      </c>
      <c r="BW140">
        <v>1.0000000000000001E-5</v>
      </c>
      <c r="BX140">
        <v>100</v>
      </c>
      <c r="BY140">
        <v>0.45</v>
      </c>
      <c r="BZ140">
        <v>0.01</v>
      </c>
      <c r="CA140">
        <v>0.45</v>
      </c>
      <c r="CB140">
        <v>0.3</v>
      </c>
      <c r="CC140">
        <v>0.3</v>
      </c>
      <c r="CD140">
        <v>0.3</v>
      </c>
    </row>
    <row r="141" spans="1:82" x14ac:dyDescent="0.25">
      <c r="A141">
        <v>120</v>
      </c>
      <c r="B141">
        <v>1</v>
      </c>
      <c r="C141" t="s">
        <v>99</v>
      </c>
      <c r="E141">
        <v>762</v>
      </c>
      <c r="G141">
        <v>9.5</v>
      </c>
      <c r="J141" t="s">
        <v>41</v>
      </c>
      <c r="K141">
        <v>15</v>
      </c>
      <c r="L141">
        <v>20</v>
      </c>
      <c r="M141">
        <v>552000</v>
      </c>
      <c r="P141">
        <v>100</v>
      </c>
      <c r="Q141" t="s">
        <v>35</v>
      </c>
      <c r="S141">
        <v>18</v>
      </c>
      <c r="T141">
        <v>32</v>
      </c>
      <c r="U141">
        <v>33.5</v>
      </c>
      <c r="V141">
        <v>0.6</v>
      </c>
      <c r="W141">
        <v>0.55000000000000004</v>
      </c>
      <c r="X141">
        <v>1.2</v>
      </c>
      <c r="Y141">
        <v>48.117261399999997</v>
      </c>
      <c r="Z141">
        <v>0.3</v>
      </c>
      <c r="BP141">
        <v>2142.5004370000001</v>
      </c>
      <c r="BQ141">
        <v>260.84833689999999</v>
      </c>
      <c r="BR141">
        <v>50</v>
      </c>
      <c r="BV141">
        <v>5.3562499999999999E-2</v>
      </c>
      <c r="BW141">
        <v>1.0000000000000001E-5</v>
      </c>
      <c r="BX141">
        <v>5.3562499999999999E-2</v>
      </c>
      <c r="BY141">
        <v>0.45</v>
      </c>
      <c r="BZ141">
        <v>0.01</v>
      </c>
      <c r="CA141">
        <v>0.45</v>
      </c>
      <c r="CB141">
        <v>0.3</v>
      </c>
      <c r="CC141">
        <v>0.3</v>
      </c>
      <c r="CD141">
        <v>0.3</v>
      </c>
    </row>
    <row r="142" spans="1:82" x14ac:dyDescent="0.25">
      <c r="A142">
        <v>121</v>
      </c>
      <c r="B142">
        <v>0</v>
      </c>
      <c r="C142" t="s">
        <v>99</v>
      </c>
      <c r="E142">
        <v>762</v>
      </c>
      <c r="G142">
        <v>9.5</v>
      </c>
      <c r="J142" t="s">
        <v>34</v>
      </c>
      <c r="K142">
        <v>8</v>
      </c>
      <c r="L142">
        <v>10</v>
      </c>
      <c r="M142">
        <v>359000</v>
      </c>
      <c r="P142">
        <v>200</v>
      </c>
      <c r="Q142" t="s">
        <v>35</v>
      </c>
      <c r="S142">
        <v>19</v>
      </c>
      <c r="T142">
        <v>38</v>
      </c>
      <c r="U142">
        <v>48</v>
      </c>
      <c r="V142">
        <v>0.7</v>
      </c>
      <c r="W142">
        <v>0.65</v>
      </c>
      <c r="X142">
        <v>1.8</v>
      </c>
      <c r="Y142">
        <v>80.434825029999999</v>
      </c>
      <c r="Z142">
        <v>0.6</v>
      </c>
      <c r="BP142">
        <v>3581.4932680000002</v>
      </c>
      <c r="BQ142">
        <v>127.5713159</v>
      </c>
      <c r="BR142">
        <v>100</v>
      </c>
      <c r="BV142">
        <v>0.30625750000000002</v>
      </c>
      <c r="BW142">
        <v>1.0000000000000001E-5</v>
      </c>
      <c r="BX142">
        <v>0.30625750000000002</v>
      </c>
      <c r="BY142">
        <v>0.45</v>
      </c>
      <c r="BZ142">
        <v>0.01</v>
      </c>
      <c r="CA142">
        <v>0.45</v>
      </c>
      <c r="CB142">
        <v>0.3</v>
      </c>
      <c r="CC142">
        <v>0.3</v>
      </c>
      <c r="CD142">
        <v>0.3</v>
      </c>
    </row>
    <row r="143" spans="1:82" x14ac:dyDescent="0.25">
      <c r="A143">
        <v>122</v>
      </c>
      <c r="B143">
        <v>3</v>
      </c>
      <c r="C143" t="s">
        <v>99</v>
      </c>
      <c r="E143">
        <v>762</v>
      </c>
      <c r="G143">
        <v>9.5</v>
      </c>
      <c r="J143" t="s">
        <v>41</v>
      </c>
      <c r="K143">
        <v>15</v>
      </c>
      <c r="L143">
        <v>20</v>
      </c>
      <c r="M143">
        <v>552000</v>
      </c>
      <c r="P143">
        <v>300</v>
      </c>
      <c r="Q143" t="s">
        <v>35</v>
      </c>
      <c r="S143">
        <v>20</v>
      </c>
      <c r="T143">
        <v>44</v>
      </c>
      <c r="U143">
        <v>62.2</v>
      </c>
      <c r="V143">
        <v>0.8</v>
      </c>
      <c r="W143">
        <v>0.75</v>
      </c>
      <c r="X143">
        <v>2.4</v>
      </c>
      <c r="Y143">
        <v>119.1201456</v>
      </c>
      <c r="Z143">
        <v>1</v>
      </c>
      <c r="BP143">
        <v>5304.0209830000003</v>
      </c>
      <c r="BQ143">
        <v>133.9112705</v>
      </c>
      <c r="BR143">
        <v>133.9112705</v>
      </c>
      <c r="BV143">
        <v>39.613304399999997</v>
      </c>
      <c r="BW143">
        <v>1.0000000000000001E-5</v>
      </c>
      <c r="BX143">
        <v>39.613304399999997</v>
      </c>
      <c r="BY143">
        <v>0.45</v>
      </c>
      <c r="BZ143">
        <v>0.01</v>
      </c>
      <c r="CA143">
        <v>0.45</v>
      </c>
      <c r="CB143">
        <v>0.3</v>
      </c>
      <c r="CC143">
        <v>0.3</v>
      </c>
      <c r="CD143">
        <v>0.3</v>
      </c>
    </row>
    <row r="144" spans="1:82" x14ac:dyDescent="0.25">
      <c r="A144">
        <v>123</v>
      </c>
      <c r="B144">
        <v>1</v>
      </c>
      <c r="C144" t="s">
        <v>99</v>
      </c>
      <c r="E144">
        <v>610</v>
      </c>
      <c r="G144">
        <v>6.4</v>
      </c>
      <c r="J144" t="s">
        <v>34</v>
      </c>
      <c r="K144">
        <v>8</v>
      </c>
      <c r="L144">
        <v>10</v>
      </c>
      <c r="M144">
        <v>359000</v>
      </c>
      <c r="P144">
        <v>100</v>
      </c>
      <c r="Q144" t="s">
        <v>35</v>
      </c>
      <c r="S144">
        <v>18</v>
      </c>
      <c r="T144">
        <v>32</v>
      </c>
      <c r="U144">
        <v>33.5</v>
      </c>
      <c r="V144">
        <v>0.6</v>
      </c>
      <c r="W144">
        <v>0.55000000000000004</v>
      </c>
      <c r="X144">
        <v>1.2</v>
      </c>
      <c r="Y144">
        <v>38.519067530000001</v>
      </c>
      <c r="Z144">
        <v>0.3</v>
      </c>
      <c r="BP144">
        <v>3173.9251989999998</v>
      </c>
      <c r="BQ144">
        <v>131.54341969999999</v>
      </c>
      <c r="BR144">
        <v>50</v>
      </c>
      <c r="BV144">
        <v>7.9364599999999993E-2</v>
      </c>
      <c r="BW144">
        <v>1.0000000000000001E-5</v>
      </c>
      <c r="BX144">
        <v>7.9364599999999993E-2</v>
      </c>
      <c r="BY144">
        <v>0.45</v>
      </c>
      <c r="BZ144">
        <v>0.01</v>
      </c>
      <c r="CA144">
        <v>0.45</v>
      </c>
      <c r="CB144">
        <v>0.3</v>
      </c>
      <c r="CC144">
        <v>0.3</v>
      </c>
      <c r="CD144">
        <v>0.3</v>
      </c>
    </row>
    <row r="145" spans="1:82" x14ac:dyDescent="0.25">
      <c r="A145">
        <v>124</v>
      </c>
      <c r="B145">
        <v>2</v>
      </c>
      <c r="C145" t="s">
        <v>99</v>
      </c>
      <c r="E145">
        <v>610</v>
      </c>
      <c r="G145">
        <v>6.4</v>
      </c>
      <c r="J145" t="s">
        <v>41</v>
      </c>
      <c r="K145">
        <v>15</v>
      </c>
      <c r="L145">
        <v>20</v>
      </c>
      <c r="M145">
        <v>552000</v>
      </c>
      <c r="P145">
        <v>200</v>
      </c>
      <c r="Q145" t="s">
        <v>35</v>
      </c>
      <c r="S145">
        <v>19</v>
      </c>
      <c r="T145">
        <v>38</v>
      </c>
      <c r="U145">
        <v>48</v>
      </c>
      <c r="V145">
        <v>0.7</v>
      </c>
      <c r="W145">
        <v>0.65</v>
      </c>
      <c r="X145">
        <v>1.8</v>
      </c>
      <c r="Y145">
        <v>64.39008303</v>
      </c>
      <c r="Z145">
        <v>0.6</v>
      </c>
      <c r="BP145">
        <v>5305.6660039999997</v>
      </c>
      <c r="BQ145">
        <v>126.62735549999999</v>
      </c>
      <c r="BR145">
        <v>100</v>
      </c>
      <c r="BV145">
        <v>0.35110530000000001</v>
      </c>
      <c r="BW145">
        <v>1.0000000000000001E-5</v>
      </c>
      <c r="BX145">
        <v>0.35110530000000001</v>
      </c>
      <c r="BY145">
        <v>0.45</v>
      </c>
      <c r="BZ145">
        <v>0.01</v>
      </c>
      <c r="CA145">
        <v>0.45</v>
      </c>
      <c r="CB145">
        <v>0.3</v>
      </c>
      <c r="CC145">
        <v>0.3</v>
      </c>
      <c r="CD145">
        <v>0.3</v>
      </c>
    </row>
    <row r="146" spans="1:82" x14ac:dyDescent="0.25">
      <c r="A146">
        <v>125</v>
      </c>
      <c r="B146">
        <v>5</v>
      </c>
      <c r="C146" t="s">
        <v>99</v>
      </c>
      <c r="E146">
        <v>610</v>
      </c>
      <c r="G146">
        <v>6.4</v>
      </c>
      <c r="J146" t="s">
        <v>64</v>
      </c>
      <c r="K146">
        <v>3</v>
      </c>
      <c r="L146">
        <v>9</v>
      </c>
      <c r="M146">
        <v>290000</v>
      </c>
      <c r="P146">
        <v>300</v>
      </c>
      <c r="Q146" t="s">
        <v>35</v>
      </c>
      <c r="S146">
        <v>20</v>
      </c>
      <c r="T146">
        <v>44</v>
      </c>
      <c r="U146">
        <v>62.2</v>
      </c>
      <c r="V146">
        <v>0.8</v>
      </c>
      <c r="W146">
        <v>0.75</v>
      </c>
      <c r="X146">
        <v>2.4</v>
      </c>
      <c r="Y146">
        <v>95.358646769999993</v>
      </c>
      <c r="Z146">
        <v>1</v>
      </c>
      <c r="BP146">
        <v>7857.438701</v>
      </c>
      <c r="BQ146">
        <v>57.088164460000002</v>
      </c>
      <c r="BR146">
        <v>57.088164460000002</v>
      </c>
      <c r="BV146">
        <v>3.6344853000000001</v>
      </c>
      <c r="BW146">
        <v>1.0000000000000001E-5</v>
      </c>
      <c r="BX146">
        <v>3.6344853000000001</v>
      </c>
      <c r="BY146">
        <v>0.45</v>
      </c>
      <c r="BZ146">
        <v>0.01</v>
      </c>
      <c r="CA146">
        <v>0.45</v>
      </c>
      <c r="CB146">
        <v>0.3</v>
      </c>
      <c r="CC146">
        <v>0.3</v>
      </c>
      <c r="CD146">
        <v>0.3</v>
      </c>
    </row>
    <row r="147" spans="1:82" x14ac:dyDescent="0.25">
      <c r="A147">
        <v>126</v>
      </c>
      <c r="B147">
        <v>4</v>
      </c>
      <c r="C147" t="s">
        <v>99</v>
      </c>
      <c r="E147">
        <v>406</v>
      </c>
      <c r="G147">
        <v>9.5</v>
      </c>
      <c r="J147" t="s">
        <v>34</v>
      </c>
      <c r="K147">
        <v>8</v>
      </c>
      <c r="L147">
        <v>10</v>
      </c>
      <c r="M147">
        <v>359000</v>
      </c>
      <c r="P147">
        <v>100</v>
      </c>
      <c r="Q147" t="s">
        <v>35</v>
      </c>
      <c r="S147">
        <v>18</v>
      </c>
      <c r="T147">
        <v>32</v>
      </c>
      <c r="U147">
        <v>33.5</v>
      </c>
      <c r="V147">
        <v>0.6</v>
      </c>
      <c r="W147">
        <v>0.55000000000000004</v>
      </c>
      <c r="X147">
        <v>1.2</v>
      </c>
      <c r="Y147">
        <v>25.637281009999999</v>
      </c>
      <c r="Z147">
        <v>0.3</v>
      </c>
      <c r="BP147">
        <v>2166.4830419999998</v>
      </c>
      <c r="BQ147">
        <v>185.9265235</v>
      </c>
      <c r="BR147">
        <v>50</v>
      </c>
      <c r="BV147">
        <v>5.4162299999999997E-2</v>
      </c>
      <c r="BW147">
        <v>1.0000000000000001E-5</v>
      </c>
      <c r="BX147">
        <v>5.4162299999999997E-2</v>
      </c>
      <c r="BY147">
        <v>0.45</v>
      </c>
      <c r="BZ147">
        <v>0.01</v>
      </c>
      <c r="CA147">
        <v>0.45</v>
      </c>
      <c r="CB147">
        <v>0.3</v>
      </c>
      <c r="CC147">
        <v>0.3</v>
      </c>
      <c r="CD147">
        <v>0.3</v>
      </c>
    </row>
    <row r="148" spans="1:82" x14ac:dyDescent="0.25">
      <c r="A148">
        <v>127</v>
      </c>
      <c r="B148">
        <v>4</v>
      </c>
      <c r="C148" t="s">
        <v>99</v>
      </c>
      <c r="E148">
        <v>406</v>
      </c>
      <c r="G148">
        <v>9.5</v>
      </c>
      <c r="J148" t="s">
        <v>65</v>
      </c>
      <c r="K148">
        <v>3</v>
      </c>
      <c r="L148">
        <v>8</v>
      </c>
      <c r="M148">
        <v>241000</v>
      </c>
      <c r="P148">
        <v>200</v>
      </c>
      <c r="Q148" t="s">
        <v>35</v>
      </c>
      <c r="S148">
        <v>19</v>
      </c>
      <c r="T148">
        <v>38</v>
      </c>
      <c r="U148">
        <v>48</v>
      </c>
      <c r="V148">
        <v>0.7</v>
      </c>
      <c r="W148">
        <v>0.65</v>
      </c>
      <c r="X148">
        <v>1.8</v>
      </c>
      <c r="Y148">
        <v>42.856350339999999</v>
      </c>
      <c r="Z148">
        <v>0.6</v>
      </c>
      <c r="BP148">
        <v>3621.5835929999998</v>
      </c>
      <c r="BQ148">
        <v>93.226872830000005</v>
      </c>
      <c r="BR148">
        <v>93.226872830000005</v>
      </c>
      <c r="BV148">
        <v>1.003781</v>
      </c>
      <c r="BW148">
        <v>1.0000000000000001E-5</v>
      </c>
      <c r="BX148">
        <v>1.003781</v>
      </c>
      <c r="BY148">
        <v>0.45</v>
      </c>
      <c r="BZ148">
        <v>0.01</v>
      </c>
      <c r="CA148">
        <v>0.45</v>
      </c>
      <c r="CB148">
        <v>0.3</v>
      </c>
      <c r="CC148">
        <v>0.3</v>
      </c>
      <c r="CD148">
        <v>0.3</v>
      </c>
    </row>
    <row r="149" spans="1:82" x14ac:dyDescent="0.25">
      <c r="A149">
        <v>128</v>
      </c>
      <c r="B149">
        <v>2</v>
      </c>
      <c r="C149" t="s">
        <v>99</v>
      </c>
      <c r="E149">
        <v>406</v>
      </c>
      <c r="G149">
        <v>9.5</v>
      </c>
      <c r="J149" t="s">
        <v>65</v>
      </c>
      <c r="K149">
        <v>3</v>
      </c>
      <c r="L149">
        <v>8</v>
      </c>
      <c r="M149">
        <v>241000</v>
      </c>
      <c r="P149">
        <v>300</v>
      </c>
      <c r="Q149" t="s">
        <v>35</v>
      </c>
      <c r="S149">
        <v>20</v>
      </c>
      <c r="T149">
        <v>44</v>
      </c>
      <c r="U149">
        <v>62.2</v>
      </c>
      <c r="V149">
        <v>0.8</v>
      </c>
      <c r="W149">
        <v>0.75</v>
      </c>
      <c r="X149">
        <v>2.4</v>
      </c>
      <c r="Y149">
        <v>63.468214080000003</v>
      </c>
      <c r="Z149">
        <v>1</v>
      </c>
      <c r="BP149">
        <v>5363.3928450000003</v>
      </c>
      <c r="BQ149">
        <v>69.752292960000005</v>
      </c>
      <c r="BR149">
        <v>69.752292960000005</v>
      </c>
      <c r="BV149">
        <v>2.2893572999999998</v>
      </c>
      <c r="BW149">
        <v>1.0000000000000001E-5</v>
      </c>
      <c r="BX149">
        <v>2.2893572999999998</v>
      </c>
      <c r="BY149">
        <v>0.45</v>
      </c>
      <c r="BZ149">
        <v>0.01</v>
      </c>
      <c r="CA149">
        <v>0.45</v>
      </c>
      <c r="CB149">
        <v>0.3</v>
      </c>
      <c r="CC149">
        <v>0.3</v>
      </c>
      <c r="CD149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backup</vt:lpstr>
      <vt:lpstr>cleaned</vt:lpstr>
      <vt:lpstr>to_csv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2022-08-24T04:14:30Z</dcterms:created>
  <dcterms:modified xsi:type="dcterms:W3CDTF">2022-09-06T17:28:44Z</dcterms:modified>
</cp:coreProperties>
</file>