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pipe_strain_landslide/"/>
    </mc:Choice>
  </mc:AlternateContent>
  <xr:revisionPtr revIDLastSave="216" documentId="13_ncr:40009_{21AD2E0B-D792-4D17-BCD5-430697596433}" xr6:coauthVersionLast="47" xr6:coauthVersionMax="47" xr10:uidLastSave="{2BA500CC-FAAA-4FDC-9577-8CD265429FC7}"/>
  <bookViews>
    <workbookView xWindow="-120" yWindow="-120" windowWidth="38640" windowHeight="21120" activeTab="2" xr2:uid="{00000000-000D-0000-FFFF-FFFF00000000}"/>
  </bookViews>
  <sheets>
    <sheet name="backup" sheetId="1" r:id="rId1"/>
    <sheet name="cleaned" sheetId="3" r:id="rId2"/>
    <sheet name="to_csv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85" i="3" l="1"/>
  <c r="CU84" i="3"/>
  <c r="CU83" i="3"/>
  <c r="CU82" i="3"/>
  <c r="CU81" i="3"/>
  <c r="CU80" i="3"/>
  <c r="CU79" i="3"/>
  <c r="CU78" i="3"/>
  <c r="CU77" i="3"/>
  <c r="CU76" i="3"/>
  <c r="CU75" i="3"/>
  <c r="CU74" i="3"/>
  <c r="CU73" i="3"/>
  <c r="CU72" i="3"/>
  <c r="CV72" i="3" s="1"/>
  <c r="CU71" i="3"/>
  <c r="CV71" i="3" s="1"/>
  <c r="CU70" i="3"/>
  <c r="CV70" i="3" s="1"/>
  <c r="CU69" i="3"/>
  <c r="CU68" i="3"/>
  <c r="CU67" i="3"/>
  <c r="CV80" i="3"/>
  <c r="CV81" i="3"/>
  <c r="CV82" i="3"/>
  <c r="CU66" i="3"/>
  <c r="CU63" i="3"/>
  <c r="CU62" i="3"/>
  <c r="CU61" i="3"/>
  <c r="CU60" i="3"/>
  <c r="CU59" i="3"/>
  <c r="CU58" i="3"/>
  <c r="CU57" i="3"/>
  <c r="CU56" i="3"/>
  <c r="CU55" i="3"/>
  <c r="CU54" i="3"/>
  <c r="CU53" i="3"/>
  <c r="CU52" i="3"/>
  <c r="CU51" i="3"/>
  <c r="CU50" i="3"/>
  <c r="CU49" i="3"/>
  <c r="CU48" i="3"/>
  <c r="CW48" i="3" s="1"/>
  <c r="CU47" i="3"/>
  <c r="CU46" i="3"/>
  <c r="CU45" i="3"/>
  <c r="CU44" i="3"/>
  <c r="CU43" i="3"/>
  <c r="CU42" i="3"/>
  <c r="CU41" i="3"/>
  <c r="CU40" i="3"/>
  <c r="CU39" i="3"/>
  <c r="CU38" i="3"/>
  <c r="CU37" i="3"/>
  <c r="CU36" i="3"/>
  <c r="CU35" i="3"/>
  <c r="CU34" i="3"/>
  <c r="CW34" i="3" s="1"/>
  <c r="CU33" i="3"/>
  <c r="CW33" i="3" s="1"/>
  <c r="CU32" i="3"/>
  <c r="CW32" i="3" s="1"/>
  <c r="CU31" i="3"/>
  <c r="CU30" i="3"/>
  <c r="CU29" i="3"/>
  <c r="CU28" i="3"/>
  <c r="CU27" i="3"/>
  <c r="CU26" i="3"/>
  <c r="CU25" i="3"/>
  <c r="CW40" i="3"/>
  <c r="CW44" i="3"/>
  <c r="CW54" i="3"/>
  <c r="CW55" i="3"/>
  <c r="CW56" i="3"/>
  <c r="CW50" i="3"/>
  <c r="CW49" i="3"/>
  <c r="CW38" i="3"/>
  <c r="CW46" i="3"/>
  <c r="CW27" i="3"/>
  <c r="CW39" i="3"/>
  <c r="CW29" i="3"/>
  <c r="CW28" i="3"/>
  <c r="CU24" i="3"/>
  <c r="CW107" i="3"/>
  <c r="CV107" i="3"/>
  <c r="CW106" i="3"/>
  <c r="CV106" i="3"/>
  <c r="CW105" i="3"/>
  <c r="CV105" i="3"/>
  <c r="CW104" i="3"/>
  <c r="CV104" i="3"/>
  <c r="CW103" i="3"/>
  <c r="CV103" i="3"/>
  <c r="CW102" i="3"/>
  <c r="CV102" i="3"/>
  <c r="CW101" i="3"/>
  <c r="CV101" i="3"/>
  <c r="CW100" i="3"/>
  <c r="CV100" i="3"/>
  <c r="CW99" i="3"/>
  <c r="CV99" i="3"/>
  <c r="CW98" i="3"/>
  <c r="CV98" i="3"/>
  <c r="CW97" i="3"/>
  <c r="CV97" i="3"/>
  <c r="CW96" i="3"/>
  <c r="CV96" i="3"/>
  <c r="CW95" i="3"/>
  <c r="CV95" i="3"/>
  <c r="CW94" i="3"/>
  <c r="CV94" i="3"/>
  <c r="CW93" i="3"/>
  <c r="CV93" i="3"/>
  <c r="CW92" i="3"/>
  <c r="CV92" i="3"/>
  <c r="CW91" i="3"/>
  <c r="CV91" i="3"/>
  <c r="CW90" i="3"/>
  <c r="CV90" i="3"/>
  <c r="CW89" i="3"/>
  <c r="CV89" i="3"/>
  <c r="CW88" i="3"/>
  <c r="CV88" i="3"/>
  <c r="CV67" i="3"/>
  <c r="CW67" i="3"/>
  <c r="CV68" i="3"/>
  <c r="CW68" i="3"/>
  <c r="CV69" i="3"/>
  <c r="CW69" i="3"/>
  <c r="CW70" i="3"/>
  <c r="CW71" i="3"/>
  <c r="CW72" i="3"/>
  <c r="CV73" i="3"/>
  <c r="CW73" i="3"/>
  <c r="CV74" i="3"/>
  <c r="CW74" i="3"/>
  <c r="CV75" i="3"/>
  <c r="CW75" i="3"/>
  <c r="CV76" i="3"/>
  <c r="CW76" i="3"/>
  <c r="CV77" i="3"/>
  <c r="CW77" i="3"/>
  <c r="CV78" i="3"/>
  <c r="CW78" i="3"/>
  <c r="CV79" i="3"/>
  <c r="CW79" i="3"/>
  <c r="CW80" i="3"/>
  <c r="CW81" i="3"/>
  <c r="CW82" i="3"/>
  <c r="CV83" i="3"/>
  <c r="CW83" i="3"/>
  <c r="CV84" i="3"/>
  <c r="CW84" i="3"/>
  <c r="CV85" i="3"/>
  <c r="CW85" i="3"/>
  <c r="CW66" i="3"/>
  <c r="CV66" i="3"/>
  <c r="CV26" i="3"/>
  <c r="CW26" i="3"/>
  <c r="CV27" i="3"/>
  <c r="CV28" i="3"/>
  <c r="CV29" i="3"/>
  <c r="CV30" i="3"/>
  <c r="CW30" i="3"/>
  <c r="CV31" i="3"/>
  <c r="CW31" i="3"/>
  <c r="CV32" i="3"/>
  <c r="CV33" i="3"/>
  <c r="CV34" i="3"/>
  <c r="CV35" i="3"/>
  <c r="CW35" i="3"/>
  <c r="CV36" i="3"/>
  <c r="CW36" i="3"/>
  <c r="CV37" i="3"/>
  <c r="CW37" i="3"/>
  <c r="CV38" i="3"/>
  <c r="CV39" i="3"/>
  <c r="CV40" i="3"/>
  <c r="CV41" i="3"/>
  <c r="CW41" i="3"/>
  <c r="CV42" i="3"/>
  <c r="CW42" i="3"/>
  <c r="CV43" i="3"/>
  <c r="CW43" i="3"/>
  <c r="CV44" i="3"/>
  <c r="CV45" i="3"/>
  <c r="CW45" i="3"/>
  <c r="CV46" i="3"/>
  <c r="CV47" i="3"/>
  <c r="CW47" i="3"/>
  <c r="CV48" i="3"/>
  <c r="CV49" i="3"/>
  <c r="CV50" i="3"/>
  <c r="CV51" i="3"/>
  <c r="CW51" i="3"/>
  <c r="CV52" i="3"/>
  <c r="CW52" i="3"/>
  <c r="CV53" i="3"/>
  <c r="CW53" i="3"/>
  <c r="CV54" i="3"/>
  <c r="CV55" i="3"/>
  <c r="CV56" i="3"/>
  <c r="CV57" i="3"/>
  <c r="CW57" i="3"/>
  <c r="CV58" i="3"/>
  <c r="CW58" i="3"/>
  <c r="CV59" i="3"/>
  <c r="CW59" i="3"/>
  <c r="CV60" i="3"/>
  <c r="CW60" i="3"/>
  <c r="CV61" i="3"/>
  <c r="CW61" i="3"/>
  <c r="CV62" i="3"/>
  <c r="CW62" i="3"/>
  <c r="CV63" i="3"/>
  <c r="CW63" i="3"/>
  <c r="CV25" i="3"/>
  <c r="CW25" i="3"/>
  <c r="CW24" i="3"/>
  <c r="CV24" i="3"/>
  <c r="CV3" i="3"/>
  <c r="CW3" i="3"/>
  <c r="CV4" i="3"/>
  <c r="CW4" i="3"/>
  <c r="CV5" i="3"/>
  <c r="CW5" i="3"/>
  <c r="CV6" i="3"/>
  <c r="CW6" i="3"/>
  <c r="CV7" i="3"/>
  <c r="CW7" i="3"/>
  <c r="CV8" i="3"/>
  <c r="CW8" i="3"/>
  <c r="CV9" i="3"/>
  <c r="CW9" i="3"/>
  <c r="CV10" i="3"/>
  <c r="CW10" i="3"/>
  <c r="CV11" i="3"/>
  <c r="CW11" i="3"/>
  <c r="CV12" i="3"/>
  <c r="CW12" i="3"/>
  <c r="CV13" i="3"/>
  <c r="CW13" i="3"/>
  <c r="CV14" i="3"/>
  <c r="CW14" i="3"/>
  <c r="CV15" i="3"/>
  <c r="CW15" i="3"/>
  <c r="CV16" i="3"/>
  <c r="CW16" i="3"/>
  <c r="CV17" i="3"/>
  <c r="CW17" i="3"/>
  <c r="CV18" i="3"/>
  <c r="CW18" i="3"/>
  <c r="CV19" i="3"/>
  <c r="CW19" i="3"/>
  <c r="CV20" i="3"/>
  <c r="CW20" i="3"/>
  <c r="CV21" i="3"/>
  <c r="CW21" i="3"/>
  <c r="CW2" i="3"/>
  <c r="CV2" i="3"/>
  <c r="CZ107" i="3"/>
  <c r="CY107" i="3"/>
  <c r="CZ106" i="3"/>
  <c r="CY106" i="3"/>
  <c r="CZ105" i="3"/>
  <c r="CY105" i="3"/>
  <c r="CZ104" i="3"/>
  <c r="CY104" i="3"/>
  <c r="CZ103" i="3"/>
  <c r="CY103" i="3"/>
  <c r="CZ102" i="3"/>
  <c r="CY102" i="3"/>
  <c r="CZ101" i="3"/>
  <c r="CY101" i="3"/>
  <c r="CZ100" i="3"/>
  <c r="CY100" i="3"/>
  <c r="CZ99" i="3"/>
  <c r="CY99" i="3"/>
  <c r="CZ98" i="3"/>
  <c r="CY98" i="3"/>
  <c r="CZ97" i="3"/>
  <c r="CY97" i="3"/>
  <c r="CZ96" i="3"/>
  <c r="CY96" i="3"/>
  <c r="CZ95" i="3"/>
  <c r="CY95" i="3"/>
  <c r="CZ94" i="3"/>
  <c r="CY94" i="3"/>
  <c r="CZ93" i="3"/>
  <c r="CY93" i="3"/>
  <c r="CZ92" i="3"/>
  <c r="CY92" i="3"/>
  <c r="CZ91" i="3"/>
  <c r="CY91" i="3"/>
  <c r="CZ90" i="3"/>
  <c r="CY90" i="3"/>
  <c r="CZ89" i="3"/>
  <c r="CY89" i="3"/>
  <c r="CZ88" i="3"/>
  <c r="CY88" i="3"/>
  <c r="CY67" i="3"/>
  <c r="CZ67" i="3"/>
  <c r="CY68" i="3"/>
  <c r="CZ68" i="3"/>
  <c r="CY69" i="3"/>
  <c r="CZ69" i="3"/>
  <c r="CY70" i="3"/>
  <c r="CZ70" i="3"/>
  <c r="CY71" i="3"/>
  <c r="CZ71" i="3"/>
  <c r="CY72" i="3"/>
  <c r="CZ72" i="3"/>
  <c r="CY73" i="3"/>
  <c r="CZ73" i="3"/>
  <c r="CY74" i="3"/>
  <c r="CZ74" i="3"/>
  <c r="CY75" i="3"/>
  <c r="CZ75" i="3"/>
  <c r="CY76" i="3"/>
  <c r="CZ76" i="3"/>
  <c r="CY77" i="3"/>
  <c r="CZ77" i="3"/>
  <c r="CY78" i="3"/>
  <c r="CZ78" i="3"/>
  <c r="CY79" i="3"/>
  <c r="CZ79" i="3"/>
  <c r="CY80" i="3"/>
  <c r="CZ80" i="3"/>
  <c r="CY81" i="3"/>
  <c r="CZ81" i="3"/>
  <c r="CY82" i="3"/>
  <c r="CZ82" i="3"/>
  <c r="CY83" i="3"/>
  <c r="CZ83" i="3"/>
  <c r="CY84" i="3"/>
  <c r="CZ84" i="3"/>
  <c r="CY85" i="3"/>
  <c r="CZ85" i="3"/>
  <c r="CZ66" i="3"/>
  <c r="CY66" i="3"/>
  <c r="CY44" i="3"/>
  <c r="CZ44" i="3"/>
  <c r="CY45" i="3"/>
  <c r="CZ45" i="3"/>
  <c r="CY46" i="3"/>
  <c r="CZ46" i="3"/>
  <c r="CY47" i="3"/>
  <c r="CZ47" i="3"/>
  <c r="CY48" i="3"/>
  <c r="CZ48" i="3"/>
  <c r="CY49" i="3"/>
  <c r="CZ49" i="3"/>
  <c r="CY50" i="3"/>
  <c r="CZ50" i="3"/>
  <c r="CY51" i="3"/>
  <c r="CZ51" i="3"/>
  <c r="CY52" i="3"/>
  <c r="CZ52" i="3"/>
  <c r="CY53" i="3"/>
  <c r="CZ53" i="3"/>
  <c r="CY54" i="3"/>
  <c r="CZ54" i="3"/>
  <c r="CY55" i="3"/>
  <c r="CZ55" i="3"/>
  <c r="CY56" i="3"/>
  <c r="CZ56" i="3"/>
  <c r="CY57" i="3"/>
  <c r="CZ57" i="3"/>
  <c r="CY58" i="3"/>
  <c r="CZ58" i="3"/>
  <c r="CY59" i="3"/>
  <c r="CZ59" i="3"/>
  <c r="CY60" i="3"/>
  <c r="CZ60" i="3"/>
  <c r="CY61" i="3"/>
  <c r="CZ61" i="3"/>
  <c r="CY62" i="3"/>
  <c r="CZ62" i="3"/>
  <c r="CY63" i="3"/>
  <c r="CZ63" i="3"/>
  <c r="CZ43" i="3"/>
  <c r="CY43" i="3"/>
  <c r="CZ42" i="3"/>
  <c r="CY42" i="3"/>
  <c r="CZ41" i="3"/>
  <c r="CY41" i="3"/>
  <c r="CZ40" i="3"/>
  <c r="CY40" i="3"/>
  <c r="CZ39" i="3"/>
  <c r="CY39" i="3"/>
  <c r="CZ38" i="3"/>
  <c r="CY38" i="3"/>
  <c r="CZ37" i="3"/>
  <c r="CY37" i="3"/>
  <c r="CZ36" i="3"/>
  <c r="CY36" i="3"/>
  <c r="CZ35" i="3"/>
  <c r="CY35" i="3"/>
  <c r="CZ34" i="3"/>
  <c r="CY34" i="3"/>
  <c r="CZ33" i="3"/>
  <c r="CY33" i="3"/>
  <c r="CZ32" i="3"/>
  <c r="CY32" i="3"/>
  <c r="CZ31" i="3"/>
  <c r="CY31" i="3"/>
  <c r="CZ30" i="3"/>
  <c r="CY30" i="3"/>
  <c r="CZ29" i="3"/>
  <c r="CY29" i="3"/>
  <c r="CZ28" i="3"/>
  <c r="CY28" i="3"/>
  <c r="CZ27" i="3"/>
  <c r="CY27" i="3"/>
  <c r="CZ26" i="3"/>
  <c r="CY26" i="3"/>
  <c r="CZ25" i="3"/>
  <c r="CY25" i="3"/>
  <c r="CZ24" i="3"/>
  <c r="CY24" i="3"/>
  <c r="CY4" i="3"/>
  <c r="CZ4" i="3"/>
  <c r="CY5" i="3"/>
  <c r="CZ5" i="3"/>
  <c r="CY6" i="3"/>
  <c r="CZ6" i="3"/>
  <c r="CY7" i="3"/>
  <c r="CZ7" i="3"/>
  <c r="CY8" i="3"/>
  <c r="CZ8" i="3"/>
  <c r="CY9" i="3"/>
  <c r="CZ9" i="3"/>
  <c r="CY10" i="3"/>
  <c r="CZ10" i="3"/>
  <c r="CY11" i="3"/>
  <c r="CZ11" i="3"/>
  <c r="CY12" i="3"/>
  <c r="CZ12" i="3"/>
  <c r="CY13" i="3"/>
  <c r="CZ13" i="3"/>
  <c r="CY14" i="3"/>
  <c r="CZ14" i="3"/>
  <c r="CY15" i="3"/>
  <c r="CZ15" i="3"/>
  <c r="CY16" i="3"/>
  <c r="CZ16" i="3"/>
  <c r="CY17" i="3"/>
  <c r="CZ17" i="3"/>
  <c r="CY18" i="3"/>
  <c r="CZ18" i="3"/>
  <c r="CY19" i="3"/>
  <c r="CZ19" i="3"/>
  <c r="CY20" i="3"/>
  <c r="CZ20" i="3"/>
  <c r="CY21" i="3"/>
  <c r="CZ21" i="3"/>
  <c r="CY3" i="3"/>
  <c r="CZ3" i="3"/>
  <c r="CZ2" i="3"/>
  <c r="CY2" i="3"/>
  <c r="CX107" i="3"/>
  <c r="CG107" i="3"/>
  <c r="CD107" i="3"/>
  <c r="CB107" i="3"/>
  <c r="BP107" i="3"/>
  <c r="BO107" i="3"/>
  <c r="BN107" i="3"/>
  <c r="BM107" i="3"/>
  <c r="BL107" i="3"/>
  <c r="BK107" i="3"/>
  <c r="BJ107" i="3"/>
  <c r="BI107" i="3"/>
  <c r="BH107" i="3"/>
  <c r="BG107" i="3"/>
  <c r="CS107" i="3" s="1"/>
  <c r="BF107" i="3"/>
  <c r="BE107" i="3"/>
  <c r="BD107" i="3"/>
  <c r="BC107" i="3"/>
  <c r="AR107" i="3"/>
  <c r="AQ107" i="3"/>
  <c r="AP107" i="3"/>
  <c r="AO107" i="3"/>
  <c r="AN107" i="3"/>
  <c r="AM107" i="3"/>
  <c r="AL107" i="3"/>
  <c r="AA107" i="3"/>
  <c r="AE107" i="3" s="1"/>
  <c r="X107" i="3"/>
  <c r="W107" i="3"/>
  <c r="V107" i="3"/>
  <c r="AF107" i="3" s="1"/>
  <c r="U107" i="3"/>
  <c r="P107" i="3"/>
  <c r="N107" i="3"/>
  <c r="M107" i="3"/>
  <c r="L107" i="3"/>
  <c r="K107" i="3"/>
  <c r="G107" i="3"/>
  <c r="E107" i="3"/>
  <c r="C107" i="3"/>
  <c r="CX106" i="3"/>
  <c r="CG106" i="3"/>
  <c r="CD106" i="3"/>
  <c r="CB106" i="3"/>
  <c r="BP106" i="3"/>
  <c r="BO106" i="3"/>
  <c r="BN106" i="3"/>
  <c r="BM106" i="3"/>
  <c r="BL106" i="3"/>
  <c r="BK106" i="3"/>
  <c r="BJ106" i="3"/>
  <c r="BI106" i="3"/>
  <c r="BH106" i="3"/>
  <c r="BG106" i="3"/>
  <c r="CS106" i="3" s="1"/>
  <c r="BF106" i="3"/>
  <c r="BE106" i="3"/>
  <c r="BD106" i="3"/>
  <c r="BC106" i="3"/>
  <c r="AR106" i="3"/>
  <c r="AQ106" i="3"/>
  <c r="AP106" i="3"/>
  <c r="AO106" i="3"/>
  <c r="AN106" i="3"/>
  <c r="AM106" i="3"/>
  <c r="AL106" i="3"/>
  <c r="AE106" i="3"/>
  <c r="AA106" i="3"/>
  <c r="X106" i="3"/>
  <c r="W106" i="3"/>
  <c r="V106" i="3"/>
  <c r="AF106" i="3" s="1"/>
  <c r="U106" i="3"/>
  <c r="P106" i="3"/>
  <c r="N106" i="3"/>
  <c r="M106" i="3"/>
  <c r="L106" i="3"/>
  <c r="K106" i="3"/>
  <c r="G106" i="3"/>
  <c r="E106" i="3"/>
  <c r="H106" i="3" s="1"/>
  <c r="AI106" i="3" s="1"/>
  <c r="C106" i="3"/>
  <c r="CX105" i="3"/>
  <c r="CG105" i="3"/>
  <c r="CD105" i="3"/>
  <c r="CB105" i="3"/>
  <c r="BP105" i="3"/>
  <c r="BO105" i="3"/>
  <c r="BN105" i="3"/>
  <c r="BM105" i="3"/>
  <c r="BL105" i="3"/>
  <c r="BK105" i="3"/>
  <c r="BJ105" i="3"/>
  <c r="BI105" i="3"/>
  <c r="BH105" i="3"/>
  <c r="BG105" i="3"/>
  <c r="CS105" i="3" s="1"/>
  <c r="BF105" i="3"/>
  <c r="BE105" i="3"/>
  <c r="BD105" i="3"/>
  <c r="BC105" i="3"/>
  <c r="AR105" i="3"/>
  <c r="AQ105" i="3"/>
  <c r="AP105" i="3"/>
  <c r="AO105" i="3"/>
  <c r="AN105" i="3"/>
  <c r="AM105" i="3"/>
  <c r="AL105" i="3"/>
  <c r="AA105" i="3"/>
  <c r="AE105" i="3" s="1"/>
  <c r="X105" i="3"/>
  <c r="W105" i="3"/>
  <c r="V105" i="3"/>
  <c r="AF105" i="3" s="1"/>
  <c r="U105" i="3"/>
  <c r="P105" i="3"/>
  <c r="N105" i="3"/>
  <c r="M105" i="3"/>
  <c r="L105" i="3"/>
  <c r="K105" i="3"/>
  <c r="G105" i="3"/>
  <c r="E105" i="3"/>
  <c r="C105" i="3"/>
  <c r="CX104" i="3"/>
  <c r="CG104" i="3"/>
  <c r="CD104" i="3"/>
  <c r="CB104" i="3"/>
  <c r="BP104" i="3"/>
  <c r="BO104" i="3"/>
  <c r="BN104" i="3"/>
  <c r="BM104" i="3"/>
  <c r="BL104" i="3"/>
  <c r="BK104" i="3"/>
  <c r="BJ104" i="3"/>
  <c r="BI104" i="3"/>
  <c r="BH104" i="3"/>
  <c r="BG104" i="3"/>
  <c r="CS104" i="3" s="1"/>
  <c r="BF104" i="3"/>
  <c r="BE104" i="3"/>
  <c r="BD104" i="3"/>
  <c r="BC104" i="3"/>
  <c r="AR104" i="3"/>
  <c r="AQ104" i="3"/>
  <c r="AP104" i="3"/>
  <c r="AO104" i="3"/>
  <c r="AN104" i="3"/>
  <c r="AM104" i="3"/>
  <c r="AL104" i="3"/>
  <c r="AE104" i="3"/>
  <c r="AA104" i="3"/>
  <c r="X104" i="3"/>
  <c r="W104" i="3"/>
  <c r="V104" i="3"/>
  <c r="AF104" i="3" s="1"/>
  <c r="U104" i="3"/>
  <c r="P104" i="3"/>
  <c r="N104" i="3"/>
  <c r="M104" i="3"/>
  <c r="L104" i="3"/>
  <c r="K104" i="3"/>
  <c r="G104" i="3"/>
  <c r="E104" i="3"/>
  <c r="C104" i="3"/>
  <c r="CX103" i="3"/>
  <c r="CS103" i="3"/>
  <c r="CG103" i="3"/>
  <c r="CD103" i="3"/>
  <c r="CB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AR103" i="3"/>
  <c r="AQ103" i="3"/>
  <c r="AP103" i="3"/>
  <c r="AO103" i="3"/>
  <c r="AN103" i="3"/>
  <c r="AM103" i="3"/>
  <c r="AL103" i="3"/>
  <c r="AA103" i="3"/>
  <c r="AE103" i="3" s="1"/>
  <c r="X103" i="3"/>
  <c r="W103" i="3"/>
  <c r="V103" i="3"/>
  <c r="AF103" i="3" s="1"/>
  <c r="U103" i="3"/>
  <c r="P103" i="3"/>
  <c r="N103" i="3"/>
  <c r="M103" i="3"/>
  <c r="L103" i="3"/>
  <c r="K103" i="3"/>
  <c r="G103" i="3"/>
  <c r="E103" i="3"/>
  <c r="H103" i="3" s="1"/>
  <c r="AI103" i="3" s="1"/>
  <c r="C103" i="3"/>
  <c r="CX102" i="3"/>
  <c r="CG102" i="3"/>
  <c r="CD102" i="3"/>
  <c r="CB102" i="3"/>
  <c r="BP102" i="3"/>
  <c r="BO102" i="3"/>
  <c r="BN102" i="3"/>
  <c r="BM102" i="3"/>
  <c r="BL102" i="3"/>
  <c r="BK102" i="3"/>
  <c r="BJ102" i="3"/>
  <c r="BI102" i="3"/>
  <c r="BH102" i="3"/>
  <c r="BG102" i="3"/>
  <c r="CS102" i="3" s="1"/>
  <c r="BF102" i="3"/>
  <c r="BE102" i="3"/>
  <c r="BD102" i="3"/>
  <c r="BC102" i="3"/>
  <c r="AR102" i="3"/>
  <c r="AQ102" i="3"/>
  <c r="AP102" i="3"/>
  <c r="AO102" i="3"/>
  <c r="AN102" i="3"/>
  <c r="AM102" i="3"/>
  <c r="AL102" i="3"/>
  <c r="AA102" i="3"/>
  <c r="AE102" i="3" s="1"/>
  <c r="X102" i="3"/>
  <c r="W102" i="3"/>
  <c r="V102" i="3"/>
  <c r="AF102" i="3" s="1"/>
  <c r="U102" i="3"/>
  <c r="P102" i="3"/>
  <c r="N102" i="3"/>
  <c r="M102" i="3"/>
  <c r="L102" i="3"/>
  <c r="K102" i="3"/>
  <c r="G102" i="3"/>
  <c r="E102" i="3"/>
  <c r="C102" i="3"/>
  <c r="CX101" i="3"/>
  <c r="CG101" i="3"/>
  <c r="CD101" i="3"/>
  <c r="CB101" i="3"/>
  <c r="BP101" i="3"/>
  <c r="BO101" i="3"/>
  <c r="BN101" i="3"/>
  <c r="BM101" i="3"/>
  <c r="BL101" i="3"/>
  <c r="BK101" i="3"/>
  <c r="BJ101" i="3"/>
  <c r="BI101" i="3"/>
  <c r="BH101" i="3"/>
  <c r="BG101" i="3"/>
  <c r="CS101" i="3" s="1"/>
  <c r="BF101" i="3"/>
  <c r="BE101" i="3"/>
  <c r="BD101" i="3"/>
  <c r="BC101" i="3"/>
  <c r="AR101" i="3"/>
  <c r="AQ101" i="3"/>
  <c r="AP101" i="3"/>
  <c r="AO101" i="3"/>
  <c r="AN101" i="3"/>
  <c r="AM101" i="3"/>
  <c r="AL101" i="3"/>
  <c r="AA101" i="3"/>
  <c r="AE101" i="3" s="1"/>
  <c r="X101" i="3"/>
  <c r="W101" i="3"/>
  <c r="V101" i="3"/>
  <c r="AF101" i="3" s="1"/>
  <c r="U101" i="3"/>
  <c r="AB101" i="3" s="1"/>
  <c r="AJ101" i="3" s="1"/>
  <c r="P101" i="3"/>
  <c r="N101" i="3"/>
  <c r="M101" i="3"/>
  <c r="L101" i="3"/>
  <c r="K101" i="3"/>
  <c r="G101" i="3"/>
  <c r="E101" i="3"/>
  <c r="C101" i="3"/>
  <c r="CX100" i="3"/>
  <c r="CG100" i="3"/>
  <c r="CD100" i="3"/>
  <c r="CB100" i="3"/>
  <c r="BP100" i="3"/>
  <c r="BO100" i="3"/>
  <c r="BN100" i="3"/>
  <c r="BM100" i="3"/>
  <c r="BL100" i="3"/>
  <c r="BK100" i="3"/>
  <c r="BJ100" i="3"/>
  <c r="BI100" i="3"/>
  <c r="BH100" i="3"/>
  <c r="BG100" i="3"/>
  <c r="CS100" i="3" s="1"/>
  <c r="BF100" i="3"/>
  <c r="BE100" i="3"/>
  <c r="BD100" i="3"/>
  <c r="BC100" i="3"/>
  <c r="AR100" i="3"/>
  <c r="AQ100" i="3"/>
  <c r="AP100" i="3"/>
  <c r="AO100" i="3"/>
  <c r="AN100" i="3"/>
  <c r="AM100" i="3"/>
  <c r="AL100" i="3"/>
  <c r="AA100" i="3"/>
  <c r="AE100" i="3" s="1"/>
  <c r="X100" i="3"/>
  <c r="W100" i="3"/>
  <c r="V100" i="3"/>
  <c r="AF100" i="3" s="1"/>
  <c r="U100" i="3"/>
  <c r="P100" i="3"/>
  <c r="N100" i="3"/>
  <c r="M100" i="3"/>
  <c r="L100" i="3"/>
  <c r="K100" i="3"/>
  <c r="O100" i="3" s="1"/>
  <c r="Q100" i="3" s="1"/>
  <c r="G100" i="3"/>
  <c r="E100" i="3"/>
  <c r="C100" i="3"/>
  <c r="CX99" i="3"/>
  <c r="CG99" i="3"/>
  <c r="CD99" i="3"/>
  <c r="CB99" i="3"/>
  <c r="BP99" i="3"/>
  <c r="BO99" i="3"/>
  <c r="BN99" i="3"/>
  <c r="BM99" i="3"/>
  <c r="BL99" i="3"/>
  <c r="BK99" i="3"/>
  <c r="BJ99" i="3"/>
  <c r="BI99" i="3"/>
  <c r="BH99" i="3"/>
  <c r="BG99" i="3"/>
  <c r="CS99" i="3" s="1"/>
  <c r="BF99" i="3"/>
  <c r="BE99" i="3"/>
  <c r="BD99" i="3"/>
  <c r="BC99" i="3"/>
  <c r="AR99" i="3"/>
  <c r="AQ99" i="3"/>
  <c r="AP99" i="3"/>
  <c r="AO99" i="3"/>
  <c r="AN99" i="3"/>
  <c r="AM99" i="3"/>
  <c r="AL99" i="3"/>
  <c r="AA99" i="3"/>
  <c r="AE99" i="3" s="1"/>
  <c r="X99" i="3"/>
  <c r="W99" i="3"/>
  <c r="V99" i="3"/>
  <c r="AF99" i="3" s="1"/>
  <c r="U99" i="3"/>
  <c r="P99" i="3"/>
  <c r="N99" i="3"/>
  <c r="M99" i="3"/>
  <c r="L99" i="3"/>
  <c r="K99" i="3"/>
  <c r="G99" i="3"/>
  <c r="H99" i="3" s="1"/>
  <c r="AI99" i="3" s="1"/>
  <c r="CP99" i="3" s="1"/>
  <c r="E99" i="3"/>
  <c r="C99" i="3"/>
  <c r="CX98" i="3"/>
  <c r="CG98" i="3"/>
  <c r="CD98" i="3"/>
  <c r="CB98" i="3"/>
  <c r="BP98" i="3"/>
  <c r="BO98" i="3"/>
  <c r="BN98" i="3"/>
  <c r="BM98" i="3"/>
  <c r="BL98" i="3"/>
  <c r="BK98" i="3"/>
  <c r="BJ98" i="3"/>
  <c r="BI98" i="3"/>
  <c r="BH98" i="3"/>
  <c r="BG98" i="3"/>
  <c r="CS98" i="3" s="1"/>
  <c r="BF98" i="3"/>
  <c r="BE98" i="3"/>
  <c r="BD98" i="3"/>
  <c r="BC98" i="3"/>
  <c r="AR98" i="3"/>
  <c r="AQ98" i="3"/>
  <c r="AP98" i="3"/>
  <c r="AO98" i="3"/>
  <c r="AN98" i="3"/>
  <c r="AM98" i="3"/>
  <c r="AL98" i="3"/>
  <c r="AA98" i="3"/>
  <c r="AE98" i="3" s="1"/>
  <c r="X98" i="3"/>
  <c r="W98" i="3"/>
  <c r="V98" i="3"/>
  <c r="AF98" i="3" s="1"/>
  <c r="U98" i="3"/>
  <c r="P98" i="3"/>
  <c r="N98" i="3"/>
  <c r="M98" i="3"/>
  <c r="L98" i="3"/>
  <c r="K98" i="3"/>
  <c r="G98" i="3"/>
  <c r="E98" i="3"/>
  <c r="C98" i="3"/>
  <c r="CX97" i="3"/>
  <c r="CG97" i="3"/>
  <c r="CD97" i="3"/>
  <c r="CB97" i="3"/>
  <c r="BP97" i="3"/>
  <c r="BO97" i="3"/>
  <c r="BN97" i="3"/>
  <c r="BM97" i="3"/>
  <c r="BL97" i="3"/>
  <c r="BK97" i="3"/>
  <c r="BJ97" i="3"/>
  <c r="BI97" i="3"/>
  <c r="BH97" i="3"/>
  <c r="BG97" i="3"/>
  <c r="CS97" i="3" s="1"/>
  <c r="BF97" i="3"/>
  <c r="BE97" i="3"/>
  <c r="BD97" i="3"/>
  <c r="BC97" i="3"/>
  <c r="AR97" i="3"/>
  <c r="AQ97" i="3"/>
  <c r="AP97" i="3"/>
  <c r="AO97" i="3"/>
  <c r="AN97" i="3"/>
  <c r="AM97" i="3"/>
  <c r="AL97" i="3"/>
  <c r="AF97" i="3"/>
  <c r="AE97" i="3"/>
  <c r="AA97" i="3"/>
  <c r="X97" i="3"/>
  <c r="W97" i="3"/>
  <c r="AG97" i="3" s="1"/>
  <c r="AH97" i="3" s="1"/>
  <c r="V97" i="3"/>
  <c r="U97" i="3"/>
  <c r="P97" i="3"/>
  <c r="N97" i="3"/>
  <c r="M97" i="3"/>
  <c r="L97" i="3"/>
  <c r="K97" i="3"/>
  <c r="G97" i="3"/>
  <c r="E97" i="3"/>
  <c r="H97" i="3" s="1"/>
  <c r="AI97" i="3" s="1"/>
  <c r="CP97" i="3" s="1"/>
  <c r="C97" i="3"/>
  <c r="CX96" i="3"/>
  <c r="CG96" i="3"/>
  <c r="CD96" i="3"/>
  <c r="CB96" i="3"/>
  <c r="BP96" i="3"/>
  <c r="BO96" i="3"/>
  <c r="BN96" i="3"/>
  <c r="BM96" i="3"/>
  <c r="BL96" i="3"/>
  <c r="BK96" i="3"/>
  <c r="BJ96" i="3"/>
  <c r="BI96" i="3"/>
  <c r="BH96" i="3"/>
  <c r="BG96" i="3"/>
  <c r="CS96" i="3" s="1"/>
  <c r="BF96" i="3"/>
  <c r="BE96" i="3"/>
  <c r="BD96" i="3"/>
  <c r="BC96" i="3"/>
  <c r="AR96" i="3"/>
  <c r="AQ96" i="3"/>
  <c r="AP96" i="3"/>
  <c r="AO96" i="3"/>
  <c r="AN96" i="3"/>
  <c r="AM96" i="3"/>
  <c r="AL96" i="3"/>
  <c r="AF96" i="3"/>
  <c r="AE96" i="3"/>
  <c r="AA96" i="3"/>
  <c r="X96" i="3"/>
  <c r="W96" i="3"/>
  <c r="AG96" i="3" s="1"/>
  <c r="AH96" i="3" s="1"/>
  <c r="V96" i="3"/>
  <c r="U96" i="3"/>
  <c r="P96" i="3"/>
  <c r="N96" i="3"/>
  <c r="M96" i="3"/>
  <c r="L96" i="3"/>
  <c r="K96" i="3"/>
  <c r="G96" i="3"/>
  <c r="E96" i="3"/>
  <c r="C96" i="3"/>
  <c r="CX95" i="3"/>
  <c r="CG95" i="3"/>
  <c r="CD95" i="3"/>
  <c r="CB95" i="3"/>
  <c r="BP95" i="3"/>
  <c r="BO95" i="3"/>
  <c r="BN95" i="3"/>
  <c r="BM95" i="3"/>
  <c r="BL95" i="3"/>
  <c r="BK95" i="3"/>
  <c r="BJ95" i="3"/>
  <c r="BI95" i="3"/>
  <c r="BH95" i="3"/>
  <c r="BG95" i="3"/>
  <c r="CS95" i="3" s="1"/>
  <c r="BF95" i="3"/>
  <c r="BE95" i="3"/>
  <c r="BD95" i="3"/>
  <c r="BC95" i="3"/>
  <c r="AR95" i="3"/>
  <c r="AQ95" i="3"/>
  <c r="AP95" i="3"/>
  <c r="AO95" i="3"/>
  <c r="AN95" i="3"/>
  <c r="AM95" i="3"/>
  <c r="AL95" i="3"/>
  <c r="AF95" i="3"/>
  <c r="AE95" i="3"/>
  <c r="AA95" i="3"/>
  <c r="X95" i="3"/>
  <c r="W95" i="3"/>
  <c r="AG95" i="3" s="1"/>
  <c r="AH95" i="3" s="1"/>
  <c r="V95" i="3"/>
  <c r="U95" i="3"/>
  <c r="P95" i="3"/>
  <c r="N95" i="3"/>
  <c r="M95" i="3"/>
  <c r="L95" i="3"/>
  <c r="K95" i="3"/>
  <c r="G95" i="3"/>
  <c r="E95" i="3"/>
  <c r="C95" i="3"/>
  <c r="CX94" i="3"/>
  <c r="CG94" i="3"/>
  <c r="CD94" i="3"/>
  <c r="CB94" i="3"/>
  <c r="BP94" i="3"/>
  <c r="BO94" i="3"/>
  <c r="BN94" i="3"/>
  <c r="BM94" i="3"/>
  <c r="BL94" i="3"/>
  <c r="BK94" i="3"/>
  <c r="BJ94" i="3"/>
  <c r="BI94" i="3"/>
  <c r="BH94" i="3"/>
  <c r="BG94" i="3"/>
  <c r="CS94" i="3" s="1"/>
  <c r="BF94" i="3"/>
  <c r="BE94" i="3"/>
  <c r="BD94" i="3"/>
  <c r="BC94" i="3"/>
  <c r="AR94" i="3"/>
  <c r="AQ94" i="3"/>
  <c r="AP94" i="3"/>
  <c r="AO94" i="3"/>
  <c r="AN94" i="3"/>
  <c r="AM94" i="3"/>
  <c r="AL94" i="3"/>
  <c r="AF94" i="3"/>
  <c r="AE94" i="3"/>
  <c r="AA94" i="3"/>
  <c r="X94" i="3"/>
  <c r="W94" i="3"/>
  <c r="AG94" i="3" s="1"/>
  <c r="AH94" i="3" s="1"/>
  <c r="V94" i="3"/>
  <c r="U94" i="3"/>
  <c r="P94" i="3"/>
  <c r="N94" i="3"/>
  <c r="M94" i="3"/>
  <c r="L94" i="3"/>
  <c r="K94" i="3"/>
  <c r="G94" i="3"/>
  <c r="E94" i="3"/>
  <c r="C94" i="3"/>
  <c r="CX93" i="3"/>
  <c r="CG93" i="3"/>
  <c r="CD93" i="3"/>
  <c r="CB93" i="3"/>
  <c r="BP93" i="3"/>
  <c r="BO93" i="3"/>
  <c r="BN93" i="3"/>
  <c r="BM93" i="3"/>
  <c r="BL93" i="3"/>
  <c r="BK93" i="3"/>
  <c r="BJ93" i="3"/>
  <c r="BI93" i="3"/>
  <c r="BH93" i="3"/>
  <c r="BG93" i="3"/>
  <c r="CS93" i="3" s="1"/>
  <c r="BF93" i="3"/>
  <c r="BE93" i="3"/>
  <c r="BD93" i="3"/>
  <c r="BC93" i="3"/>
  <c r="AR93" i="3"/>
  <c r="AQ93" i="3"/>
  <c r="AP93" i="3"/>
  <c r="AO93" i="3"/>
  <c r="AN93" i="3"/>
  <c r="AM93" i="3"/>
  <c r="AL93" i="3"/>
  <c r="AF93" i="3"/>
  <c r="AE93" i="3"/>
  <c r="AA93" i="3"/>
  <c r="X93" i="3"/>
  <c r="W93" i="3"/>
  <c r="AG93" i="3" s="1"/>
  <c r="AH93" i="3" s="1"/>
  <c r="CR93" i="3" s="1"/>
  <c r="V93" i="3"/>
  <c r="U93" i="3"/>
  <c r="P93" i="3"/>
  <c r="N93" i="3"/>
  <c r="M93" i="3"/>
  <c r="L93" i="3"/>
  <c r="K93" i="3"/>
  <c r="G93" i="3"/>
  <c r="E93" i="3"/>
  <c r="C93" i="3"/>
  <c r="CX92" i="3"/>
  <c r="CG92" i="3"/>
  <c r="CD92" i="3"/>
  <c r="CB92" i="3"/>
  <c r="BP92" i="3"/>
  <c r="BO92" i="3"/>
  <c r="BN92" i="3"/>
  <c r="BM92" i="3"/>
  <c r="BL92" i="3"/>
  <c r="BK92" i="3"/>
  <c r="BJ92" i="3"/>
  <c r="BI92" i="3"/>
  <c r="BH92" i="3"/>
  <c r="BG92" i="3"/>
  <c r="CS92" i="3" s="1"/>
  <c r="BF92" i="3"/>
  <c r="BE92" i="3"/>
  <c r="BD92" i="3"/>
  <c r="BC92" i="3"/>
  <c r="AR92" i="3"/>
  <c r="AQ92" i="3"/>
  <c r="AP92" i="3"/>
  <c r="AO92" i="3"/>
  <c r="AN92" i="3"/>
  <c r="AM92" i="3"/>
  <c r="AL92" i="3"/>
  <c r="AF92" i="3"/>
  <c r="AE92" i="3"/>
  <c r="AA92" i="3"/>
  <c r="X92" i="3"/>
  <c r="W92" i="3"/>
  <c r="AG92" i="3" s="1"/>
  <c r="AH92" i="3" s="1"/>
  <c r="V92" i="3"/>
  <c r="U92" i="3"/>
  <c r="P92" i="3"/>
  <c r="N92" i="3"/>
  <c r="M92" i="3"/>
  <c r="L92" i="3"/>
  <c r="K92" i="3"/>
  <c r="G92" i="3"/>
  <c r="E92" i="3"/>
  <c r="C92" i="3"/>
  <c r="CX91" i="3"/>
  <c r="CG91" i="3"/>
  <c r="CD91" i="3"/>
  <c r="CB91" i="3"/>
  <c r="BP91" i="3"/>
  <c r="BO91" i="3"/>
  <c r="BN91" i="3"/>
  <c r="BM91" i="3"/>
  <c r="BL91" i="3"/>
  <c r="BK91" i="3"/>
  <c r="BJ91" i="3"/>
  <c r="BI91" i="3"/>
  <c r="BH91" i="3"/>
  <c r="BG91" i="3"/>
  <c r="CS91" i="3" s="1"/>
  <c r="BF91" i="3"/>
  <c r="BE91" i="3"/>
  <c r="BD91" i="3"/>
  <c r="BC91" i="3"/>
  <c r="AR91" i="3"/>
  <c r="AQ91" i="3"/>
  <c r="AP91" i="3"/>
  <c r="AO91" i="3"/>
  <c r="AN91" i="3"/>
  <c r="AM91" i="3"/>
  <c r="AL91" i="3"/>
  <c r="AF91" i="3"/>
  <c r="AE91" i="3"/>
  <c r="AA91" i="3"/>
  <c r="X91" i="3"/>
  <c r="W91" i="3"/>
  <c r="AG91" i="3" s="1"/>
  <c r="AH91" i="3" s="1"/>
  <c r="V91" i="3"/>
  <c r="U91" i="3"/>
  <c r="P91" i="3"/>
  <c r="N91" i="3"/>
  <c r="M91" i="3"/>
  <c r="L91" i="3"/>
  <c r="K91" i="3"/>
  <c r="G91" i="3"/>
  <c r="E91" i="3"/>
  <c r="C91" i="3"/>
  <c r="CX90" i="3"/>
  <c r="CG90" i="3"/>
  <c r="CD90" i="3"/>
  <c r="CB90" i="3"/>
  <c r="BP90" i="3"/>
  <c r="BO90" i="3"/>
  <c r="BN90" i="3"/>
  <c r="BM90" i="3"/>
  <c r="BL90" i="3"/>
  <c r="BK90" i="3"/>
  <c r="BJ90" i="3"/>
  <c r="BI90" i="3"/>
  <c r="BH90" i="3"/>
  <c r="BG90" i="3"/>
  <c r="CS90" i="3" s="1"/>
  <c r="BF90" i="3"/>
  <c r="BE90" i="3"/>
  <c r="BD90" i="3"/>
  <c r="BC90" i="3"/>
  <c r="AR90" i="3"/>
  <c r="AQ90" i="3"/>
  <c r="AP90" i="3"/>
  <c r="AO90" i="3"/>
  <c r="AN90" i="3"/>
  <c r="AM90" i="3"/>
  <c r="AL90" i="3"/>
  <c r="AG90" i="3"/>
  <c r="AH90" i="3" s="1"/>
  <c r="CR90" i="3" s="1"/>
  <c r="AF90" i="3"/>
  <c r="AE90" i="3"/>
  <c r="AB90" i="3"/>
  <c r="AJ90" i="3" s="1"/>
  <c r="AA90" i="3"/>
  <c r="X90" i="3"/>
  <c r="W90" i="3"/>
  <c r="V90" i="3"/>
  <c r="U90" i="3"/>
  <c r="P90" i="3"/>
  <c r="N90" i="3"/>
  <c r="M90" i="3"/>
  <c r="L90" i="3"/>
  <c r="K90" i="3"/>
  <c r="G90" i="3"/>
  <c r="E90" i="3"/>
  <c r="H90" i="3" s="1"/>
  <c r="AI90" i="3" s="1"/>
  <c r="C90" i="3"/>
  <c r="CX89" i="3"/>
  <c r="CG89" i="3"/>
  <c r="CD89" i="3"/>
  <c r="CB89" i="3"/>
  <c r="BP89" i="3"/>
  <c r="BO89" i="3"/>
  <c r="BN89" i="3"/>
  <c r="BM89" i="3"/>
  <c r="BL89" i="3"/>
  <c r="BK89" i="3"/>
  <c r="BJ89" i="3"/>
  <c r="BI89" i="3"/>
  <c r="BH89" i="3"/>
  <c r="BG89" i="3"/>
  <c r="CS89" i="3" s="1"/>
  <c r="BF89" i="3"/>
  <c r="BE89" i="3"/>
  <c r="BD89" i="3"/>
  <c r="BC89" i="3"/>
  <c r="AR89" i="3"/>
  <c r="AQ89" i="3"/>
  <c r="AP89" i="3"/>
  <c r="AO89" i="3"/>
  <c r="AN89" i="3"/>
  <c r="AM89" i="3"/>
  <c r="AL89" i="3"/>
  <c r="AF89" i="3"/>
  <c r="AE89" i="3"/>
  <c r="AA89" i="3"/>
  <c r="X89" i="3"/>
  <c r="W89" i="3"/>
  <c r="AG89" i="3" s="1"/>
  <c r="AH89" i="3" s="1"/>
  <c r="V89" i="3"/>
  <c r="U89" i="3"/>
  <c r="P89" i="3"/>
  <c r="N89" i="3"/>
  <c r="M89" i="3"/>
  <c r="L89" i="3"/>
  <c r="K89" i="3"/>
  <c r="G89" i="3"/>
  <c r="E89" i="3"/>
  <c r="C89" i="3"/>
  <c r="CX88" i="3"/>
  <c r="CG88" i="3"/>
  <c r="CD88" i="3"/>
  <c r="CB88" i="3"/>
  <c r="BP88" i="3"/>
  <c r="BO88" i="3"/>
  <c r="BN88" i="3"/>
  <c r="BM88" i="3"/>
  <c r="BL88" i="3"/>
  <c r="BK88" i="3"/>
  <c r="BJ88" i="3"/>
  <c r="BI88" i="3"/>
  <c r="BH88" i="3"/>
  <c r="BG88" i="3"/>
  <c r="CS88" i="3" s="1"/>
  <c r="BF88" i="3"/>
  <c r="BE88" i="3"/>
  <c r="BD88" i="3"/>
  <c r="BC88" i="3"/>
  <c r="AR88" i="3"/>
  <c r="AQ88" i="3"/>
  <c r="AP88" i="3"/>
  <c r="AO88" i="3"/>
  <c r="AN88" i="3"/>
  <c r="AM88" i="3"/>
  <c r="AL88" i="3"/>
  <c r="AF88" i="3"/>
  <c r="AE88" i="3"/>
  <c r="AA88" i="3"/>
  <c r="X88" i="3"/>
  <c r="W88" i="3"/>
  <c r="AG88" i="3" s="1"/>
  <c r="AH88" i="3" s="1"/>
  <c r="V88" i="3"/>
  <c r="U88" i="3"/>
  <c r="P88" i="3"/>
  <c r="N88" i="3"/>
  <c r="M88" i="3"/>
  <c r="L88" i="3"/>
  <c r="K88" i="3"/>
  <c r="G88" i="3"/>
  <c r="E88" i="3"/>
  <c r="C88" i="3"/>
  <c r="CG85" i="3"/>
  <c r="BA85" i="3"/>
  <c r="AZ85" i="3"/>
  <c r="BD85" i="3" s="1"/>
  <c r="X85" i="3"/>
  <c r="W85" i="3"/>
  <c r="V85" i="3"/>
  <c r="U85" i="3"/>
  <c r="H85" i="3"/>
  <c r="BB85" i="3" s="1"/>
  <c r="G85" i="3"/>
  <c r="E85" i="3"/>
  <c r="C85" i="3"/>
  <c r="CG84" i="3"/>
  <c r="BA84" i="3"/>
  <c r="AZ84" i="3"/>
  <c r="BE84" i="3" s="1"/>
  <c r="X84" i="3"/>
  <c r="W84" i="3"/>
  <c r="V84" i="3"/>
  <c r="U84" i="3"/>
  <c r="H84" i="3"/>
  <c r="BB84" i="3" s="1"/>
  <c r="G84" i="3"/>
  <c r="E84" i="3"/>
  <c r="C84" i="3"/>
  <c r="CG83" i="3"/>
  <c r="BA83" i="3"/>
  <c r="AZ83" i="3"/>
  <c r="X83" i="3"/>
  <c r="W83" i="3"/>
  <c r="V83" i="3"/>
  <c r="U83" i="3"/>
  <c r="H83" i="3"/>
  <c r="BB83" i="3" s="1"/>
  <c r="G83" i="3"/>
  <c r="E83" i="3"/>
  <c r="C83" i="3"/>
  <c r="CG82" i="3"/>
  <c r="BE82" i="3"/>
  <c r="BA82" i="3"/>
  <c r="AZ82" i="3"/>
  <c r="CE82" i="3" s="1"/>
  <c r="X82" i="3"/>
  <c r="W82" i="3"/>
  <c r="V82" i="3"/>
  <c r="U82" i="3"/>
  <c r="H82" i="3"/>
  <c r="BB82" i="3" s="1"/>
  <c r="G82" i="3"/>
  <c r="E82" i="3"/>
  <c r="C82" i="3"/>
  <c r="CG81" i="3"/>
  <c r="BA81" i="3"/>
  <c r="AZ81" i="3"/>
  <c r="BC81" i="3" s="1"/>
  <c r="CH81" i="3" s="1"/>
  <c r="X81" i="3"/>
  <c r="AB81" i="3" s="1"/>
  <c r="AJ81" i="3" s="1"/>
  <c r="W81" i="3"/>
  <c r="V81" i="3"/>
  <c r="U81" i="3"/>
  <c r="H81" i="3"/>
  <c r="BB81" i="3" s="1"/>
  <c r="G81" i="3"/>
  <c r="E81" i="3"/>
  <c r="C81" i="3"/>
  <c r="CG80" i="3"/>
  <c r="BA80" i="3"/>
  <c r="AZ80" i="3"/>
  <c r="CE80" i="3" s="1"/>
  <c r="X80" i="3"/>
  <c r="W80" i="3"/>
  <c r="V80" i="3"/>
  <c r="U80" i="3"/>
  <c r="H80" i="3"/>
  <c r="BB80" i="3" s="1"/>
  <c r="G80" i="3"/>
  <c r="E80" i="3"/>
  <c r="C80" i="3"/>
  <c r="CG79" i="3"/>
  <c r="BA79" i="3"/>
  <c r="AZ79" i="3"/>
  <c r="CE79" i="3" s="1"/>
  <c r="X79" i="3"/>
  <c r="W79" i="3"/>
  <c r="V79" i="3"/>
  <c r="U79" i="3"/>
  <c r="H79" i="3"/>
  <c r="BB79" i="3" s="1"/>
  <c r="G79" i="3"/>
  <c r="E79" i="3"/>
  <c r="C79" i="3"/>
  <c r="CG78" i="3"/>
  <c r="BA78" i="3"/>
  <c r="AZ78" i="3"/>
  <c r="BE78" i="3" s="1"/>
  <c r="X78" i="3"/>
  <c r="W78" i="3"/>
  <c r="V78" i="3"/>
  <c r="U78" i="3"/>
  <c r="H78" i="3"/>
  <c r="BB78" i="3" s="1"/>
  <c r="G78" i="3"/>
  <c r="E78" i="3"/>
  <c r="C78" i="3"/>
  <c r="CG77" i="3"/>
  <c r="BA77" i="3"/>
  <c r="AZ77" i="3"/>
  <c r="BE77" i="3" s="1"/>
  <c r="X77" i="3"/>
  <c r="W77" i="3"/>
  <c r="V77" i="3"/>
  <c r="U77" i="3"/>
  <c r="H77" i="3"/>
  <c r="BB77" i="3" s="1"/>
  <c r="G77" i="3"/>
  <c r="E77" i="3"/>
  <c r="C77" i="3"/>
  <c r="CG76" i="3"/>
  <c r="BA76" i="3"/>
  <c r="AZ76" i="3"/>
  <c r="CE76" i="3" s="1"/>
  <c r="X76" i="3"/>
  <c r="W76" i="3"/>
  <c r="V76" i="3"/>
  <c r="U76" i="3"/>
  <c r="H76" i="3"/>
  <c r="BB76" i="3" s="1"/>
  <c r="G76" i="3"/>
  <c r="E76" i="3"/>
  <c r="C76" i="3"/>
  <c r="DI75" i="3"/>
  <c r="DI76" i="3" s="1"/>
  <c r="CX69" i="3" s="1"/>
  <c r="CG75" i="3"/>
  <c r="BA75" i="3"/>
  <c r="AZ75" i="3"/>
  <c r="BE75" i="3" s="1"/>
  <c r="X75" i="3"/>
  <c r="W75" i="3"/>
  <c r="V75" i="3"/>
  <c r="U75" i="3"/>
  <c r="H75" i="3"/>
  <c r="BB75" i="3" s="1"/>
  <c r="G75" i="3"/>
  <c r="E75" i="3"/>
  <c r="C75" i="3"/>
  <c r="DI74" i="3"/>
  <c r="CG74" i="3"/>
  <c r="BA74" i="3"/>
  <c r="AZ74" i="3"/>
  <c r="BE74" i="3" s="1"/>
  <c r="X74" i="3"/>
  <c r="W74" i="3"/>
  <c r="V74" i="3"/>
  <c r="U74" i="3"/>
  <c r="H74" i="3"/>
  <c r="BB74" i="3" s="1"/>
  <c r="G74" i="3"/>
  <c r="E74" i="3"/>
  <c r="C74" i="3"/>
  <c r="CG73" i="3"/>
  <c r="BA73" i="3"/>
  <c r="AZ73" i="3"/>
  <c r="BD73" i="3" s="1"/>
  <c r="X73" i="3"/>
  <c r="W73" i="3"/>
  <c r="V73" i="3"/>
  <c r="U73" i="3"/>
  <c r="H73" i="3"/>
  <c r="BB73" i="3" s="1"/>
  <c r="G73" i="3"/>
  <c r="E73" i="3"/>
  <c r="C73" i="3"/>
  <c r="CG72" i="3"/>
  <c r="BA72" i="3"/>
  <c r="AZ72" i="3"/>
  <c r="CE72" i="3" s="1"/>
  <c r="X72" i="3"/>
  <c r="W72" i="3"/>
  <c r="V72" i="3"/>
  <c r="U72" i="3"/>
  <c r="H72" i="3"/>
  <c r="BB72" i="3" s="1"/>
  <c r="G72" i="3"/>
  <c r="E72" i="3"/>
  <c r="C72" i="3"/>
  <c r="CG71" i="3"/>
  <c r="BA71" i="3"/>
  <c r="AZ71" i="3"/>
  <c r="CE71" i="3" s="1"/>
  <c r="X71" i="3"/>
  <c r="W71" i="3"/>
  <c r="V71" i="3"/>
  <c r="U71" i="3"/>
  <c r="H71" i="3"/>
  <c r="BB71" i="3" s="1"/>
  <c r="G71" i="3"/>
  <c r="E71" i="3"/>
  <c r="C71" i="3"/>
  <c r="CG70" i="3"/>
  <c r="BA70" i="3"/>
  <c r="AZ70" i="3"/>
  <c r="BD70" i="3" s="1"/>
  <c r="X70" i="3"/>
  <c r="W70" i="3"/>
  <c r="V70" i="3"/>
  <c r="U70" i="3"/>
  <c r="H70" i="3"/>
  <c r="BB70" i="3" s="1"/>
  <c r="G70" i="3"/>
  <c r="E70" i="3"/>
  <c r="C70" i="3"/>
  <c r="CG69" i="3"/>
  <c r="BA69" i="3"/>
  <c r="AZ69" i="3"/>
  <c r="CE69" i="3" s="1"/>
  <c r="X69" i="3"/>
  <c r="W69" i="3"/>
  <c r="V69" i="3"/>
  <c r="U69" i="3"/>
  <c r="H69" i="3"/>
  <c r="BB69" i="3" s="1"/>
  <c r="G69" i="3"/>
  <c r="E69" i="3"/>
  <c r="C69" i="3"/>
  <c r="CG68" i="3"/>
  <c r="BA68" i="3"/>
  <c r="AZ68" i="3"/>
  <c r="BD68" i="3" s="1"/>
  <c r="X68" i="3"/>
  <c r="W68" i="3"/>
  <c r="V68" i="3"/>
  <c r="U68" i="3"/>
  <c r="H68" i="3"/>
  <c r="BB68" i="3" s="1"/>
  <c r="G68" i="3"/>
  <c r="E68" i="3"/>
  <c r="C68" i="3"/>
  <c r="CG67" i="3"/>
  <c r="BA67" i="3"/>
  <c r="AZ67" i="3"/>
  <c r="CE67" i="3" s="1"/>
  <c r="X67" i="3"/>
  <c r="W67" i="3"/>
  <c r="V67" i="3"/>
  <c r="U67" i="3"/>
  <c r="H67" i="3"/>
  <c r="BB67" i="3" s="1"/>
  <c r="G67" i="3"/>
  <c r="E67" i="3"/>
  <c r="C67" i="3"/>
  <c r="CG66" i="3"/>
  <c r="BA66" i="3"/>
  <c r="AZ66" i="3"/>
  <c r="BE66" i="3" s="1"/>
  <c r="X66" i="3"/>
  <c r="W66" i="3"/>
  <c r="V66" i="3"/>
  <c r="U66" i="3"/>
  <c r="H66" i="3"/>
  <c r="BB66" i="3" s="1"/>
  <c r="G66" i="3"/>
  <c r="E66" i="3"/>
  <c r="C66" i="3"/>
  <c r="CB63" i="3"/>
  <c r="X63" i="3"/>
  <c r="W63" i="3"/>
  <c r="V63" i="3"/>
  <c r="U63" i="3"/>
  <c r="N63" i="3"/>
  <c r="M63" i="3"/>
  <c r="L63" i="3"/>
  <c r="K63" i="3"/>
  <c r="H63" i="3"/>
  <c r="G63" i="3"/>
  <c r="E63" i="3"/>
  <c r="C63" i="3"/>
  <c r="CB62" i="3"/>
  <c r="X62" i="3"/>
  <c r="W62" i="3"/>
  <c r="V62" i="3"/>
  <c r="U62" i="3"/>
  <c r="N62" i="3"/>
  <c r="M62" i="3"/>
  <c r="L62" i="3"/>
  <c r="K62" i="3"/>
  <c r="H62" i="3"/>
  <c r="G62" i="3"/>
  <c r="E62" i="3"/>
  <c r="C62" i="3"/>
  <c r="CB61" i="3"/>
  <c r="X61" i="3"/>
  <c r="AB61" i="3" s="1"/>
  <c r="W61" i="3"/>
  <c r="V61" i="3"/>
  <c r="U61" i="3"/>
  <c r="N61" i="3"/>
  <c r="M61" i="3"/>
  <c r="L61" i="3"/>
  <c r="K61" i="3"/>
  <c r="H61" i="3"/>
  <c r="G61" i="3"/>
  <c r="E61" i="3"/>
  <c r="C61" i="3"/>
  <c r="CB60" i="3"/>
  <c r="X60" i="3"/>
  <c r="W60" i="3"/>
  <c r="V60" i="3"/>
  <c r="U60" i="3"/>
  <c r="N60" i="3"/>
  <c r="M60" i="3"/>
  <c r="L60" i="3"/>
  <c r="K60" i="3"/>
  <c r="H60" i="3"/>
  <c r="G60" i="3"/>
  <c r="E60" i="3"/>
  <c r="C60" i="3"/>
  <c r="CB59" i="3"/>
  <c r="X59" i="3"/>
  <c r="W59" i="3"/>
  <c r="V59" i="3"/>
  <c r="U59" i="3"/>
  <c r="N59" i="3"/>
  <c r="M59" i="3"/>
  <c r="L59" i="3"/>
  <c r="K59" i="3"/>
  <c r="H59" i="3"/>
  <c r="G59" i="3"/>
  <c r="E59" i="3"/>
  <c r="C59" i="3"/>
  <c r="CB58" i="3"/>
  <c r="X58" i="3"/>
  <c r="W58" i="3"/>
  <c r="V58" i="3"/>
  <c r="U58" i="3"/>
  <c r="N58" i="3"/>
  <c r="M58" i="3"/>
  <c r="L58" i="3"/>
  <c r="K58" i="3"/>
  <c r="H58" i="3"/>
  <c r="G58" i="3"/>
  <c r="E58" i="3"/>
  <c r="C58" i="3"/>
  <c r="CB57" i="3"/>
  <c r="X57" i="3"/>
  <c r="AB57" i="3" s="1"/>
  <c r="W57" i="3"/>
  <c r="V57" i="3"/>
  <c r="U57" i="3"/>
  <c r="N57" i="3"/>
  <c r="M57" i="3"/>
  <c r="L57" i="3"/>
  <c r="K57" i="3"/>
  <c r="H57" i="3"/>
  <c r="G57" i="3"/>
  <c r="E57" i="3"/>
  <c r="C57" i="3"/>
  <c r="CB56" i="3"/>
  <c r="X56" i="3"/>
  <c r="W56" i="3"/>
  <c r="V56" i="3"/>
  <c r="U56" i="3"/>
  <c r="N56" i="3"/>
  <c r="M56" i="3"/>
  <c r="L56" i="3"/>
  <c r="K56" i="3"/>
  <c r="O56" i="3" s="1"/>
  <c r="H56" i="3"/>
  <c r="G56" i="3"/>
  <c r="E56" i="3"/>
  <c r="C56" i="3"/>
  <c r="CB55" i="3"/>
  <c r="X55" i="3"/>
  <c r="W55" i="3"/>
  <c r="V55" i="3"/>
  <c r="U55" i="3"/>
  <c r="N55" i="3"/>
  <c r="M55" i="3"/>
  <c r="L55" i="3"/>
  <c r="K55" i="3"/>
  <c r="H55" i="3"/>
  <c r="G55" i="3"/>
  <c r="E55" i="3"/>
  <c r="C55" i="3"/>
  <c r="CB54" i="3"/>
  <c r="X54" i="3"/>
  <c r="W54" i="3"/>
  <c r="V54" i="3"/>
  <c r="U54" i="3"/>
  <c r="N54" i="3"/>
  <c r="O54" i="3" s="1"/>
  <c r="M54" i="3"/>
  <c r="L54" i="3"/>
  <c r="K54" i="3"/>
  <c r="H54" i="3"/>
  <c r="G54" i="3"/>
  <c r="E54" i="3"/>
  <c r="C54" i="3"/>
  <c r="CB53" i="3"/>
  <c r="X53" i="3"/>
  <c r="W53" i="3"/>
  <c r="V53" i="3"/>
  <c r="U53" i="3"/>
  <c r="N53" i="3"/>
  <c r="M53" i="3"/>
  <c r="L53" i="3"/>
  <c r="K53" i="3"/>
  <c r="H53" i="3"/>
  <c r="G53" i="3"/>
  <c r="E53" i="3"/>
  <c r="C53" i="3"/>
  <c r="CB52" i="3"/>
  <c r="X52" i="3"/>
  <c r="W52" i="3"/>
  <c r="V52" i="3"/>
  <c r="U52" i="3"/>
  <c r="N52" i="3"/>
  <c r="M52" i="3"/>
  <c r="L52" i="3"/>
  <c r="K52" i="3"/>
  <c r="H52" i="3"/>
  <c r="G52" i="3"/>
  <c r="E52" i="3"/>
  <c r="C52" i="3"/>
  <c r="CB51" i="3"/>
  <c r="X51" i="3"/>
  <c r="W51" i="3"/>
  <c r="V51" i="3"/>
  <c r="U51" i="3"/>
  <c r="N51" i="3"/>
  <c r="M51" i="3"/>
  <c r="L51" i="3"/>
  <c r="K51" i="3"/>
  <c r="H51" i="3"/>
  <c r="G51" i="3"/>
  <c r="E51" i="3"/>
  <c r="C51" i="3"/>
  <c r="CB50" i="3"/>
  <c r="X50" i="3"/>
  <c r="W50" i="3"/>
  <c r="V50" i="3"/>
  <c r="AB50" i="3" s="1"/>
  <c r="U50" i="3"/>
  <c r="N50" i="3"/>
  <c r="M50" i="3"/>
  <c r="L50" i="3"/>
  <c r="K50" i="3"/>
  <c r="H50" i="3"/>
  <c r="G50" i="3"/>
  <c r="E50" i="3"/>
  <c r="C50" i="3"/>
  <c r="CB49" i="3"/>
  <c r="X49" i="3"/>
  <c r="W49" i="3"/>
  <c r="V49" i="3"/>
  <c r="U49" i="3"/>
  <c r="AB49" i="3" s="1"/>
  <c r="N49" i="3"/>
  <c r="M49" i="3"/>
  <c r="L49" i="3"/>
  <c r="K49" i="3"/>
  <c r="H49" i="3"/>
  <c r="G49" i="3"/>
  <c r="E49" i="3"/>
  <c r="C49" i="3"/>
  <c r="CB48" i="3"/>
  <c r="X48" i="3"/>
  <c r="W48" i="3"/>
  <c r="V48" i="3"/>
  <c r="U48" i="3"/>
  <c r="AB48" i="3" s="1"/>
  <c r="N48" i="3"/>
  <c r="M48" i="3"/>
  <c r="L48" i="3"/>
  <c r="K48" i="3"/>
  <c r="H48" i="3"/>
  <c r="G48" i="3"/>
  <c r="E48" i="3"/>
  <c r="C48" i="3"/>
  <c r="CB47" i="3"/>
  <c r="X47" i="3"/>
  <c r="W47" i="3"/>
  <c r="V47" i="3"/>
  <c r="U47" i="3"/>
  <c r="N47" i="3"/>
  <c r="M47" i="3"/>
  <c r="L47" i="3"/>
  <c r="K47" i="3"/>
  <c r="H47" i="3"/>
  <c r="G47" i="3"/>
  <c r="E47" i="3"/>
  <c r="C47" i="3"/>
  <c r="CB46" i="3"/>
  <c r="X46" i="3"/>
  <c r="W46" i="3"/>
  <c r="V46" i="3"/>
  <c r="U46" i="3"/>
  <c r="AB46" i="3" s="1"/>
  <c r="N46" i="3"/>
  <c r="M46" i="3"/>
  <c r="L46" i="3"/>
  <c r="K46" i="3"/>
  <c r="H46" i="3"/>
  <c r="G46" i="3"/>
  <c r="E46" i="3"/>
  <c r="C46" i="3"/>
  <c r="CB45" i="3"/>
  <c r="X45" i="3"/>
  <c r="W45" i="3"/>
  <c r="V45" i="3"/>
  <c r="U45" i="3"/>
  <c r="AB45" i="3" s="1"/>
  <c r="N45" i="3"/>
  <c r="M45" i="3"/>
  <c r="L45" i="3"/>
  <c r="K45" i="3"/>
  <c r="H45" i="3"/>
  <c r="G45" i="3"/>
  <c r="E45" i="3"/>
  <c r="C45" i="3"/>
  <c r="CB44" i="3"/>
  <c r="X44" i="3"/>
  <c r="W44" i="3"/>
  <c r="V44" i="3"/>
  <c r="U44" i="3"/>
  <c r="N44" i="3"/>
  <c r="M44" i="3"/>
  <c r="L44" i="3"/>
  <c r="K44" i="3"/>
  <c r="H44" i="3"/>
  <c r="G44" i="3"/>
  <c r="E44" i="3"/>
  <c r="C44" i="3"/>
  <c r="CX43" i="3"/>
  <c r="CD43" i="3"/>
  <c r="CB43" i="3"/>
  <c r="BP43" i="3"/>
  <c r="BO43" i="3"/>
  <c r="BN43" i="3"/>
  <c r="BM43" i="3"/>
  <c r="BL43" i="3"/>
  <c r="BK43" i="3"/>
  <c r="BJ43" i="3"/>
  <c r="BI43" i="3"/>
  <c r="BH43" i="3"/>
  <c r="BE43" i="3"/>
  <c r="BD43" i="3"/>
  <c r="BC43" i="3"/>
  <c r="AW43" i="3"/>
  <c r="AV43" i="3"/>
  <c r="AU43" i="3"/>
  <c r="AT43" i="3"/>
  <c r="AS43" i="3"/>
  <c r="AN43" i="3"/>
  <c r="AL43" i="3"/>
  <c r="X43" i="3"/>
  <c r="W43" i="3"/>
  <c r="V43" i="3"/>
  <c r="U43" i="3"/>
  <c r="N43" i="3"/>
  <c r="M43" i="3"/>
  <c r="L43" i="3"/>
  <c r="K43" i="3"/>
  <c r="H43" i="3"/>
  <c r="AD43" i="3" s="1"/>
  <c r="G43" i="3"/>
  <c r="E43" i="3"/>
  <c r="C43" i="3"/>
  <c r="CX42" i="3"/>
  <c r="CD42" i="3"/>
  <c r="CB42" i="3"/>
  <c r="BP42" i="3"/>
  <c r="BO42" i="3"/>
  <c r="BN42" i="3"/>
  <c r="BM42" i="3"/>
  <c r="BL42" i="3"/>
  <c r="BK42" i="3"/>
  <c r="BJ42" i="3"/>
  <c r="BI42" i="3"/>
  <c r="BH42" i="3"/>
  <c r="BE42" i="3"/>
  <c r="BD42" i="3"/>
  <c r="BC42" i="3"/>
  <c r="AW42" i="3"/>
  <c r="AV42" i="3"/>
  <c r="AU42" i="3"/>
  <c r="AT42" i="3"/>
  <c r="AS42" i="3"/>
  <c r="AN42" i="3"/>
  <c r="AL42" i="3"/>
  <c r="X42" i="3"/>
  <c r="W42" i="3"/>
  <c r="V42" i="3"/>
  <c r="U42" i="3"/>
  <c r="N42" i="3"/>
  <c r="M42" i="3"/>
  <c r="L42" i="3"/>
  <c r="K42" i="3"/>
  <c r="H42" i="3"/>
  <c r="AD42" i="3" s="1"/>
  <c r="G42" i="3"/>
  <c r="E42" i="3"/>
  <c r="C42" i="3"/>
  <c r="CX41" i="3"/>
  <c r="CD41" i="3"/>
  <c r="CB41" i="3"/>
  <c r="BP41" i="3"/>
  <c r="BO41" i="3"/>
  <c r="BN41" i="3"/>
  <c r="BM41" i="3"/>
  <c r="BL41" i="3"/>
  <c r="BK41" i="3"/>
  <c r="BJ41" i="3"/>
  <c r="BI41" i="3"/>
  <c r="BH41" i="3"/>
  <c r="BE41" i="3"/>
  <c r="BD41" i="3"/>
  <c r="BC41" i="3"/>
  <c r="AW41" i="3"/>
  <c r="AV41" i="3"/>
  <c r="AU41" i="3"/>
  <c r="AT41" i="3"/>
  <c r="AS41" i="3"/>
  <c r="AN41" i="3"/>
  <c r="AL41" i="3"/>
  <c r="X41" i="3"/>
  <c r="W41" i="3"/>
  <c r="V41" i="3"/>
  <c r="U41" i="3"/>
  <c r="N41" i="3"/>
  <c r="M41" i="3"/>
  <c r="L41" i="3"/>
  <c r="K41" i="3"/>
  <c r="H41" i="3"/>
  <c r="AD41" i="3" s="1"/>
  <c r="G41" i="3"/>
  <c r="E41" i="3"/>
  <c r="C41" i="3"/>
  <c r="CX40" i="3"/>
  <c r="CD40" i="3"/>
  <c r="CB40" i="3"/>
  <c r="BP40" i="3"/>
  <c r="BO40" i="3"/>
  <c r="BN40" i="3"/>
  <c r="BM40" i="3"/>
  <c r="BL40" i="3"/>
  <c r="BK40" i="3"/>
  <c r="BJ40" i="3"/>
  <c r="BI40" i="3"/>
  <c r="BH40" i="3"/>
  <c r="BE40" i="3"/>
  <c r="BD40" i="3"/>
  <c r="BC40" i="3"/>
  <c r="AW40" i="3"/>
  <c r="AV40" i="3"/>
  <c r="AU40" i="3"/>
  <c r="AT40" i="3"/>
  <c r="AS40" i="3"/>
  <c r="AN40" i="3"/>
  <c r="AL40" i="3"/>
  <c r="X40" i="3"/>
  <c r="W40" i="3"/>
  <c r="V40" i="3"/>
  <c r="U40" i="3"/>
  <c r="N40" i="3"/>
  <c r="M40" i="3"/>
  <c r="L40" i="3"/>
  <c r="K40" i="3"/>
  <c r="H40" i="3"/>
  <c r="AD40" i="3" s="1"/>
  <c r="G40" i="3"/>
  <c r="E40" i="3"/>
  <c r="C40" i="3"/>
  <c r="CX39" i="3"/>
  <c r="CD39" i="3"/>
  <c r="CB39" i="3"/>
  <c r="BP39" i="3"/>
  <c r="BO39" i="3"/>
  <c r="BN39" i="3"/>
  <c r="BM39" i="3"/>
  <c r="BL39" i="3"/>
  <c r="BK39" i="3"/>
  <c r="BJ39" i="3"/>
  <c r="BI39" i="3"/>
  <c r="BH39" i="3"/>
  <c r="BE39" i="3"/>
  <c r="BD39" i="3"/>
  <c r="BC39" i="3"/>
  <c r="AW39" i="3"/>
  <c r="AV39" i="3"/>
  <c r="AU39" i="3"/>
  <c r="AT39" i="3"/>
  <c r="AS39" i="3"/>
  <c r="AN39" i="3"/>
  <c r="AL39" i="3"/>
  <c r="X39" i="3"/>
  <c r="W39" i="3"/>
  <c r="V39" i="3"/>
  <c r="U39" i="3"/>
  <c r="N39" i="3"/>
  <c r="M39" i="3"/>
  <c r="L39" i="3"/>
  <c r="K39" i="3"/>
  <c r="H39" i="3"/>
  <c r="AD39" i="3" s="1"/>
  <c r="G39" i="3"/>
  <c r="E39" i="3"/>
  <c r="C39" i="3"/>
  <c r="CX38" i="3"/>
  <c r="CD38" i="3"/>
  <c r="CB38" i="3"/>
  <c r="BP38" i="3"/>
  <c r="BO38" i="3"/>
  <c r="BN38" i="3"/>
  <c r="BM38" i="3"/>
  <c r="BL38" i="3"/>
  <c r="BK38" i="3"/>
  <c r="BJ38" i="3"/>
  <c r="BI38" i="3"/>
  <c r="BH38" i="3"/>
  <c r="BE38" i="3"/>
  <c r="BD38" i="3"/>
  <c r="BC38" i="3"/>
  <c r="AW38" i="3"/>
  <c r="AV38" i="3"/>
  <c r="AU38" i="3"/>
  <c r="AT38" i="3"/>
  <c r="AS38" i="3"/>
  <c r="AN38" i="3"/>
  <c r="AL38" i="3"/>
  <c r="X38" i="3"/>
  <c r="W38" i="3"/>
  <c r="V38" i="3"/>
  <c r="U38" i="3"/>
  <c r="N38" i="3"/>
  <c r="M38" i="3"/>
  <c r="L38" i="3"/>
  <c r="K38" i="3"/>
  <c r="H38" i="3"/>
  <c r="AD38" i="3" s="1"/>
  <c r="G38" i="3"/>
  <c r="E38" i="3"/>
  <c r="C38" i="3"/>
  <c r="CX37" i="3"/>
  <c r="CD37" i="3"/>
  <c r="CB37" i="3"/>
  <c r="BP37" i="3"/>
  <c r="BO37" i="3"/>
  <c r="BN37" i="3"/>
  <c r="BM37" i="3"/>
  <c r="BL37" i="3"/>
  <c r="BK37" i="3"/>
  <c r="BJ37" i="3"/>
  <c r="BI37" i="3"/>
  <c r="BH37" i="3"/>
  <c r="BE37" i="3"/>
  <c r="BD37" i="3"/>
  <c r="BC37" i="3"/>
  <c r="AW37" i="3"/>
  <c r="AV37" i="3"/>
  <c r="AU37" i="3"/>
  <c r="AT37" i="3"/>
  <c r="AS37" i="3"/>
  <c r="AN37" i="3"/>
  <c r="AL37" i="3"/>
  <c r="X37" i="3"/>
  <c r="W37" i="3"/>
  <c r="V37" i="3"/>
  <c r="U37" i="3"/>
  <c r="N37" i="3"/>
  <c r="M37" i="3"/>
  <c r="L37" i="3"/>
  <c r="K37" i="3"/>
  <c r="H37" i="3"/>
  <c r="AD37" i="3" s="1"/>
  <c r="G37" i="3"/>
  <c r="E37" i="3"/>
  <c r="C37" i="3"/>
  <c r="CX36" i="3"/>
  <c r="CD36" i="3"/>
  <c r="CB36" i="3"/>
  <c r="BP36" i="3"/>
  <c r="BO36" i="3"/>
  <c r="BN36" i="3"/>
  <c r="BM36" i="3"/>
  <c r="BL36" i="3"/>
  <c r="BK36" i="3"/>
  <c r="BJ36" i="3"/>
  <c r="BI36" i="3"/>
  <c r="BH36" i="3"/>
  <c r="BE36" i="3"/>
  <c r="BD36" i="3"/>
  <c r="BC36" i="3"/>
  <c r="AW36" i="3"/>
  <c r="AV36" i="3"/>
  <c r="AU36" i="3"/>
  <c r="AT36" i="3"/>
  <c r="AS36" i="3"/>
  <c r="AN36" i="3"/>
  <c r="AL36" i="3"/>
  <c r="X36" i="3"/>
  <c r="W36" i="3"/>
  <c r="V36" i="3"/>
  <c r="U36" i="3"/>
  <c r="N36" i="3"/>
  <c r="M36" i="3"/>
  <c r="L36" i="3"/>
  <c r="K36" i="3"/>
  <c r="H36" i="3"/>
  <c r="AD36" i="3" s="1"/>
  <c r="G36" i="3"/>
  <c r="E36" i="3"/>
  <c r="C36" i="3"/>
  <c r="CX35" i="3"/>
  <c r="CD35" i="3"/>
  <c r="CB35" i="3"/>
  <c r="BP35" i="3"/>
  <c r="BO35" i="3"/>
  <c r="BN35" i="3"/>
  <c r="BM35" i="3"/>
  <c r="BL35" i="3"/>
  <c r="BK35" i="3"/>
  <c r="BJ35" i="3"/>
  <c r="BI35" i="3"/>
  <c r="BH35" i="3"/>
  <c r="BE35" i="3"/>
  <c r="BD35" i="3"/>
  <c r="BC35" i="3"/>
  <c r="AW35" i="3"/>
  <c r="AV35" i="3"/>
  <c r="AU35" i="3"/>
  <c r="AT35" i="3"/>
  <c r="AS35" i="3"/>
  <c r="AN35" i="3"/>
  <c r="AL35" i="3"/>
  <c r="X35" i="3"/>
  <c r="W35" i="3"/>
  <c r="V35" i="3"/>
  <c r="U35" i="3"/>
  <c r="N35" i="3"/>
  <c r="M35" i="3"/>
  <c r="L35" i="3"/>
  <c r="K35" i="3"/>
  <c r="H35" i="3"/>
  <c r="AD35" i="3" s="1"/>
  <c r="G35" i="3"/>
  <c r="E35" i="3"/>
  <c r="C35" i="3"/>
  <c r="CX34" i="3"/>
  <c r="CD34" i="3"/>
  <c r="CB34" i="3"/>
  <c r="BP34" i="3"/>
  <c r="BO34" i="3"/>
  <c r="BN34" i="3"/>
  <c r="BM34" i="3"/>
  <c r="BL34" i="3"/>
  <c r="BK34" i="3"/>
  <c r="BJ34" i="3"/>
  <c r="BI34" i="3"/>
  <c r="BH34" i="3"/>
  <c r="BE34" i="3"/>
  <c r="BD34" i="3"/>
  <c r="BC34" i="3"/>
  <c r="AW34" i="3"/>
  <c r="AV34" i="3"/>
  <c r="AU34" i="3"/>
  <c r="AT34" i="3"/>
  <c r="AS34" i="3"/>
  <c r="AN34" i="3"/>
  <c r="AL34" i="3"/>
  <c r="X34" i="3"/>
  <c r="W34" i="3"/>
  <c r="V34" i="3"/>
  <c r="U34" i="3"/>
  <c r="N34" i="3"/>
  <c r="M34" i="3"/>
  <c r="L34" i="3"/>
  <c r="K34" i="3"/>
  <c r="H34" i="3"/>
  <c r="AD34" i="3" s="1"/>
  <c r="G34" i="3"/>
  <c r="E34" i="3"/>
  <c r="C34" i="3"/>
  <c r="CX33" i="3"/>
  <c r="CD33" i="3"/>
  <c r="CB33" i="3"/>
  <c r="BP33" i="3"/>
  <c r="BO33" i="3"/>
  <c r="BN33" i="3"/>
  <c r="BM33" i="3"/>
  <c r="BL33" i="3"/>
  <c r="BK33" i="3"/>
  <c r="BJ33" i="3"/>
  <c r="BI33" i="3"/>
  <c r="BH33" i="3"/>
  <c r="BE33" i="3"/>
  <c r="BD33" i="3"/>
  <c r="BC33" i="3"/>
  <c r="AW33" i="3"/>
  <c r="AV33" i="3"/>
  <c r="AU33" i="3"/>
  <c r="AT33" i="3"/>
  <c r="AS33" i="3"/>
  <c r="AN33" i="3"/>
  <c r="AL33" i="3"/>
  <c r="X33" i="3"/>
  <c r="W33" i="3"/>
  <c r="V33" i="3"/>
  <c r="U33" i="3"/>
  <c r="N33" i="3"/>
  <c r="M33" i="3"/>
  <c r="L33" i="3"/>
  <c r="K33" i="3"/>
  <c r="H33" i="3"/>
  <c r="AD33" i="3" s="1"/>
  <c r="G33" i="3"/>
  <c r="E33" i="3"/>
  <c r="C33" i="3"/>
  <c r="CX32" i="3"/>
  <c r="CD32" i="3"/>
  <c r="CB32" i="3"/>
  <c r="BP32" i="3"/>
  <c r="BO32" i="3"/>
  <c r="BN32" i="3"/>
  <c r="BM32" i="3"/>
  <c r="BL32" i="3"/>
  <c r="BK32" i="3"/>
  <c r="BJ32" i="3"/>
  <c r="BI32" i="3"/>
  <c r="BH32" i="3"/>
  <c r="BE32" i="3"/>
  <c r="BD32" i="3"/>
  <c r="BC32" i="3"/>
  <c r="AW32" i="3"/>
  <c r="AV32" i="3"/>
  <c r="AU32" i="3"/>
  <c r="AT32" i="3"/>
  <c r="AS32" i="3"/>
  <c r="AN32" i="3"/>
  <c r="AL32" i="3"/>
  <c r="X32" i="3"/>
  <c r="W32" i="3"/>
  <c r="V32" i="3"/>
  <c r="U32" i="3"/>
  <c r="N32" i="3"/>
  <c r="M32" i="3"/>
  <c r="L32" i="3"/>
  <c r="K32" i="3"/>
  <c r="H32" i="3"/>
  <c r="AD32" i="3" s="1"/>
  <c r="G32" i="3"/>
  <c r="E32" i="3"/>
  <c r="C32" i="3"/>
  <c r="CX31" i="3"/>
  <c r="CD31" i="3"/>
  <c r="CB31" i="3"/>
  <c r="BP31" i="3"/>
  <c r="BO31" i="3"/>
  <c r="BN31" i="3"/>
  <c r="BM31" i="3"/>
  <c r="BL31" i="3"/>
  <c r="BK31" i="3"/>
  <c r="BJ31" i="3"/>
  <c r="BI31" i="3"/>
  <c r="BH31" i="3"/>
  <c r="BE31" i="3"/>
  <c r="BD31" i="3"/>
  <c r="BC31" i="3"/>
  <c r="AW31" i="3"/>
  <c r="AV31" i="3"/>
  <c r="AU31" i="3"/>
  <c r="AT31" i="3"/>
  <c r="AS31" i="3"/>
  <c r="AN31" i="3"/>
  <c r="AL31" i="3"/>
  <c r="X31" i="3"/>
  <c r="W31" i="3"/>
  <c r="V31" i="3"/>
  <c r="U31" i="3"/>
  <c r="N31" i="3"/>
  <c r="M31" i="3"/>
  <c r="L31" i="3"/>
  <c r="K31" i="3"/>
  <c r="H31" i="3"/>
  <c r="AD31" i="3" s="1"/>
  <c r="G31" i="3"/>
  <c r="E31" i="3"/>
  <c r="C31" i="3"/>
  <c r="CX30" i="3"/>
  <c r="CD30" i="3"/>
  <c r="CB30" i="3"/>
  <c r="BP30" i="3"/>
  <c r="BO30" i="3"/>
  <c r="BN30" i="3"/>
  <c r="BM30" i="3"/>
  <c r="BL30" i="3"/>
  <c r="BK30" i="3"/>
  <c r="BJ30" i="3"/>
  <c r="BI30" i="3"/>
  <c r="BH30" i="3"/>
  <c r="BE30" i="3"/>
  <c r="BD30" i="3"/>
  <c r="BC30" i="3"/>
  <c r="AW30" i="3"/>
  <c r="AV30" i="3"/>
  <c r="AU30" i="3"/>
  <c r="AT30" i="3"/>
  <c r="AS30" i="3"/>
  <c r="AN30" i="3"/>
  <c r="AL30" i="3"/>
  <c r="X30" i="3"/>
  <c r="W30" i="3"/>
  <c r="V30" i="3"/>
  <c r="U30" i="3"/>
  <c r="N30" i="3"/>
  <c r="M30" i="3"/>
  <c r="L30" i="3"/>
  <c r="K30" i="3"/>
  <c r="H30" i="3"/>
  <c r="AD30" i="3" s="1"/>
  <c r="G30" i="3"/>
  <c r="E30" i="3"/>
  <c r="C30" i="3"/>
  <c r="CX29" i="3"/>
  <c r="CD29" i="3"/>
  <c r="CB29" i="3"/>
  <c r="BP29" i="3"/>
  <c r="BO29" i="3"/>
  <c r="BN29" i="3"/>
  <c r="BM29" i="3"/>
  <c r="BL29" i="3"/>
  <c r="BK29" i="3"/>
  <c r="BJ29" i="3"/>
  <c r="BI29" i="3"/>
  <c r="BH29" i="3"/>
  <c r="BE29" i="3"/>
  <c r="BD29" i="3"/>
  <c r="BC29" i="3"/>
  <c r="AW29" i="3"/>
  <c r="AV29" i="3"/>
  <c r="AU29" i="3"/>
  <c r="AT29" i="3"/>
  <c r="AS29" i="3"/>
  <c r="AN29" i="3"/>
  <c r="AL29" i="3"/>
  <c r="AD29" i="3"/>
  <c r="X29" i="3"/>
  <c r="W29" i="3"/>
  <c r="V29" i="3"/>
  <c r="U29" i="3"/>
  <c r="AB29" i="3" s="1"/>
  <c r="AC29" i="3" s="1"/>
  <c r="N29" i="3"/>
  <c r="M29" i="3"/>
  <c r="L29" i="3"/>
  <c r="K29" i="3"/>
  <c r="H29" i="3"/>
  <c r="G29" i="3"/>
  <c r="E29" i="3"/>
  <c r="C29" i="3"/>
  <c r="CX28" i="3"/>
  <c r="CD28" i="3"/>
  <c r="CB28" i="3"/>
  <c r="BP28" i="3"/>
  <c r="BO28" i="3"/>
  <c r="BN28" i="3"/>
  <c r="BM28" i="3"/>
  <c r="BL28" i="3"/>
  <c r="BK28" i="3"/>
  <c r="BJ28" i="3"/>
  <c r="BI28" i="3"/>
  <c r="BH28" i="3"/>
  <c r="BE28" i="3"/>
  <c r="BD28" i="3"/>
  <c r="BC28" i="3"/>
  <c r="AW28" i="3"/>
  <c r="AV28" i="3"/>
  <c r="AU28" i="3"/>
  <c r="AT28" i="3"/>
  <c r="AS28" i="3"/>
  <c r="AN28" i="3"/>
  <c r="AL28" i="3"/>
  <c r="X28" i="3"/>
  <c r="W28" i="3"/>
  <c r="V28" i="3"/>
  <c r="U28" i="3"/>
  <c r="AB28" i="3" s="1"/>
  <c r="AC28" i="3" s="1"/>
  <c r="N28" i="3"/>
  <c r="M28" i="3"/>
  <c r="L28" i="3"/>
  <c r="K28" i="3"/>
  <c r="H28" i="3"/>
  <c r="AD28" i="3" s="1"/>
  <c r="G28" i="3"/>
  <c r="E28" i="3"/>
  <c r="C28" i="3"/>
  <c r="CX27" i="3"/>
  <c r="CD27" i="3"/>
  <c r="CB27" i="3"/>
  <c r="BP27" i="3"/>
  <c r="BO27" i="3"/>
  <c r="BN27" i="3"/>
  <c r="BM27" i="3"/>
  <c r="BL27" i="3"/>
  <c r="BK27" i="3"/>
  <c r="BJ27" i="3"/>
  <c r="BI27" i="3"/>
  <c r="BH27" i="3"/>
  <c r="BE27" i="3"/>
  <c r="BD27" i="3"/>
  <c r="BC27" i="3"/>
  <c r="AW27" i="3"/>
  <c r="AV27" i="3"/>
  <c r="AU27" i="3"/>
  <c r="AT27" i="3"/>
  <c r="AS27" i="3"/>
  <c r="AN27" i="3"/>
  <c r="AL27" i="3"/>
  <c r="X27" i="3"/>
  <c r="W27" i="3"/>
  <c r="V27" i="3"/>
  <c r="U27" i="3"/>
  <c r="N27" i="3"/>
  <c r="M27" i="3"/>
  <c r="L27" i="3"/>
  <c r="K27" i="3"/>
  <c r="H27" i="3"/>
  <c r="AD27" i="3" s="1"/>
  <c r="G27" i="3"/>
  <c r="E27" i="3"/>
  <c r="C27" i="3"/>
  <c r="CX26" i="3"/>
  <c r="CD26" i="3"/>
  <c r="CB26" i="3"/>
  <c r="BP26" i="3"/>
  <c r="BO26" i="3"/>
  <c r="BN26" i="3"/>
  <c r="BM26" i="3"/>
  <c r="BL26" i="3"/>
  <c r="BK26" i="3"/>
  <c r="BJ26" i="3"/>
  <c r="BI26" i="3"/>
  <c r="BH26" i="3"/>
  <c r="BE26" i="3"/>
  <c r="BD26" i="3"/>
  <c r="BC26" i="3"/>
  <c r="AW26" i="3"/>
  <c r="AV26" i="3"/>
  <c r="AU26" i="3"/>
  <c r="AT26" i="3"/>
  <c r="AS26" i="3"/>
  <c r="AN26" i="3"/>
  <c r="AL26" i="3"/>
  <c r="X26" i="3"/>
  <c r="W26" i="3"/>
  <c r="V26" i="3"/>
  <c r="U26" i="3"/>
  <c r="N26" i="3"/>
  <c r="M26" i="3"/>
  <c r="L26" i="3"/>
  <c r="K26" i="3"/>
  <c r="H26" i="3"/>
  <c r="AD26" i="3" s="1"/>
  <c r="G26" i="3"/>
  <c r="E26" i="3"/>
  <c r="C26" i="3"/>
  <c r="CX25" i="3"/>
  <c r="CD25" i="3"/>
  <c r="CB25" i="3"/>
  <c r="BP25" i="3"/>
  <c r="BO25" i="3"/>
  <c r="BN25" i="3"/>
  <c r="BM25" i="3"/>
  <c r="BL25" i="3"/>
  <c r="BK25" i="3"/>
  <c r="BJ25" i="3"/>
  <c r="BI25" i="3"/>
  <c r="BH25" i="3"/>
  <c r="BE25" i="3"/>
  <c r="BD25" i="3"/>
  <c r="BC25" i="3"/>
  <c r="AW25" i="3"/>
  <c r="AV25" i="3"/>
  <c r="AU25" i="3"/>
  <c r="AT25" i="3"/>
  <c r="AS25" i="3"/>
  <c r="AN25" i="3"/>
  <c r="AL25" i="3"/>
  <c r="X25" i="3"/>
  <c r="W25" i="3"/>
  <c r="V25" i="3"/>
  <c r="U25" i="3"/>
  <c r="N25" i="3"/>
  <c r="M25" i="3"/>
  <c r="L25" i="3"/>
  <c r="K25" i="3"/>
  <c r="H25" i="3"/>
  <c r="AD25" i="3" s="1"/>
  <c r="G25" i="3"/>
  <c r="E25" i="3"/>
  <c r="C25" i="3"/>
  <c r="CX24" i="3"/>
  <c r="CD24" i="3"/>
  <c r="CB24" i="3"/>
  <c r="BP24" i="3"/>
  <c r="BO24" i="3"/>
  <c r="BN24" i="3"/>
  <c r="BM24" i="3"/>
  <c r="BL24" i="3"/>
  <c r="BK24" i="3"/>
  <c r="BJ24" i="3"/>
  <c r="BI24" i="3"/>
  <c r="BH24" i="3"/>
  <c r="BE24" i="3"/>
  <c r="BD24" i="3"/>
  <c r="BC24" i="3"/>
  <c r="AW24" i="3"/>
  <c r="AV24" i="3"/>
  <c r="AU24" i="3"/>
  <c r="AT24" i="3"/>
  <c r="AS24" i="3"/>
  <c r="AN24" i="3"/>
  <c r="AL24" i="3"/>
  <c r="X24" i="3"/>
  <c r="W24" i="3"/>
  <c r="V24" i="3"/>
  <c r="U24" i="3"/>
  <c r="N24" i="3"/>
  <c r="M24" i="3"/>
  <c r="L24" i="3"/>
  <c r="K24" i="3"/>
  <c r="H24" i="3"/>
  <c r="AD24" i="3" s="1"/>
  <c r="G24" i="3"/>
  <c r="E24" i="3"/>
  <c r="C24" i="3"/>
  <c r="CE21" i="3"/>
  <c r="BY21" i="3"/>
  <c r="E21" i="3"/>
  <c r="C21" i="3"/>
  <c r="CE20" i="3"/>
  <c r="BY20" i="3"/>
  <c r="BD20" i="3" s="1"/>
  <c r="E20" i="3"/>
  <c r="C20" i="3"/>
  <c r="CE19" i="3"/>
  <c r="BY19" i="3"/>
  <c r="BC19" i="3" s="1"/>
  <c r="CF19" i="3" s="1"/>
  <c r="CJ19" i="3" s="1"/>
  <c r="E19" i="3"/>
  <c r="C19" i="3"/>
  <c r="CE18" i="3"/>
  <c r="BY18" i="3"/>
  <c r="BD18" i="3" s="1"/>
  <c r="E18" i="3"/>
  <c r="C18" i="3"/>
  <c r="CE17" i="3"/>
  <c r="BY17" i="3"/>
  <c r="BD17" i="3" s="1"/>
  <c r="E17" i="3"/>
  <c r="C17" i="3"/>
  <c r="CE16" i="3"/>
  <c r="BY16" i="3"/>
  <c r="E16" i="3"/>
  <c r="C16" i="3"/>
  <c r="CE15" i="3"/>
  <c r="BY15" i="3"/>
  <c r="BD15" i="3" s="1"/>
  <c r="E15" i="3"/>
  <c r="C15" i="3"/>
  <c r="CE14" i="3"/>
  <c r="BY14" i="3"/>
  <c r="BD14" i="3" s="1"/>
  <c r="E14" i="3"/>
  <c r="C14" i="3"/>
  <c r="CE13" i="3"/>
  <c r="BY13" i="3"/>
  <c r="BD13" i="3" s="1"/>
  <c r="E13" i="3"/>
  <c r="C13" i="3"/>
  <c r="CE12" i="3"/>
  <c r="BY12" i="3"/>
  <c r="BD12" i="3" s="1"/>
  <c r="E12" i="3"/>
  <c r="C12" i="3"/>
  <c r="CE11" i="3"/>
  <c r="BY11" i="3"/>
  <c r="BC11" i="3" s="1"/>
  <c r="E11" i="3"/>
  <c r="C11" i="3"/>
  <c r="CE10" i="3"/>
  <c r="BY10" i="3"/>
  <c r="BD10" i="3" s="1"/>
  <c r="E10" i="3"/>
  <c r="C10" i="3"/>
  <c r="CE9" i="3"/>
  <c r="BY9" i="3"/>
  <c r="BD9" i="3" s="1"/>
  <c r="E9" i="3"/>
  <c r="C9" i="3"/>
  <c r="CE8" i="3"/>
  <c r="BY8" i="3"/>
  <c r="E8" i="3"/>
  <c r="C8" i="3"/>
  <c r="CE7" i="3"/>
  <c r="BY7" i="3"/>
  <c r="BD7" i="3" s="1"/>
  <c r="E7" i="3"/>
  <c r="C7" i="3"/>
  <c r="CE6" i="3"/>
  <c r="BY6" i="3"/>
  <c r="BD6" i="3" s="1"/>
  <c r="E6" i="3"/>
  <c r="C6" i="3"/>
  <c r="CE5" i="3"/>
  <c r="BY5" i="3"/>
  <c r="BD5" i="3" s="1"/>
  <c r="E5" i="3"/>
  <c r="C5" i="3"/>
  <c r="CE4" i="3"/>
  <c r="BY4" i="3"/>
  <c r="BD4" i="3" s="1"/>
  <c r="E4" i="3"/>
  <c r="C4" i="3"/>
  <c r="CE3" i="3"/>
  <c r="BY3" i="3"/>
  <c r="BC3" i="3" s="1"/>
  <c r="E3" i="3"/>
  <c r="C3" i="3"/>
  <c r="CE2" i="3"/>
  <c r="BY2" i="3"/>
  <c r="BD2" i="3" s="1"/>
  <c r="E2" i="3"/>
  <c r="C2" i="3"/>
  <c r="C57" i="1"/>
  <c r="C60" i="1"/>
  <c r="BP39" i="1"/>
  <c r="AS38" i="1"/>
  <c r="C37" i="1"/>
  <c r="C36" i="1"/>
  <c r="C35" i="1"/>
  <c r="C34" i="1"/>
  <c r="BO33" i="1"/>
  <c r="BP32" i="1"/>
  <c r="C31" i="1"/>
  <c r="C30" i="1"/>
  <c r="C29" i="1"/>
  <c r="BN28" i="1"/>
  <c r="C93" i="1"/>
  <c r="C94" i="1"/>
  <c r="C95" i="1"/>
  <c r="C97" i="1"/>
  <c r="C101" i="1"/>
  <c r="C102" i="1"/>
  <c r="C104" i="1"/>
  <c r="C88" i="1"/>
  <c r="C107" i="1"/>
  <c r="C106" i="1"/>
  <c r="C105" i="1"/>
  <c r="C103" i="1"/>
  <c r="C100" i="1"/>
  <c r="C99" i="1"/>
  <c r="C98" i="1"/>
  <c r="C96" i="1"/>
  <c r="C92" i="1"/>
  <c r="C91" i="1"/>
  <c r="C90" i="1"/>
  <c r="C89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K40" i="1"/>
  <c r="C50" i="1"/>
  <c r="C51" i="1"/>
  <c r="C52" i="1"/>
  <c r="C53" i="1"/>
  <c r="C54" i="1"/>
  <c r="C55" i="1"/>
  <c r="C56" i="1"/>
  <c r="C25" i="1"/>
  <c r="C26" i="1"/>
  <c r="C27" i="1"/>
  <c r="C41" i="1"/>
  <c r="C42" i="1"/>
  <c r="CV43" i="1"/>
  <c r="C44" i="1"/>
  <c r="C45" i="1"/>
  <c r="C46" i="1"/>
  <c r="C47" i="1"/>
  <c r="C48" i="1"/>
  <c r="C49" i="1"/>
  <c r="C58" i="1"/>
  <c r="C59" i="1"/>
  <c r="C61" i="1"/>
  <c r="C62" i="1"/>
  <c r="C63" i="1"/>
  <c r="CV24" i="1"/>
  <c r="CB63" i="1"/>
  <c r="X63" i="1"/>
  <c r="W63" i="1"/>
  <c r="V63" i="1"/>
  <c r="U63" i="1"/>
  <c r="N63" i="1"/>
  <c r="M63" i="1"/>
  <c r="L63" i="1"/>
  <c r="K63" i="1"/>
  <c r="H63" i="1"/>
  <c r="G63" i="1"/>
  <c r="E63" i="1"/>
  <c r="CB62" i="1"/>
  <c r="X62" i="1"/>
  <c r="W62" i="1"/>
  <c r="V62" i="1"/>
  <c r="U62" i="1"/>
  <c r="N62" i="1"/>
  <c r="M62" i="1"/>
  <c r="L62" i="1"/>
  <c r="K62" i="1"/>
  <c r="H62" i="1"/>
  <c r="G62" i="1"/>
  <c r="E62" i="1"/>
  <c r="CB61" i="1"/>
  <c r="X61" i="1"/>
  <c r="W61" i="1"/>
  <c r="V61" i="1"/>
  <c r="U61" i="1"/>
  <c r="N61" i="1"/>
  <c r="M61" i="1"/>
  <c r="L61" i="1"/>
  <c r="K61" i="1"/>
  <c r="H61" i="1"/>
  <c r="G61" i="1"/>
  <c r="E61" i="1"/>
  <c r="CB60" i="1"/>
  <c r="X60" i="1"/>
  <c r="W60" i="1"/>
  <c r="V60" i="1"/>
  <c r="U60" i="1"/>
  <c r="N60" i="1"/>
  <c r="M60" i="1"/>
  <c r="L60" i="1"/>
  <c r="K60" i="1"/>
  <c r="H60" i="1"/>
  <c r="G60" i="1"/>
  <c r="E60" i="1"/>
  <c r="CB59" i="1"/>
  <c r="X59" i="1"/>
  <c r="W59" i="1"/>
  <c r="V59" i="1"/>
  <c r="U59" i="1"/>
  <c r="N59" i="1"/>
  <c r="M59" i="1"/>
  <c r="L59" i="1"/>
  <c r="K59" i="1"/>
  <c r="H59" i="1"/>
  <c r="G59" i="1"/>
  <c r="E59" i="1"/>
  <c r="CB58" i="1"/>
  <c r="X58" i="1"/>
  <c r="W58" i="1"/>
  <c r="V58" i="1"/>
  <c r="U58" i="1"/>
  <c r="N58" i="1"/>
  <c r="M58" i="1"/>
  <c r="L58" i="1"/>
  <c r="K58" i="1"/>
  <c r="H58" i="1"/>
  <c r="G58" i="1"/>
  <c r="E58" i="1"/>
  <c r="CB57" i="1"/>
  <c r="X57" i="1"/>
  <c r="W57" i="1"/>
  <c r="V57" i="1"/>
  <c r="U57" i="1"/>
  <c r="N57" i="1"/>
  <c r="M57" i="1"/>
  <c r="L57" i="1"/>
  <c r="K57" i="1"/>
  <c r="H57" i="1"/>
  <c r="G57" i="1"/>
  <c r="E57" i="1"/>
  <c r="CB56" i="1"/>
  <c r="X56" i="1"/>
  <c r="W56" i="1"/>
  <c r="V56" i="1"/>
  <c r="U56" i="1"/>
  <c r="N56" i="1"/>
  <c r="M56" i="1"/>
  <c r="L56" i="1"/>
  <c r="K56" i="1"/>
  <c r="H56" i="1"/>
  <c r="G56" i="1"/>
  <c r="E56" i="1"/>
  <c r="CB55" i="1"/>
  <c r="X55" i="1"/>
  <c r="W55" i="1"/>
  <c r="V55" i="1"/>
  <c r="U55" i="1"/>
  <c r="N55" i="1"/>
  <c r="M55" i="1"/>
  <c r="L55" i="1"/>
  <c r="K55" i="1"/>
  <c r="H55" i="1"/>
  <c r="G55" i="1"/>
  <c r="E55" i="1"/>
  <c r="CB54" i="1"/>
  <c r="X54" i="1"/>
  <c r="W54" i="1"/>
  <c r="V54" i="1"/>
  <c r="U54" i="1"/>
  <c r="N54" i="1"/>
  <c r="M54" i="1"/>
  <c r="L54" i="1"/>
  <c r="K54" i="1"/>
  <c r="H54" i="1"/>
  <c r="G54" i="1"/>
  <c r="E54" i="1"/>
  <c r="CB53" i="1"/>
  <c r="X53" i="1"/>
  <c r="W53" i="1"/>
  <c r="V53" i="1"/>
  <c r="U53" i="1"/>
  <c r="N53" i="1"/>
  <c r="M53" i="1"/>
  <c r="L53" i="1"/>
  <c r="K53" i="1"/>
  <c r="H53" i="1"/>
  <c r="G53" i="1"/>
  <c r="E53" i="1"/>
  <c r="CB52" i="1"/>
  <c r="X52" i="1"/>
  <c r="W52" i="1"/>
  <c r="V52" i="1"/>
  <c r="U52" i="1"/>
  <c r="N52" i="1"/>
  <c r="M52" i="1"/>
  <c r="L52" i="1"/>
  <c r="K52" i="1"/>
  <c r="H52" i="1"/>
  <c r="G52" i="1"/>
  <c r="E52" i="1"/>
  <c r="CB51" i="1"/>
  <c r="X51" i="1"/>
  <c r="W51" i="1"/>
  <c r="V51" i="1"/>
  <c r="U51" i="1"/>
  <c r="N51" i="1"/>
  <c r="M51" i="1"/>
  <c r="L51" i="1"/>
  <c r="K51" i="1"/>
  <c r="H51" i="1"/>
  <c r="G51" i="1"/>
  <c r="E51" i="1"/>
  <c r="CB50" i="1"/>
  <c r="X50" i="1"/>
  <c r="W50" i="1"/>
  <c r="V50" i="1"/>
  <c r="U50" i="1"/>
  <c r="N50" i="1"/>
  <c r="M50" i="1"/>
  <c r="L50" i="1"/>
  <c r="K50" i="1"/>
  <c r="H50" i="1"/>
  <c r="G50" i="1"/>
  <c r="E50" i="1"/>
  <c r="CB49" i="1"/>
  <c r="X49" i="1"/>
  <c r="W49" i="1"/>
  <c r="V49" i="1"/>
  <c r="U49" i="1"/>
  <c r="N49" i="1"/>
  <c r="M49" i="1"/>
  <c r="L49" i="1"/>
  <c r="K49" i="1"/>
  <c r="H49" i="1"/>
  <c r="G49" i="1"/>
  <c r="E49" i="1"/>
  <c r="CB48" i="1"/>
  <c r="X48" i="1"/>
  <c r="W48" i="1"/>
  <c r="V48" i="1"/>
  <c r="U48" i="1"/>
  <c r="AB48" i="1" s="1"/>
  <c r="N48" i="1"/>
  <c r="M48" i="1"/>
  <c r="L48" i="1"/>
  <c r="K48" i="1"/>
  <c r="H48" i="1"/>
  <c r="G48" i="1"/>
  <c r="E48" i="1"/>
  <c r="CB47" i="1"/>
  <c r="X47" i="1"/>
  <c r="W47" i="1"/>
  <c r="V47" i="1"/>
  <c r="U47" i="1"/>
  <c r="N47" i="1"/>
  <c r="M47" i="1"/>
  <c r="L47" i="1"/>
  <c r="K47" i="1"/>
  <c r="H47" i="1"/>
  <c r="G47" i="1"/>
  <c r="E47" i="1"/>
  <c r="CB46" i="1"/>
  <c r="X46" i="1"/>
  <c r="W46" i="1"/>
  <c r="V46" i="1"/>
  <c r="U46" i="1"/>
  <c r="N46" i="1"/>
  <c r="M46" i="1"/>
  <c r="L46" i="1"/>
  <c r="K46" i="1"/>
  <c r="H46" i="1"/>
  <c r="G46" i="1"/>
  <c r="E46" i="1"/>
  <c r="CB45" i="1"/>
  <c r="X45" i="1"/>
  <c r="W45" i="1"/>
  <c r="V45" i="1"/>
  <c r="U45" i="1"/>
  <c r="N45" i="1"/>
  <c r="M45" i="1"/>
  <c r="L45" i="1"/>
  <c r="K45" i="1"/>
  <c r="H45" i="1"/>
  <c r="G45" i="1"/>
  <c r="E45" i="1"/>
  <c r="CB44" i="1"/>
  <c r="X44" i="1"/>
  <c r="W44" i="1"/>
  <c r="V44" i="1"/>
  <c r="U44" i="1"/>
  <c r="N44" i="1"/>
  <c r="M44" i="1"/>
  <c r="L44" i="1"/>
  <c r="K44" i="1"/>
  <c r="H44" i="1"/>
  <c r="G44" i="1"/>
  <c r="E44" i="1"/>
  <c r="BH43" i="1"/>
  <c r="BD43" i="1"/>
  <c r="BC43" i="1"/>
  <c r="CB43" i="1"/>
  <c r="CD43" i="1"/>
  <c r="AW43" i="1"/>
  <c r="X43" i="1"/>
  <c r="W43" i="1"/>
  <c r="V43" i="1"/>
  <c r="U43" i="1"/>
  <c r="N43" i="1"/>
  <c r="M43" i="1"/>
  <c r="L43" i="1"/>
  <c r="K43" i="1"/>
  <c r="H43" i="1"/>
  <c r="AD43" i="1" s="1"/>
  <c r="G43" i="1"/>
  <c r="E43" i="1"/>
  <c r="CV42" i="1"/>
  <c r="BP42" i="1"/>
  <c r="BO42" i="1"/>
  <c r="BN42" i="1"/>
  <c r="BM42" i="1"/>
  <c r="BL42" i="1"/>
  <c r="BK42" i="1"/>
  <c r="BJ42" i="1"/>
  <c r="BI42" i="1"/>
  <c r="BH42" i="1"/>
  <c r="BE42" i="1"/>
  <c r="BD42" i="1"/>
  <c r="BC42" i="1"/>
  <c r="CB42" i="1"/>
  <c r="CD42" i="1"/>
  <c r="AW42" i="1"/>
  <c r="AV42" i="1"/>
  <c r="AU42" i="1"/>
  <c r="AT42" i="1"/>
  <c r="AS42" i="1"/>
  <c r="AN42" i="1"/>
  <c r="AL42" i="1"/>
  <c r="X42" i="1"/>
  <c r="W42" i="1"/>
  <c r="V42" i="1"/>
  <c r="U42" i="1"/>
  <c r="N42" i="1"/>
  <c r="M42" i="1"/>
  <c r="L42" i="1"/>
  <c r="K42" i="1"/>
  <c r="H42" i="1"/>
  <c r="AD42" i="1" s="1"/>
  <c r="G42" i="1"/>
  <c r="E42" i="1"/>
  <c r="CV41" i="1"/>
  <c r="BP41" i="1"/>
  <c r="BO41" i="1"/>
  <c r="BL41" i="1"/>
  <c r="BJ41" i="1"/>
  <c r="BI41" i="1"/>
  <c r="BE41" i="1"/>
  <c r="CB41" i="1"/>
  <c r="CD41" i="1"/>
  <c r="AW41" i="1"/>
  <c r="AV41" i="1"/>
  <c r="AU41" i="1"/>
  <c r="AT41" i="1"/>
  <c r="AL41" i="1"/>
  <c r="X41" i="1"/>
  <c r="W41" i="1"/>
  <c r="V41" i="1"/>
  <c r="U41" i="1"/>
  <c r="N41" i="1"/>
  <c r="M41" i="1"/>
  <c r="L41" i="1"/>
  <c r="K41" i="1"/>
  <c r="H41" i="1"/>
  <c r="AD41" i="1" s="1"/>
  <c r="G41" i="1"/>
  <c r="E41" i="1"/>
  <c r="CB40" i="1"/>
  <c r="CD40" i="1"/>
  <c r="X40" i="1"/>
  <c r="W40" i="1"/>
  <c r="V40" i="1"/>
  <c r="U40" i="1"/>
  <c r="N40" i="1"/>
  <c r="M40" i="1"/>
  <c r="L40" i="1"/>
  <c r="K40" i="1"/>
  <c r="H40" i="1"/>
  <c r="AD40" i="1" s="1"/>
  <c r="G40" i="1"/>
  <c r="E40" i="1"/>
  <c r="CV39" i="1"/>
  <c r="CB39" i="1"/>
  <c r="CD39" i="1"/>
  <c r="X39" i="1"/>
  <c r="W39" i="1"/>
  <c r="V39" i="1"/>
  <c r="U39" i="1"/>
  <c r="N39" i="1"/>
  <c r="M39" i="1"/>
  <c r="L39" i="1"/>
  <c r="K39" i="1"/>
  <c r="H39" i="1"/>
  <c r="AD39" i="1" s="1"/>
  <c r="G39" i="1"/>
  <c r="E39" i="1"/>
  <c r="BC38" i="1"/>
  <c r="CB38" i="1"/>
  <c r="CD38" i="1"/>
  <c r="AW38" i="1"/>
  <c r="AU38" i="1"/>
  <c r="AT38" i="1"/>
  <c r="X38" i="1"/>
  <c r="W38" i="1"/>
  <c r="V38" i="1"/>
  <c r="U38" i="1"/>
  <c r="N38" i="1"/>
  <c r="M38" i="1"/>
  <c r="L38" i="1"/>
  <c r="K38" i="1"/>
  <c r="H38" i="1"/>
  <c r="AD38" i="1" s="1"/>
  <c r="G38" i="1"/>
  <c r="E38" i="1"/>
  <c r="CV37" i="1"/>
  <c r="BP37" i="1"/>
  <c r="BO37" i="1"/>
  <c r="BN37" i="1"/>
  <c r="BM37" i="1"/>
  <c r="BL37" i="1"/>
  <c r="BK37" i="1"/>
  <c r="BJ37" i="1"/>
  <c r="BI37" i="1"/>
  <c r="BH37" i="1"/>
  <c r="BE37" i="1"/>
  <c r="BD37" i="1"/>
  <c r="BC37" i="1"/>
  <c r="CB37" i="1"/>
  <c r="CD37" i="1"/>
  <c r="AW37" i="1"/>
  <c r="AV37" i="1"/>
  <c r="AU37" i="1"/>
  <c r="AT37" i="1"/>
  <c r="AS37" i="1"/>
  <c r="AN37" i="1"/>
  <c r="AL37" i="1"/>
  <c r="X37" i="1"/>
  <c r="W37" i="1"/>
  <c r="V37" i="1"/>
  <c r="U37" i="1"/>
  <c r="N37" i="1"/>
  <c r="M37" i="1"/>
  <c r="L37" i="1"/>
  <c r="K37" i="1"/>
  <c r="H37" i="1"/>
  <c r="AD37" i="1" s="1"/>
  <c r="G37" i="1"/>
  <c r="E37" i="1"/>
  <c r="CV36" i="1"/>
  <c r="BP36" i="1"/>
  <c r="BO36" i="1"/>
  <c r="BN36" i="1"/>
  <c r="BM36" i="1"/>
  <c r="BL36" i="1"/>
  <c r="BK36" i="1"/>
  <c r="BJ36" i="1"/>
  <c r="BI36" i="1"/>
  <c r="BH36" i="1"/>
  <c r="BE36" i="1"/>
  <c r="BD36" i="1"/>
  <c r="BC36" i="1"/>
  <c r="CB36" i="1"/>
  <c r="CD36" i="1"/>
  <c r="AW36" i="1"/>
  <c r="AV36" i="1"/>
  <c r="AU36" i="1"/>
  <c r="AT36" i="1"/>
  <c r="AS36" i="1"/>
  <c r="AN36" i="1"/>
  <c r="AL36" i="1"/>
  <c r="X36" i="1"/>
  <c r="W36" i="1"/>
  <c r="V36" i="1"/>
  <c r="U36" i="1"/>
  <c r="N36" i="1"/>
  <c r="M36" i="1"/>
  <c r="L36" i="1"/>
  <c r="K36" i="1"/>
  <c r="H36" i="1"/>
  <c r="AD36" i="1" s="1"/>
  <c r="G36" i="1"/>
  <c r="E36" i="1"/>
  <c r="CV35" i="1"/>
  <c r="BP35" i="1"/>
  <c r="BO35" i="1"/>
  <c r="BN35" i="1"/>
  <c r="BM35" i="1"/>
  <c r="BL35" i="1"/>
  <c r="BK35" i="1"/>
  <c r="BJ35" i="1"/>
  <c r="BI35" i="1"/>
  <c r="BH35" i="1"/>
  <c r="BE35" i="1"/>
  <c r="BD35" i="1"/>
  <c r="BC35" i="1"/>
  <c r="CB35" i="1"/>
  <c r="CD35" i="1"/>
  <c r="AW35" i="1"/>
  <c r="AV35" i="1"/>
  <c r="AU35" i="1"/>
  <c r="AT35" i="1"/>
  <c r="AS35" i="1"/>
  <c r="AN35" i="1"/>
  <c r="AL35" i="1"/>
  <c r="X35" i="1"/>
  <c r="W35" i="1"/>
  <c r="V35" i="1"/>
  <c r="U35" i="1"/>
  <c r="N35" i="1"/>
  <c r="M35" i="1"/>
  <c r="L35" i="1"/>
  <c r="K35" i="1"/>
  <c r="H35" i="1"/>
  <c r="AD35" i="1" s="1"/>
  <c r="G35" i="1"/>
  <c r="E35" i="1"/>
  <c r="CV34" i="1"/>
  <c r="BP34" i="1"/>
  <c r="BO34" i="1"/>
  <c r="BN34" i="1"/>
  <c r="BM34" i="1"/>
  <c r="BL34" i="1"/>
  <c r="BK34" i="1"/>
  <c r="BJ34" i="1"/>
  <c r="BI34" i="1"/>
  <c r="BH34" i="1"/>
  <c r="BE34" i="1"/>
  <c r="BD34" i="1"/>
  <c r="BC34" i="1"/>
  <c r="CB34" i="1"/>
  <c r="CD34" i="1"/>
  <c r="AW34" i="1"/>
  <c r="AV34" i="1"/>
  <c r="AU34" i="1"/>
  <c r="AT34" i="1"/>
  <c r="AS34" i="1"/>
  <c r="AN34" i="1"/>
  <c r="AL34" i="1"/>
  <c r="X34" i="1"/>
  <c r="W34" i="1"/>
  <c r="V34" i="1"/>
  <c r="U34" i="1"/>
  <c r="N34" i="1"/>
  <c r="M34" i="1"/>
  <c r="L34" i="1"/>
  <c r="K34" i="1"/>
  <c r="H34" i="1"/>
  <c r="AD34" i="1" s="1"/>
  <c r="G34" i="1"/>
  <c r="E34" i="1"/>
  <c r="BP33" i="1"/>
  <c r="CB33" i="1"/>
  <c r="CD33" i="1"/>
  <c r="AU33" i="1"/>
  <c r="X33" i="1"/>
  <c r="W33" i="1"/>
  <c r="V33" i="1"/>
  <c r="U33" i="1"/>
  <c r="N33" i="1"/>
  <c r="M33" i="1"/>
  <c r="L33" i="1"/>
  <c r="K33" i="1"/>
  <c r="H33" i="1"/>
  <c r="AD33" i="1" s="1"/>
  <c r="G33" i="1"/>
  <c r="E33" i="1"/>
  <c r="CB32" i="1"/>
  <c r="CD32" i="1"/>
  <c r="X32" i="1"/>
  <c r="W32" i="1"/>
  <c r="V32" i="1"/>
  <c r="U32" i="1"/>
  <c r="N32" i="1"/>
  <c r="M32" i="1"/>
  <c r="L32" i="1"/>
  <c r="K32" i="1"/>
  <c r="H32" i="1"/>
  <c r="AD32" i="1" s="1"/>
  <c r="G32" i="1"/>
  <c r="E32" i="1"/>
  <c r="CV31" i="1"/>
  <c r="BP31" i="1"/>
  <c r="BO31" i="1"/>
  <c r="BN31" i="1"/>
  <c r="BM31" i="1"/>
  <c r="BL31" i="1"/>
  <c r="BK31" i="1"/>
  <c r="BJ31" i="1"/>
  <c r="BI31" i="1"/>
  <c r="BH31" i="1"/>
  <c r="BE31" i="1"/>
  <c r="BD31" i="1"/>
  <c r="BC31" i="1"/>
  <c r="CB31" i="1"/>
  <c r="CD31" i="1"/>
  <c r="AW31" i="1"/>
  <c r="AV31" i="1"/>
  <c r="AU31" i="1"/>
  <c r="AT31" i="1"/>
  <c r="AS31" i="1"/>
  <c r="AN31" i="1"/>
  <c r="AL31" i="1"/>
  <c r="X31" i="1"/>
  <c r="W31" i="1"/>
  <c r="V31" i="1"/>
  <c r="U31" i="1"/>
  <c r="N31" i="1"/>
  <c r="M31" i="1"/>
  <c r="L31" i="1"/>
  <c r="K31" i="1"/>
  <c r="H31" i="1"/>
  <c r="AD31" i="1" s="1"/>
  <c r="G31" i="1"/>
  <c r="E31" i="1"/>
  <c r="CV30" i="1"/>
  <c r="BP30" i="1"/>
  <c r="BO30" i="1"/>
  <c r="BN30" i="1"/>
  <c r="BM30" i="1"/>
  <c r="BL30" i="1"/>
  <c r="BK30" i="1"/>
  <c r="BJ30" i="1"/>
  <c r="BI30" i="1"/>
  <c r="BH30" i="1"/>
  <c r="BE30" i="1"/>
  <c r="BD30" i="1"/>
  <c r="BC30" i="1"/>
  <c r="CB30" i="1"/>
  <c r="CD30" i="1"/>
  <c r="AW30" i="1"/>
  <c r="AV30" i="1"/>
  <c r="AU30" i="1"/>
  <c r="AT30" i="1"/>
  <c r="AS30" i="1"/>
  <c r="AN30" i="1"/>
  <c r="AL30" i="1"/>
  <c r="X30" i="1"/>
  <c r="W30" i="1"/>
  <c r="V30" i="1"/>
  <c r="U30" i="1"/>
  <c r="N30" i="1"/>
  <c r="M30" i="1"/>
  <c r="L30" i="1"/>
  <c r="K30" i="1"/>
  <c r="H30" i="1"/>
  <c r="AD30" i="1" s="1"/>
  <c r="G30" i="1"/>
  <c r="E30" i="1"/>
  <c r="BJ29" i="1"/>
  <c r="CB29" i="1"/>
  <c r="CD29" i="1"/>
  <c r="X29" i="1"/>
  <c r="W29" i="1"/>
  <c r="V29" i="1"/>
  <c r="U29" i="1"/>
  <c r="N29" i="1"/>
  <c r="M29" i="1"/>
  <c r="L29" i="1"/>
  <c r="K29" i="1"/>
  <c r="H29" i="1"/>
  <c r="AD29" i="1" s="1"/>
  <c r="G29" i="1"/>
  <c r="E29" i="1"/>
  <c r="BO28" i="1"/>
  <c r="CB28" i="1"/>
  <c r="CD28" i="1"/>
  <c r="AT28" i="1"/>
  <c r="X28" i="1"/>
  <c r="W28" i="1"/>
  <c r="V28" i="1"/>
  <c r="U28" i="1"/>
  <c r="N28" i="1"/>
  <c r="M28" i="1"/>
  <c r="L28" i="1"/>
  <c r="K28" i="1"/>
  <c r="H28" i="1"/>
  <c r="AD28" i="1" s="1"/>
  <c r="G28" i="1"/>
  <c r="E28" i="1"/>
  <c r="CV27" i="1"/>
  <c r="BP27" i="1"/>
  <c r="BO27" i="1"/>
  <c r="BN27" i="1"/>
  <c r="BM27" i="1"/>
  <c r="BL27" i="1"/>
  <c r="BK27" i="1"/>
  <c r="BJ27" i="1"/>
  <c r="BI27" i="1"/>
  <c r="BH27" i="1"/>
  <c r="BE27" i="1"/>
  <c r="BD27" i="1"/>
  <c r="BC27" i="1"/>
  <c r="CB27" i="1"/>
  <c r="CD27" i="1"/>
  <c r="AW27" i="1"/>
  <c r="AV27" i="1"/>
  <c r="AU27" i="1"/>
  <c r="AT27" i="1"/>
  <c r="AS27" i="1"/>
  <c r="AN27" i="1"/>
  <c r="AL27" i="1"/>
  <c r="X27" i="1"/>
  <c r="W27" i="1"/>
  <c r="V27" i="1"/>
  <c r="U27" i="1"/>
  <c r="N27" i="1"/>
  <c r="M27" i="1"/>
  <c r="L27" i="1"/>
  <c r="K27" i="1"/>
  <c r="H27" i="1"/>
  <c r="AD27" i="1" s="1"/>
  <c r="G27" i="1"/>
  <c r="E27" i="1"/>
  <c r="CV26" i="1"/>
  <c r="BP26" i="1"/>
  <c r="BO26" i="1"/>
  <c r="BN26" i="1"/>
  <c r="BM26" i="1"/>
  <c r="BL26" i="1"/>
  <c r="BK26" i="1"/>
  <c r="BJ26" i="1"/>
  <c r="BI26" i="1"/>
  <c r="BH26" i="1"/>
  <c r="BE26" i="1"/>
  <c r="BD26" i="1"/>
  <c r="BC26" i="1"/>
  <c r="CB26" i="1"/>
  <c r="CD26" i="1"/>
  <c r="AW26" i="1"/>
  <c r="AV26" i="1"/>
  <c r="AU26" i="1"/>
  <c r="AT26" i="1"/>
  <c r="AS26" i="1"/>
  <c r="AN26" i="1"/>
  <c r="AL26" i="1"/>
  <c r="X26" i="1"/>
  <c r="W26" i="1"/>
  <c r="V26" i="1"/>
  <c r="U26" i="1"/>
  <c r="N26" i="1"/>
  <c r="M26" i="1"/>
  <c r="L26" i="1"/>
  <c r="K26" i="1"/>
  <c r="H26" i="1"/>
  <c r="AD26" i="1" s="1"/>
  <c r="G26" i="1"/>
  <c r="E26" i="1"/>
  <c r="CV25" i="1"/>
  <c r="BP25" i="1"/>
  <c r="BO25" i="1"/>
  <c r="BN25" i="1"/>
  <c r="BM25" i="1"/>
  <c r="BL25" i="1"/>
  <c r="BK25" i="1"/>
  <c r="BJ25" i="1"/>
  <c r="BI25" i="1"/>
  <c r="BH25" i="1"/>
  <c r="BE25" i="1"/>
  <c r="BD25" i="1"/>
  <c r="BC25" i="1"/>
  <c r="CB25" i="1"/>
  <c r="CD25" i="1"/>
  <c r="AW25" i="1"/>
  <c r="AV25" i="1"/>
  <c r="AU25" i="1"/>
  <c r="AT25" i="1"/>
  <c r="AS25" i="1"/>
  <c r="AN25" i="1"/>
  <c r="AL25" i="1"/>
  <c r="X25" i="1"/>
  <c r="W25" i="1"/>
  <c r="V25" i="1"/>
  <c r="U25" i="1"/>
  <c r="N25" i="1"/>
  <c r="M25" i="1"/>
  <c r="L25" i="1"/>
  <c r="K25" i="1"/>
  <c r="H25" i="1"/>
  <c r="AD25" i="1" s="1"/>
  <c r="G25" i="1"/>
  <c r="E25" i="1"/>
  <c r="BP24" i="1"/>
  <c r="BO24" i="1"/>
  <c r="CB24" i="1"/>
  <c r="CD24" i="1"/>
  <c r="AU24" i="1"/>
  <c r="AT24" i="1"/>
  <c r="X24" i="1"/>
  <c r="W24" i="1"/>
  <c r="V24" i="1"/>
  <c r="U24" i="1"/>
  <c r="N24" i="1"/>
  <c r="M24" i="1"/>
  <c r="L24" i="1"/>
  <c r="K24" i="1"/>
  <c r="H24" i="1"/>
  <c r="AD24" i="1" s="1"/>
  <c r="G24" i="1"/>
  <c r="E24" i="1"/>
  <c r="O89" i="3" l="1"/>
  <c r="Q89" i="3" s="1"/>
  <c r="AB94" i="3"/>
  <c r="AJ94" i="3" s="1"/>
  <c r="BC4" i="3"/>
  <c r="CF4" i="3" s="1"/>
  <c r="CJ4" i="3" s="1"/>
  <c r="CT4" i="3" s="1"/>
  <c r="CU4" i="3" s="1"/>
  <c r="AB38" i="3"/>
  <c r="AC38" i="3" s="1"/>
  <c r="O52" i="3"/>
  <c r="AB59" i="3"/>
  <c r="CE77" i="3"/>
  <c r="AB76" i="3"/>
  <c r="AJ76" i="3" s="1"/>
  <c r="H88" i="3"/>
  <c r="AI88" i="3" s="1"/>
  <c r="AB25" i="3"/>
  <c r="AC25" i="3" s="1"/>
  <c r="O26" i="3"/>
  <c r="AB52" i="3"/>
  <c r="AB58" i="3"/>
  <c r="BF71" i="3"/>
  <c r="CR89" i="3"/>
  <c r="O34" i="3"/>
  <c r="AB71" i="3"/>
  <c r="AJ71" i="3" s="1"/>
  <c r="BD76" i="3"/>
  <c r="H92" i="3"/>
  <c r="AI92" i="3" s="1"/>
  <c r="AB41" i="3"/>
  <c r="AC41" i="3" s="1"/>
  <c r="AB67" i="3"/>
  <c r="AJ67" i="3" s="1"/>
  <c r="AB93" i="3"/>
  <c r="AJ93" i="3" s="1"/>
  <c r="H98" i="3"/>
  <c r="AI98" i="3" s="1"/>
  <c r="AB92" i="3"/>
  <c r="AJ92" i="3" s="1"/>
  <c r="BC79" i="3"/>
  <c r="BD79" i="3"/>
  <c r="AG99" i="3"/>
  <c r="AH99" i="3" s="1"/>
  <c r="O105" i="3"/>
  <c r="Q105" i="3" s="1"/>
  <c r="AB44" i="3"/>
  <c r="BE79" i="3"/>
  <c r="AB100" i="3"/>
  <c r="AJ100" i="3" s="1"/>
  <c r="CQ100" i="3" s="1"/>
  <c r="O31" i="3"/>
  <c r="AB55" i="3"/>
  <c r="BD67" i="3"/>
  <c r="CE74" i="3"/>
  <c r="AB88" i="3"/>
  <c r="AJ88" i="3" s="1"/>
  <c r="CF3" i="3"/>
  <c r="CJ3" i="3" s="1"/>
  <c r="AB60" i="3"/>
  <c r="BE67" i="3"/>
  <c r="BD82" i="3"/>
  <c r="H95" i="3"/>
  <c r="AI95" i="3" s="1"/>
  <c r="AB56" i="3"/>
  <c r="AM56" i="3" s="1"/>
  <c r="AX56" i="3" s="1"/>
  <c r="BC73" i="3"/>
  <c r="CH73" i="3" s="1"/>
  <c r="CI73" i="3" s="1"/>
  <c r="CJ73" i="3" s="1"/>
  <c r="CK73" i="3" s="1"/>
  <c r="CT73" i="3" s="1"/>
  <c r="CR91" i="3"/>
  <c r="CQ93" i="3"/>
  <c r="BC12" i="3"/>
  <c r="CF12" i="3" s="1"/>
  <c r="CJ12" i="3" s="1"/>
  <c r="CT12" i="3" s="1"/>
  <c r="CU12" i="3" s="1"/>
  <c r="BD69" i="3"/>
  <c r="BE73" i="3"/>
  <c r="BC78" i="3"/>
  <c r="AB82" i="3"/>
  <c r="AJ82" i="3" s="1"/>
  <c r="O90" i="3"/>
  <c r="Q90" i="3" s="1"/>
  <c r="AB91" i="3"/>
  <c r="AJ91" i="3" s="1"/>
  <c r="CQ91" i="3" s="1"/>
  <c r="O92" i="3"/>
  <c r="Q92" i="3" s="1"/>
  <c r="H94" i="3"/>
  <c r="AI94" i="3" s="1"/>
  <c r="CP94" i="3" s="1"/>
  <c r="AB106" i="3"/>
  <c r="AJ106" i="3" s="1"/>
  <c r="CQ106" i="3" s="1"/>
  <c r="H107" i="3"/>
  <c r="AI107" i="3" s="1"/>
  <c r="CP107" i="3" s="1"/>
  <c r="AB35" i="3"/>
  <c r="AC35" i="3" s="1"/>
  <c r="AM35" i="3"/>
  <c r="O48" i="3"/>
  <c r="CE73" i="3"/>
  <c r="BD78" i="3"/>
  <c r="CH79" i="3"/>
  <c r="CQ88" i="3"/>
  <c r="O99" i="3"/>
  <c r="Q99" i="3" s="1"/>
  <c r="BC2" i="3"/>
  <c r="CF2" i="3" s="1"/>
  <c r="CJ2" i="3" s="1"/>
  <c r="BC9" i="3"/>
  <c r="AB37" i="3"/>
  <c r="AC37" i="3" s="1"/>
  <c r="CE78" i="3"/>
  <c r="CR88" i="3"/>
  <c r="O94" i="3"/>
  <c r="Q94" i="3" s="1"/>
  <c r="AB95" i="3"/>
  <c r="AJ95" i="3" s="1"/>
  <c r="AY95" i="3" s="1"/>
  <c r="CN95" i="3" s="1"/>
  <c r="H100" i="3"/>
  <c r="AI100" i="3" s="1"/>
  <c r="BC20" i="3"/>
  <c r="CF20" i="3" s="1"/>
  <c r="CJ20" i="3" s="1"/>
  <c r="CT20" i="3" s="1"/>
  <c r="CU20" i="3" s="1"/>
  <c r="AB31" i="3"/>
  <c r="AC31" i="3" s="1"/>
  <c r="AM31" i="3" s="1"/>
  <c r="O39" i="3"/>
  <c r="AB66" i="3"/>
  <c r="AJ66" i="3" s="1"/>
  <c r="BE68" i="3"/>
  <c r="BC72" i="3"/>
  <c r="CH72" i="3" s="1"/>
  <c r="CH78" i="3"/>
  <c r="H105" i="3"/>
  <c r="AI105" i="3" s="1"/>
  <c r="O32" i="3"/>
  <c r="CE68" i="3"/>
  <c r="AB85" i="3"/>
  <c r="AJ85" i="3" s="1"/>
  <c r="BC17" i="3"/>
  <c r="O40" i="3"/>
  <c r="AB75" i="3"/>
  <c r="AJ75" i="3" s="1"/>
  <c r="BF75" i="3" s="1"/>
  <c r="AB97" i="3"/>
  <c r="AJ97" i="3" s="1"/>
  <c r="CQ97" i="3" s="1"/>
  <c r="O107" i="3"/>
  <c r="Q107" i="3" s="1"/>
  <c r="AB26" i="3"/>
  <c r="AC26" i="3" s="1"/>
  <c r="O28" i="3"/>
  <c r="H93" i="3"/>
  <c r="AI93" i="3" s="1"/>
  <c r="AG102" i="3"/>
  <c r="AH102" i="3" s="1"/>
  <c r="CR102" i="3" s="1"/>
  <c r="AB43" i="3"/>
  <c r="AC43" i="3" s="1"/>
  <c r="BD3" i="3"/>
  <c r="CT3" i="3" s="1"/>
  <c r="CU3" i="3" s="1"/>
  <c r="AB70" i="3"/>
  <c r="AJ70" i="3" s="1"/>
  <c r="BF70" i="3" s="1"/>
  <c r="AB74" i="3"/>
  <c r="AJ74" i="3" s="1"/>
  <c r="BF74" i="3" s="1"/>
  <c r="O98" i="3"/>
  <c r="Q98" i="3" s="1"/>
  <c r="AB107" i="3"/>
  <c r="AJ107" i="3" s="1"/>
  <c r="O24" i="3"/>
  <c r="CQ92" i="3"/>
  <c r="CP95" i="3"/>
  <c r="O36" i="3"/>
  <c r="AB40" i="3"/>
  <c r="AC40" i="3" s="1"/>
  <c r="AB51" i="3"/>
  <c r="AB73" i="3"/>
  <c r="AJ73" i="3" s="1"/>
  <c r="AB80" i="3"/>
  <c r="AJ80" i="3" s="1"/>
  <c r="CP106" i="3"/>
  <c r="AB68" i="3"/>
  <c r="AJ68" i="3" s="1"/>
  <c r="O45" i="3"/>
  <c r="AM45" i="3" s="1"/>
  <c r="AX45" i="3" s="1"/>
  <c r="O55" i="3"/>
  <c r="AM55" i="3" s="1"/>
  <c r="AX55" i="3" s="1"/>
  <c r="CE66" i="3"/>
  <c r="BD75" i="3"/>
  <c r="O95" i="3"/>
  <c r="Q95" i="3" s="1"/>
  <c r="O103" i="3"/>
  <c r="Q103" i="3" s="1"/>
  <c r="AB105" i="3"/>
  <c r="AJ105" i="3" s="1"/>
  <c r="CQ105" i="3" s="1"/>
  <c r="O43" i="3"/>
  <c r="AB79" i="3"/>
  <c r="AJ79" i="3" s="1"/>
  <c r="BF79" i="3" s="1"/>
  <c r="CF11" i="3"/>
  <c r="CJ11" i="3" s="1"/>
  <c r="AB34" i="3"/>
  <c r="AC34" i="3" s="1"/>
  <c r="O62" i="3"/>
  <c r="AB63" i="3"/>
  <c r="CE84" i="3"/>
  <c r="AB103" i="3"/>
  <c r="AJ103" i="3" s="1"/>
  <c r="H104" i="3"/>
  <c r="AI104" i="3" s="1"/>
  <c r="AG100" i="3"/>
  <c r="AH100" i="3" s="1"/>
  <c r="CR100" i="3" s="1"/>
  <c r="AG105" i="3"/>
  <c r="AH105" i="3" s="1"/>
  <c r="CR105" i="3" s="1"/>
  <c r="BF67" i="3"/>
  <c r="AG101" i="3"/>
  <c r="AH101" i="3" s="1"/>
  <c r="CR101" i="3" s="1"/>
  <c r="BC18" i="3"/>
  <c r="CF18" i="3" s="1"/>
  <c r="CJ18" i="3" s="1"/>
  <c r="CT18" i="3" s="1"/>
  <c r="CU18" i="3" s="1"/>
  <c r="AB27" i="3"/>
  <c r="AC27" i="3" s="1"/>
  <c r="O57" i="3"/>
  <c r="AM57" i="3" s="1"/>
  <c r="AX57" i="3" s="1"/>
  <c r="H89" i="3"/>
  <c r="AI89" i="3" s="1"/>
  <c r="CP89" i="3" s="1"/>
  <c r="BE70" i="3"/>
  <c r="BD81" i="3"/>
  <c r="H102" i="3"/>
  <c r="AI102" i="3" s="1"/>
  <c r="O29" i="3"/>
  <c r="O49" i="3"/>
  <c r="AM49" i="3" s="1"/>
  <c r="AX49" i="3" s="1"/>
  <c r="AB72" i="3"/>
  <c r="AJ72" i="3" s="1"/>
  <c r="BF72" i="3" s="1"/>
  <c r="AB78" i="3"/>
  <c r="AJ78" i="3" s="1"/>
  <c r="BE81" i="3"/>
  <c r="AB96" i="3"/>
  <c r="AJ96" i="3" s="1"/>
  <c r="CQ96" i="3" s="1"/>
  <c r="CP98" i="3"/>
  <c r="BC6" i="3"/>
  <c r="CF6" i="3" s="1"/>
  <c r="CJ6" i="3" s="1"/>
  <c r="CT6" i="3" s="1"/>
  <c r="CU6" i="3" s="1"/>
  <c r="O33" i="3"/>
  <c r="O63" i="3"/>
  <c r="BC68" i="3"/>
  <c r="CH68" i="3" s="1"/>
  <c r="CI68" i="3" s="1"/>
  <c r="CJ68" i="3" s="1"/>
  <c r="CK68" i="3" s="1"/>
  <c r="BC80" i="3"/>
  <c r="CH80" i="3" s="1"/>
  <c r="CI80" i="3" s="1"/>
  <c r="CJ80" i="3" s="1"/>
  <c r="AB84" i="3"/>
  <c r="AJ84" i="3" s="1"/>
  <c r="BF84" i="3" s="1"/>
  <c r="BE85" i="3"/>
  <c r="AB42" i="3"/>
  <c r="AC42" i="3" s="1"/>
  <c r="AM42" i="3" s="1"/>
  <c r="AY42" i="3" s="1"/>
  <c r="CC42" i="3" s="1"/>
  <c r="AB33" i="3"/>
  <c r="AC33" i="3" s="1"/>
  <c r="BC67" i="3"/>
  <c r="CH67" i="3" s="1"/>
  <c r="CI67" i="3" s="1"/>
  <c r="CJ67" i="3" s="1"/>
  <c r="CK67" i="3" s="1"/>
  <c r="AB77" i="3"/>
  <c r="AJ77" i="3" s="1"/>
  <c r="BF77" i="3" s="1"/>
  <c r="CE85" i="3"/>
  <c r="BD19" i="3"/>
  <c r="CT19" i="3" s="1"/>
  <c r="CU19" i="3" s="1"/>
  <c r="O53" i="3"/>
  <c r="BF66" i="3"/>
  <c r="H91" i="3"/>
  <c r="AI91" i="3" s="1"/>
  <c r="AY91" i="3" s="1"/>
  <c r="CC91" i="3" s="1"/>
  <c r="CE91" i="3" s="1"/>
  <c r="AB98" i="3"/>
  <c r="AJ98" i="3" s="1"/>
  <c r="CQ98" i="3" s="1"/>
  <c r="CP100" i="3"/>
  <c r="O102" i="3"/>
  <c r="Q102" i="3" s="1"/>
  <c r="O30" i="3"/>
  <c r="O104" i="3"/>
  <c r="Q104" i="3" s="1"/>
  <c r="O35" i="3"/>
  <c r="AY35" i="3" s="1"/>
  <c r="CC35" i="3" s="1"/>
  <c r="O47" i="3"/>
  <c r="BF82" i="3"/>
  <c r="O91" i="3"/>
  <c r="Q91" i="3" s="1"/>
  <c r="H101" i="3"/>
  <c r="AI101" i="3" s="1"/>
  <c r="AB102" i="3"/>
  <c r="AJ102" i="3" s="1"/>
  <c r="CQ102" i="3" s="1"/>
  <c r="BC10" i="3"/>
  <c r="CF10" i="3" s="1"/>
  <c r="CJ10" i="3" s="1"/>
  <c r="CT10" i="3" s="1"/>
  <c r="CU10" i="3" s="1"/>
  <c r="AM27" i="3"/>
  <c r="O37" i="3"/>
  <c r="AB39" i="3"/>
  <c r="AC39" i="3" s="1"/>
  <c r="AM39" i="3" s="1"/>
  <c r="AY39" i="3" s="1"/>
  <c r="CC39" i="3" s="1"/>
  <c r="CL39" i="3" s="1"/>
  <c r="AB47" i="3"/>
  <c r="O61" i="3"/>
  <c r="BC74" i="3"/>
  <c r="CH74" i="3" s="1"/>
  <c r="CI74" i="3" s="1"/>
  <c r="CJ74" i="3" s="1"/>
  <c r="BC75" i="3"/>
  <c r="CH75" i="3" s="1"/>
  <c r="CI75" i="3" s="1"/>
  <c r="CJ75" i="3" s="1"/>
  <c r="CK75" i="3" s="1"/>
  <c r="BC76" i="3"/>
  <c r="CH76" i="3" s="1"/>
  <c r="CI76" i="3" s="1"/>
  <c r="CJ76" i="3" s="1"/>
  <c r="CK76" i="3" s="1"/>
  <c r="BF81" i="3"/>
  <c r="AB83" i="3"/>
  <c r="AJ83" i="3" s="1"/>
  <c r="BF83" i="3" s="1"/>
  <c r="H96" i="3"/>
  <c r="AI96" i="3" s="1"/>
  <c r="CP96" i="3" s="1"/>
  <c r="O97" i="3"/>
  <c r="Q97" i="3" s="1"/>
  <c r="CP103" i="3"/>
  <c r="CP105" i="3"/>
  <c r="O46" i="3"/>
  <c r="AM46" i="3" s="1"/>
  <c r="AX46" i="3" s="1"/>
  <c r="AB54" i="3"/>
  <c r="AM54" i="3" s="1"/>
  <c r="AX54" i="3" s="1"/>
  <c r="AY54" i="3" s="1"/>
  <c r="CA54" i="3" s="1"/>
  <c r="CM54" i="3" s="1"/>
  <c r="AB62" i="3"/>
  <c r="AM62" i="3" s="1"/>
  <c r="AX62" i="3" s="1"/>
  <c r="CE75" i="3"/>
  <c r="BE76" i="3"/>
  <c r="AB89" i="3"/>
  <c r="AJ89" i="3" s="1"/>
  <c r="CQ94" i="3"/>
  <c r="BC14" i="3"/>
  <c r="CF14" i="3" s="1"/>
  <c r="CJ14" i="3" s="1"/>
  <c r="CT14" i="3" s="1"/>
  <c r="CU14" i="3" s="1"/>
  <c r="O25" i="3"/>
  <c r="AB30" i="3"/>
  <c r="AC30" i="3" s="1"/>
  <c r="O42" i="3"/>
  <c r="O60" i="3"/>
  <c r="O27" i="3"/>
  <c r="AB36" i="3"/>
  <c r="AC36" i="3" s="1"/>
  <c r="AM36" i="3" s="1"/>
  <c r="AY36" i="3" s="1"/>
  <c r="CC36" i="3" s="1"/>
  <c r="O38" i="3"/>
  <c r="O44" i="3"/>
  <c r="AM44" i="3" s="1"/>
  <c r="AX44" i="3" s="1"/>
  <c r="O51" i="3"/>
  <c r="AM51" i="3" s="1"/>
  <c r="AX51" i="3" s="1"/>
  <c r="BZ51" i="3" s="1"/>
  <c r="CL51" i="3" s="1"/>
  <c r="O58" i="3"/>
  <c r="AM58" i="3" s="1"/>
  <c r="AX58" i="3" s="1"/>
  <c r="BF85" i="3"/>
  <c r="O88" i="3"/>
  <c r="Q88" i="3" s="1"/>
  <c r="CR97" i="3"/>
  <c r="O101" i="3"/>
  <c r="Q101" i="3" s="1"/>
  <c r="BD11" i="3"/>
  <c r="CT11" i="3" s="1"/>
  <c r="CU11" i="3" s="1"/>
  <c r="AM52" i="3"/>
  <c r="AX52" i="3" s="1"/>
  <c r="AB69" i="3"/>
  <c r="AJ69" i="3" s="1"/>
  <c r="BF69" i="3" s="1"/>
  <c r="CP88" i="3"/>
  <c r="AB99" i="3"/>
  <c r="AJ99" i="3" s="1"/>
  <c r="CQ99" i="3" s="1"/>
  <c r="CQ107" i="3"/>
  <c r="CF9" i="3"/>
  <c r="CJ9" i="3" s="1"/>
  <c r="CT9" i="3" s="1"/>
  <c r="CU9" i="3" s="1"/>
  <c r="AB24" i="3"/>
  <c r="AC24" i="3" s="1"/>
  <c r="AM24" i="3" s="1"/>
  <c r="AB32" i="3"/>
  <c r="AC32" i="3" s="1"/>
  <c r="AM32" i="3" s="1"/>
  <c r="AY32" i="3" s="1"/>
  <c r="CC32" i="3" s="1"/>
  <c r="CR92" i="3"/>
  <c r="CQ103" i="3"/>
  <c r="AM40" i="3"/>
  <c r="AB53" i="3"/>
  <c r="CR95" i="3"/>
  <c r="BZ56" i="3"/>
  <c r="CL56" i="3" s="1"/>
  <c r="AY56" i="3"/>
  <c r="CA56" i="3" s="1"/>
  <c r="CM56" i="3" s="1"/>
  <c r="AM41" i="3"/>
  <c r="AM63" i="3"/>
  <c r="AX63" i="3" s="1"/>
  <c r="BD21" i="3"/>
  <c r="BC21" i="3"/>
  <c r="CF21" i="3" s="1"/>
  <c r="CJ21" i="3" s="1"/>
  <c r="CT21" i="3" s="1"/>
  <c r="CU21" i="3" s="1"/>
  <c r="AM28" i="3"/>
  <c r="AY28" i="3" s="1"/>
  <c r="CC28" i="3" s="1"/>
  <c r="AY89" i="3"/>
  <c r="CC89" i="3" s="1"/>
  <c r="CE89" i="3" s="1"/>
  <c r="AG98" i="3"/>
  <c r="AH98" i="3" s="1"/>
  <c r="AG107" i="3"/>
  <c r="AH107" i="3" s="1"/>
  <c r="CR107" i="3" s="1"/>
  <c r="AY90" i="3"/>
  <c r="CN90" i="3" s="1"/>
  <c r="BF73" i="3"/>
  <c r="CP102" i="3"/>
  <c r="AG103" i="3"/>
  <c r="AH103" i="3" s="1"/>
  <c r="AM37" i="3"/>
  <c r="O50" i="3"/>
  <c r="AM50" i="3" s="1"/>
  <c r="AX50" i="3" s="1"/>
  <c r="O93" i="3"/>
  <c r="Q93" i="3" s="1"/>
  <c r="AY93" i="3" s="1"/>
  <c r="O96" i="3"/>
  <c r="Q96" i="3" s="1"/>
  <c r="AY96" i="3" s="1"/>
  <c r="CP104" i="3"/>
  <c r="O106" i="3"/>
  <c r="Q106" i="3" s="1"/>
  <c r="CT2" i="3"/>
  <c r="CU2" i="3" s="1"/>
  <c r="BC13" i="3"/>
  <c r="CF13" i="3" s="1"/>
  <c r="CJ13" i="3" s="1"/>
  <c r="CT13" i="3" s="1"/>
  <c r="CU13" i="3" s="1"/>
  <c r="AM43" i="3"/>
  <c r="AY43" i="3" s="1"/>
  <c r="CC43" i="3" s="1"/>
  <c r="BF78" i="3"/>
  <c r="BD16" i="3"/>
  <c r="BC16" i="3"/>
  <c r="CF16" i="3" s="1"/>
  <c r="CJ16" i="3" s="1"/>
  <c r="AM25" i="3"/>
  <c r="AY25" i="3" s="1"/>
  <c r="CC25" i="3" s="1"/>
  <c r="AM29" i="3"/>
  <c r="AY29" i="3" s="1"/>
  <c r="CC29" i="3" s="1"/>
  <c r="AM33" i="3"/>
  <c r="O59" i="3"/>
  <c r="AM59" i="3" s="1"/>
  <c r="AX59" i="3" s="1"/>
  <c r="BF76" i="3"/>
  <c r="CT76" i="3" s="1"/>
  <c r="CP90" i="3"/>
  <c r="AY92" i="3"/>
  <c r="CN92" i="3" s="1"/>
  <c r="CR94" i="3"/>
  <c r="AB104" i="3"/>
  <c r="AJ104" i="3" s="1"/>
  <c r="CQ104" i="3" s="1"/>
  <c r="BC5" i="3"/>
  <c r="CF5" i="3" s="1"/>
  <c r="CJ5" i="3" s="1"/>
  <c r="CT5" i="3" s="1"/>
  <c r="CU5" i="3" s="1"/>
  <c r="AM61" i="3"/>
  <c r="AX61" i="3" s="1"/>
  <c r="CI72" i="3"/>
  <c r="CJ72" i="3" s="1"/>
  <c r="CI79" i="3"/>
  <c r="CJ79" i="3" s="1"/>
  <c r="CK79" i="3" s="1"/>
  <c r="CQ90" i="3"/>
  <c r="BD8" i="3"/>
  <c r="BC8" i="3"/>
  <c r="CF8" i="3" s="1"/>
  <c r="CJ8" i="3" s="1"/>
  <c r="AM60" i="3"/>
  <c r="AX60" i="3" s="1"/>
  <c r="BF68" i="3"/>
  <c r="CR96" i="3"/>
  <c r="AM38" i="3"/>
  <c r="AY38" i="3" s="1"/>
  <c r="CC38" i="3" s="1"/>
  <c r="AM48" i="3"/>
  <c r="AX48" i="3" s="1"/>
  <c r="AY88" i="3"/>
  <c r="CN88" i="3" s="1"/>
  <c r="CP93" i="3"/>
  <c r="CR99" i="3"/>
  <c r="AY100" i="3"/>
  <c r="CN100" i="3" s="1"/>
  <c r="AM26" i="3"/>
  <c r="AY26" i="3" s="1"/>
  <c r="CC26" i="3" s="1"/>
  <c r="AM30" i="3"/>
  <c r="AY30" i="3" s="1"/>
  <c r="CC30" i="3" s="1"/>
  <c r="O41" i="3"/>
  <c r="CP101" i="3"/>
  <c r="CF17" i="3"/>
  <c r="CJ17" i="3" s="1"/>
  <c r="CT17" i="3" s="1"/>
  <c r="CU17" i="3" s="1"/>
  <c r="AM34" i="3"/>
  <c r="CX83" i="3"/>
  <c r="CX72" i="3"/>
  <c r="CX78" i="3"/>
  <c r="CX75" i="3"/>
  <c r="CX67" i="3"/>
  <c r="CX81" i="3"/>
  <c r="CX70" i="3"/>
  <c r="CX84" i="3"/>
  <c r="CX76" i="3"/>
  <c r="CX73" i="3"/>
  <c r="CX79" i="3"/>
  <c r="CX68" i="3"/>
  <c r="CX82" i="3"/>
  <c r="CX71" i="3"/>
  <c r="CX85" i="3"/>
  <c r="CX77" i="3"/>
  <c r="CX74" i="3"/>
  <c r="CX66" i="3"/>
  <c r="CX80" i="3"/>
  <c r="BF80" i="3"/>
  <c r="CE83" i="3"/>
  <c r="BE83" i="3"/>
  <c r="BD83" i="3"/>
  <c r="BC83" i="3"/>
  <c r="CH83" i="3" s="1"/>
  <c r="CI83" i="3" s="1"/>
  <c r="CJ83" i="3" s="1"/>
  <c r="CQ89" i="3"/>
  <c r="CP92" i="3"/>
  <c r="CQ101" i="3"/>
  <c r="AG104" i="3"/>
  <c r="AH104" i="3" s="1"/>
  <c r="CR104" i="3" s="1"/>
  <c r="AG106" i="3"/>
  <c r="AH106" i="3" s="1"/>
  <c r="CR106" i="3" s="1"/>
  <c r="CE70" i="3"/>
  <c r="BD72" i="3"/>
  <c r="CE81" i="3"/>
  <c r="CI81" i="3" s="1"/>
  <c r="CJ81" i="3" s="1"/>
  <c r="CK81" i="3" s="1"/>
  <c r="CT81" i="3" s="1"/>
  <c r="BC69" i="3"/>
  <c r="CH69" i="3" s="1"/>
  <c r="CI69" i="3" s="1"/>
  <c r="CJ69" i="3" s="1"/>
  <c r="BE72" i="3"/>
  <c r="BC66" i="3"/>
  <c r="CH66" i="3" s="1"/>
  <c r="BE69" i="3"/>
  <c r="BD80" i="3"/>
  <c r="BD66" i="3"/>
  <c r="BD74" i="3"/>
  <c r="BC77" i="3"/>
  <c r="CH77" i="3" s="1"/>
  <c r="CI77" i="3" s="1"/>
  <c r="CJ77" i="3" s="1"/>
  <c r="BE80" i="3"/>
  <c r="BC85" i="3"/>
  <c r="CH85" i="3" s="1"/>
  <c r="CI85" i="3" s="1"/>
  <c r="CJ85" i="3" s="1"/>
  <c r="CK85" i="3" s="1"/>
  <c r="BC71" i="3"/>
  <c r="CH71" i="3" s="1"/>
  <c r="CI71" i="3" s="1"/>
  <c r="CJ71" i="3" s="1"/>
  <c r="BD77" i="3"/>
  <c r="BC7" i="3"/>
  <c r="CF7" i="3" s="1"/>
  <c r="CJ7" i="3" s="1"/>
  <c r="CT7" i="3" s="1"/>
  <c r="CU7" i="3" s="1"/>
  <c r="BC15" i="3"/>
  <c r="CF15" i="3" s="1"/>
  <c r="CJ15" i="3" s="1"/>
  <c r="CT15" i="3" s="1"/>
  <c r="CU15" i="3" s="1"/>
  <c r="BD71" i="3"/>
  <c r="BC82" i="3"/>
  <c r="CH82" i="3" s="1"/>
  <c r="CI82" i="3" s="1"/>
  <c r="CJ82" i="3" s="1"/>
  <c r="CK82" i="3" s="1"/>
  <c r="CT82" i="3" s="1"/>
  <c r="BE71" i="3"/>
  <c r="BC84" i="3"/>
  <c r="CH84" i="3" s="1"/>
  <c r="CI84" i="3" s="1"/>
  <c r="CJ84" i="3" s="1"/>
  <c r="BC70" i="3"/>
  <c r="CH70" i="3" s="1"/>
  <c r="BD84" i="3"/>
  <c r="AB54" i="1"/>
  <c r="AB52" i="1"/>
  <c r="AB58" i="1"/>
  <c r="AB46" i="1"/>
  <c r="AM46" i="1" s="1"/>
  <c r="AX46" i="1" s="1"/>
  <c r="AB62" i="1"/>
  <c r="AB56" i="1"/>
  <c r="AB60" i="1"/>
  <c r="AM60" i="1" s="1"/>
  <c r="AX60" i="1" s="1"/>
  <c r="O25" i="1"/>
  <c r="AB25" i="1"/>
  <c r="AC25" i="1" s="1"/>
  <c r="O61" i="1"/>
  <c r="AB43" i="1"/>
  <c r="AC43" i="1" s="1"/>
  <c r="AB51" i="1"/>
  <c r="AB26" i="1"/>
  <c r="AC26" i="1" s="1"/>
  <c r="AM26" i="1" s="1"/>
  <c r="AB28" i="1"/>
  <c r="AC28" i="1" s="1"/>
  <c r="AB32" i="1"/>
  <c r="AC32" i="1" s="1"/>
  <c r="AB38" i="1"/>
  <c r="AC38" i="1" s="1"/>
  <c r="AB39" i="1"/>
  <c r="AC39" i="1" s="1"/>
  <c r="AB53" i="1"/>
  <c r="AB44" i="1"/>
  <c r="AB29" i="1"/>
  <c r="AC29" i="1" s="1"/>
  <c r="AB35" i="1"/>
  <c r="AC35" i="1" s="1"/>
  <c r="AM35" i="1" s="1"/>
  <c r="AB47" i="1"/>
  <c r="AB37" i="1"/>
  <c r="AC37" i="1" s="1"/>
  <c r="AM37" i="1" s="1"/>
  <c r="AY37" i="1" s="1"/>
  <c r="CC37" i="1" s="1"/>
  <c r="AB57" i="1"/>
  <c r="O63" i="1"/>
  <c r="AB50" i="1"/>
  <c r="O54" i="1"/>
  <c r="O37" i="1"/>
  <c r="O62" i="1"/>
  <c r="AB63" i="1"/>
  <c r="O45" i="1"/>
  <c r="AB45" i="1"/>
  <c r="O53" i="1"/>
  <c r="O41" i="1"/>
  <c r="O48" i="1"/>
  <c r="AM48" i="1" s="1"/>
  <c r="AX48" i="1" s="1"/>
  <c r="O30" i="1"/>
  <c r="O31" i="1"/>
  <c r="O34" i="1"/>
  <c r="O51" i="1"/>
  <c r="O60" i="1"/>
  <c r="AB27" i="1"/>
  <c r="AC27" i="1" s="1"/>
  <c r="AM27" i="1" s="1"/>
  <c r="O28" i="1"/>
  <c r="O33" i="1"/>
  <c r="O35" i="1"/>
  <c r="O46" i="1"/>
  <c r="AB61" i="1"/>
  <c r="O29" i="1"/>
  <c r="AB30" i="1"/>
  <c r="AC30" i="1" s="1"/>
  <c r="AM30" i="1" s="1"/>
  <c r="O42" i="1"/>
  <c r="O55" i="1"/>
  <c r="AB31" i="1"/>
  <c r="AC31" i="1" s="1"/>
  <c r="AM31" i="1" s="1"/>
  <c r="O32" i="1"/>
  <c r="AB33" i="1"/>
  <c r="AC33" i="1" s="1"/>
  <c r="AB34" i="1"/>
  <c r="AC34" i="1" s="1"/>
  <c r="AM34" i="1" s="1"/>
  <c r="AY34" i="1" s="1"/>
  <c r="CC34" i="1" s="1"/>
  <c r="O36" i="1"/>
  <c r="O50" i="1"/>
  <c r="O43" i="1"/>
  <c r="O59" i="1"/>
  <c r="AB42" i="1"/>
  <c r="AC42" i="1" s="1"/>
  <c r="AB55" i="1"/>
  <c r="AB36" i="1"/>
  <c r="AC36" i="1" s="1"/>
  <c r="O49" i="1"/>
  <c r="O58" i="1"/>
  <c r="AM58" i="1" s="1"/>
  <c r="AX58" i="1" s="1"/>
  <c r="O24" i="1"/>
  <c r="O38" i="1"/>
  <c r="O39" i="1"/>
  <c r="O40" i="1"/>
  <c r="O44" i="1"/>
  <c r="AB49" i="1"/>
  <c r="AB59" i="1"/>
  <c r="O57" i="1"/>
  <c r="AM57" i="1" s="1"/>
  <c r="AX57" i="1" s="1"/>
  <c r="AB24" i="1"/>
  <c r="AC24" i="1" s="1"/>
  <c r="O27" i="1"/>
  <c r="AB41" i="1"/>
  <c r="AC41" i="1" s="1"/>
  <c r="O52" i="1"/>
  <c r="O26" i="1"/>
  <c r="AB40" i="1"/>
  <c r="AC40" i="1" s="1"/>
  <c r="O47" i="1"/>
  <c r="AM47" i="1" s="1"/>
  <c r="AX47" i="1" s="1"/>
  <c r="O56" i="1"/>
  <c r="AM56" i="1" s="1"/>
  <c r="AX56" i="1" s="1"/>
  <c r="AV32" i="1"/>
  <c r="AW32" i="1"/>
  <c r="CV32" i="1"/>
  <c r="BK29" i="1"/>
  <c r="AL29" i="1"/>
  <c r="BL29" i="1"/>
  <c r="AN29" i="1"/>
  <c r="BM29" i="1"/>
  <c r="AS29" i="1"/>
  <c r="BN29" i="1"/>
  <c r="AT29" i="1"/>
  <c r="BO29" i="1"/>
  <c r="AU29" i="1"/>
  <c r="BP29" i="1"/>
  <c r="AV29" i="1"/>
  <c r="CV29" i="1"/>
  <c r="AW29" i="1"/>
  <c r="BC29" i="1"/>
  <c r="BD29" i="1"/>
  <c r="BE29" i="1"/>
  <c r="BH29" i="1"/>
  <c r="BI29" i="1"/>
  <c r="AU28" i="1"/>
  <c r="BP28" i="1"/>
  <c r="AV28" i="1"/>
  <c r="CV28" i="1"/>
  <c r="AW28" i="1"/>
  <c r="BC28" i="1"/>
  <c r="BD28" i="1"/>
  <c r="BE28" i="1"/>
  <c r="BH28" i="1"/>
  <c r="BI28" i="1"/>
  <c r="BJ28" i="1"/>
  <c r="BK28" i="1"/>
  <c r="AL28" i="1"/>
  <c r="BL28" i="1"/>
  <c r="C28" i="1"/>
  <c r="AN28" i="1"/>
  <c r="BM28" i="1"/>
  <c r="AS28" i="1"/>
  <c r="BD38" i="1"/>
  <c r="BK38" i="1"/>
  <c r="BL38" i="1"/>
  <c r="BM38" i="1"/>
  <c r="BL39" i="1"/>
  <c r="BN38" i="1"/>
  <c r="AN39" i="1"/>
  <c r="C38" i="1"/>
  <c r="BO38" i="1"/>
  <c r="AS39" i="1"/>
  <c r="BP38" i="1"/>
  <c r="AL38" i="1"/>
  <c r="AN38" i="1"/>
  <c r="BO39" i="1"/>
  <c r="BC41" i="1"/>
  <c r="BD41" i="1"/>
  <c r="BH41" i="1"/>
  <c r="C40" i="1"/>
  <c r="C39" i="1"/>
  <c r="BK41" i="1"/>
  <c r="AN41" i="1"/>
  <c r="BM41" i="1"/>
  <c r="AS41" i="1"/>
  <c r="BN41" i="1"/>
  <c r="AV24" i="1"/>
  <c r="AW33" i="1"/>
  <c r="AW24" i="1"/>
  <c r="BC32" i="1"/>
  <c r="BD32" i="1"/>
  <c r="BC33" i="1"/>
  <c r="BE43" i="1"/>
  <c r="BC24" i="1"/>
  <c r="BE32" i="1"/>
  <c r="BD33" i="1"/>
  <c r="BD24" i="1"/>
  <c r="BH32" i="1"/>
  <c r="BE33" i="1"/>
  <c r="BI43" i="1"/>
  <c r="C33" i="1"/>
  <c r="BE24" i="1"/>
  <c r="BI32" i="1"/>
  <c r="BH33" i="1"/>
  <c r="BJ43" i="1"/>
  <c r="C32" i="1"/>
  <c r="BH24" i="1"/>
  <c r="BJ32" i="1"/>
  <c r="BI33" i="1"/>
  <c r="BK43" i="1"/>
  <c r="AV33" i="1"/>
  <c r="BI24" i="1"/>
  <c r="BK32" i="1"/>
  <c r="BJ33" i="1"/>
  <c r="AL43" i="1"/>
  <c r="BL43" i="1"/>
  <c r="BJ24" i="1"/>
  <c r="AL32" i="1"/>
  <c r="BL32" i="1"/>
  <c r="BK33" i="1"/>
  <c r="AN43" i="1"/>
  <c r="BM43" i="1"/>
  <c r="CV33" i="1"/>
  <c r="BK24" i="1"/>
  <c r="AN32" i="1"/>
  <c r="BM32" i="1"/>
  <c r="AL33" i="1"/>
  <c r="BL33" i="1"/>
  <c r="AS43" i="1"/>
  <c r="BN43" i="1"/>
  <c r="AL24" i="1"/>
  <c r="BL24" i="1"/>
  <c r="AS32" i="1"/>
  <c r="BN32" i="1"/>
  <c r="AN33" i="1"/>
  <c r="BM33" i="1"/>
  <c r="AT43" i="1"/>
  <c r="BO43" i="1"/>
  <c r="C43" i="1"/>
  <c r="AN24" i="1"/>
  <c r="BM24" i="1"/>
  <c r="AT32" i="1"/>
  <c r="BO32" i="1"/>
  <c r="AS33" i="1"/>
  <c r="BN33" i="1"/>
  <c r="AU43" i="1"/>
  <c r="BP43" i="1"/>
  <c r="AS24" i="1"/>
  <c r="BN24" i="1"/>
  <c r="AU32" i="1"/>
  <c r="AT33" i="1"/>
  <c r="AV43" i="1"/>
  <c r="AV38" i="1"/>
  <c r="CV38" i="1"/>
  <c r="AT39" i="1"/>
  <c r="AU39" i="1"/>
  <c r="AV39" i="1"/>
  <c r="AW39" i="1"/>
  <c r="BE38" i="1"/>
  <c r="BC39" i="1"/>
  <c r="BH38" i="1"/>
  <c r="BD39" i="1"/>
  <c r="BI38" i="1"/>
  <c r="BH39" i="1"/>
  <c r="BJ38" i="1"/>
  <c r="BM39" i="1"/>
  <c r="BN39" i="1"/>
  <c r="C24" i="1"/>
  <c r="AN40" i="1"/>
  <c r="BM40" i="1"/>
  <c r="AS40" i="1"/>
  <c r="BN40" i="1"/>
  <c r="AT40" i="1"/>
  <c r="BO40" i="1"/>
  <c r="AL40" i="1"/>
  <c r="AU40" i="1"/>
  <c r="BP40" i="1"/>
  <c r="AV40" i="1"/>
  <c r="CV40" i="1"/>
  <c r="AW40" i="1"/>
  <c r="BC40" i="1"/>
  <c r="BE39" i="1"/>
  <c r="BD40" i="1"/>
  <c r="BE40" i="1"/>
  <c r="BI39" i="1"/>
  <c r="BH40" i="1"/>
  <c r="BJ39" i="1"/>
  <c r="BI40" i="1"/>
  <c r="BL40" i="1"/>
  <c r="BK39" i="1"/>
  <c r="BJ40" i="1"/>
  <c r="AL39" i="1"/>
  <c r="AM25" i="1"/>
  <c r="AY25" i="1" s="1"/>
  <c r="CC25" i="1" s="1"/>
  <c r="CL25" i="1" s="1"/>
  <c r="AM42" i="1"/>
  <c r="AM36" i="1"/>
  <c r="AM52" i="1"/>
  <c r="AX52" i="1" s="1"/>
  <c r="AM59" i="1"/>
  <c r="AX59" i="1" s="1"/>
  <c r="AM54" i="1"/>
  <c r="AX54" i="1" s="1"/>
  <c r="BZ55" i="3" l="1"/>
  <c r="CL55" i="3" s="1"/>
  <c r="AY55" i="3"/>
  <c r="CA55" i="3" s="1"/>
  <c r="CM55" i="3" s="1"/>
  <c r="CT85" i="3"/>
  <c r="AY27" i="3"/>
  <c r="CC27" i="3" s="1"/>
  <c r="CN89" i="3"/>
  <c r="AY51" i="3"/>
  <c r="CA51" i="3" s="1"/>
  <c r="CM51" i="3" s="1"/>
  <c r="AY31" i="3"/>
  <c r="CC31" i="3" s="1"/>
  <c r="CM31" i="3" s="1"/>
  <c r="CI66" i="3"/>
  <c r="CJ66" i="3" s="1"/>
  <c r="CK66" i="3" s="1"/>
  <c r="CT66" i="3" s="1"/>
  <c r="CM39" i="3"/>
  <c r="CT67" i="3"/>
  <c r="CK84" i="3"/>
  <c r="CT84" i="3" s="1"/>
  <c r="CK69" i="3"/>
  <c r="CT69" i="3" s="1"/>
  <c r="CT75" i="3"/>
  <c r="AY34" i="3"/>
  <c r="CC34" i="3" s="1"/>
  <c r="CM34" i="3" s="1"/>
  <c r="AY101" i="3"/>
  <c r="CN101" i="3" s="1"/>
  <c r="CT16" i="3"/>
  <c r="CU16" i="3" s="1"/>
  <c r="AM53" i="3"/>
  <c r="AX53" i="3" s="1"/>
  <c r="BZ45" i="3"/>
  <c r="CL45" i="3" s="1"/>
  <c r="AY45" i="3"/>
  <c r="CA45" i="3" s="1"/>
  <c r="CM45" i="3" s="1"/>
  <c r="BZ49" i="3"/>
  <c r="CL49" i="3" s="1"/>
  <c r="AY49" i="3"/>
  <c r="CA49" i="3" s="1"/>
  <c r="CM49" i="3" s="1"/>
  <c r="AY98" i="3"/>
  <c r="CC98" i="3" s="1"/>
  <c r="CE98" i="3" s="1"/>
  <c r="CK71" i="3"/>
  <c r="CT71" i="3" s="1"/>
  <c r="AY40" i="3"/>
  <c r="CC40" i="3" s="1"/>
  <c r="AY102" i="3"/>
  <c r="CN102" i="3" s="1"/>
  <c r="CE51" i="3"/>
  <c r="CT51" i="3" s="1"/>
  <c r="CQ95" i="3"/>
  <c r="AY33" i="3"/>
  <c r="CC33" i="3" s="1"/>
  <c r="CL33" i="3" s="1"/>
  <c r="CE33" i="3" s="1"/>
  <c r="CT33" i="3" s="1"/>
  <c r="AY24" i="3"/>
  <c r="CC24" i="3" s="1"/>
  <c r="CL24" i="3" s="1"/>
  <c r="CI78" i="3"/>
  <c r="CJ78" i="3" s="1"/>
  <c r="CK78" i="3" s="1"/>
  <c r="CT78" i="3" s="1"/>
  <c r="CT79" i="3"/>
  <c r="CP91" i="3"/>
  <c r="AY103" i="3"/>
  <c r="CC103" i="3" s="1"/>
  <c r="CE103" i="3" s="1"/>
  <c r="CO103" i="3" s="1"/>
  <c r="AY97" i="3"/>
  <c r="AY105" i="3"/>
  <c r="CC105" i="3" s="1"/>
  <c r="CE105" i="3" s="1"/>
  <c r="AY94" i="3"/>
  <c r="AY36" i="1"/>
  <c r="CC36" i="1" s="1"/>
  <c r="AY58" i="3"/>
  <c r="CA58" i="3" s="1"/>
  <c r="CM58" i="3" s="1"/>
  <c r="BZ58" i="3"/>
  <c r="CL58" i="3" s="1"/>
  <c r="BZ57" i="3"/>
  <c r="CL57" i="3" s="1"/>
  <c r="CE57" i="3" s="1"/>
  <c r="CT57" i="3" s="1"/>
  <c r="AY57" i="3"/>
  <c r="CA57" i="3" s="1"/>
  <c r="CM57" i="3" s="1"/>
  <c r="BZ46" i="3"/>
  <c r="CL46" i="3" s="1"/>
  <c r="AY46" i="3"/>
  <c r="CA46" i="3" s="1"/>
  <c r="CM46" i="3" s="1"/>
  <c r="CO89" i="3"/>
  <c r="CT89" i="3" s="1"/>
  <c r="CU89" i="3" s="1"/>
  <c r="CK77" i="3"/>
  <c r="CT77" i="3" s="1"/>
  <c r="AY37" i="3"/>
  <c r="CC37" i="3" s="1"/>
  <c r="CK74" i="3"/>
  <c r="CT74" i="3" s="1"/>
  <c r="CC92" i="3"/>
  <c r="CE92" i="3" s="1"/>
  <c r="AY107" i="3"/>
  <c r="AY99" i="3"/>
  <c r="CK83" i="3"/>
  <c r="CT83" i="3" s="1"/>
  <c r="CT68" i="3"/>
  <c r="CR98" i="3"/>
  <c r="AY106" i="3"/>
  <c r="CN106" i="3" s="1"/>
  <c r="BZ54" i="3"/>
  <c r="CL54" i="3" s="1"/>
  <c r="CE54" i="3" s="1"/>
  <c r="CT54" i="3" s="1"/>
  <c r="AY41" i="3"/>
  <c r="CC41" i="3" s="1"/>
  <c r="CM41" i="3" s="1"/>
  <c r="AM47" i="3"/>
  <c r="AX47" i="3" s="1"/>
  <c r="CC90" i="3"/>
  <c r="CE90" i="3" s="1"/>
  <c r="CO90" i="3" s="1"/>
  <c r="CT90" i="3" s="1"/>
  <c r="CU90" i="3" s="1"/>
  <c r="CN98" i="3"/>
  <c r="CN103" i="3"/>
  <c r="CN93" i="3"/>
  <c r="CC93" i="3"/>
  <c r="CE93" i="3" s="1"/>
  <c r="CO93" i="3" s="1"/>
  <c r="CT93" i="3" s="1"/>
  <c r="CU93" i="3" s="1"/>
  <c r="CM42" i="3"/>
  <c r="CL42" i="3"/>
  <c r="CM25" i="3"/>
  <c r="CL25" i="3"/>
  <c r="CM33" i="3"/>
  <c r="CN96" i="3"/>
  <c r="CC96" i="3"/>
  <c r="CE96" i="3" s="1"/>
  <c r="CO96" i="3" s="1"/>
  <c r="CT96" i="3" s="1"/>
  <c r="CU96" i="3" s="1"/>
  <c r="CT8" i="3"/>
  <c r="CU8" i="3" s="1"/>
  <c r="BZ50" i="3"/>
  <c r="CL50" i="3" s="1"/>
  <c r="AY50" i="3"/>
  <c r="CA50" i="3" s="1"/>
  <c r="CM50" i="3" s="1"/>
  <c r="BZ44" i="3"/>
  <c r="CL44" i="3" s="1"/>
  <c r="AY44" i="3"/>
  <c r="CA44" i="3" s="1"/>
  <c r="CM44" i="3" s="1"/>
  <c r="BZ62" i="3"/>
  <c r="CL62" i="3" s="1"/>
  <c r="AY62" i="3"/>
  <c r="CA62" i="3" s="1"/>
  <c r="CM62" i="3" s="1"/>
  <c r="CL32" i="3"/>
  <c r="CM32" i="3"/>
  <c r="AY104" i="3"/>
  <c r="CM28" i="3"/>
  <c r="CL28" i="3"/>
  <c r="CE28" i="3" s="1"/>
  <c r="CT28" i="3" s="1"/>
  <c r="CC88" i="3"/>
  <c r="CE88" i="3" s="1"/>
  <c r="CO88" i="3" s="1"/>
  <c r="CT88" i="3" s="1"/>
  <c r="CU88" i="3" s="1"/>
  <c r="CM35" i="3"/>
  <c r="CL35" i="3"/>
  <c r="BZ48" i="3"/>
  <c r="CL48" i="3" s="1"/>
  <c r="AY48" i="3"/>
  <c r="CA48" i="3" s="1"/>
  <c r="CM48" i="3" s="1"/>
  <c r="CE56" i="3"/>
  <c r="CT56" i="3" s="1"/>
  <c r="CN97" i="3"/>
  <c r="CC97" i="3"/>
  <c r="CE97" i="3" s="1"/>
  <c r="CM30" i="3"/>
  <c r="CL30" i="3"/>
  <c r="CM38" i="3"/>
  <c r="CL38" i="3"/>
  <c r="CR103" i="3"/>
  <c r="CC95" i="3"/>
  <c r="CE95" i="3" s="1"/>
  <c r="CO95" i="3" s="1"/>
  <c r="CT95" i="3" s="1"/>
  <c r="CU95" i="3" s="1"/>
  <c r="CM26" i="3"/>
  <c r="CL26" i="3"/>
  <c r="CE26" i="3" s="1"/>
  <c r="CT26" i="3" s="1"/>
  <c r="CK72" i="3"/>
  <c r="CT72" i="3" s="1"/>
  <c r="CM29" i="3"/>
  <c r="CL29" i="3"/>
  <c r="CE55" i="3"/>
  <c r="CT55" i="3" s="1"/>
  <c r="CM43" i="3"/>
  <c r="CL43" i="3"/>
  <c r="BZ63" i="3"/>
  <c r="CL63" i="3" s="1"/>
  <c r="AY63" i="3"/>
  <c r="CA63" i="3" s="1"/>
  <c r="CM63" i="3" s="1"/>
  <c r="CN94" i="3"/>
  <c r="CC94" i="3"/>
  <c r="CE94" i="3" s="1"/>
  <c r="BZ59" i="3"/>
  <c r="CL59" i="3" s="1"/>
  <c r="AY59" i="3"/>
  <c r="CA59" i="3" s="1"/>
  <c r="CM59" i="3" s="1"/>
  <c r="BZ61" i="3"/>
  <c r="CL61" i="3" s="1"/>
  <c r="AY61" i="3"/>
  <c r="CA61" i="3" s="1"/>
  <c r="CM61" i="3" s="1"/>
  <c r="CE45" i="3"/>
  <c r="CT45" i="3" s="1"/>
  <c r="BZ52" i="3"/>
  <c r="CL52" i="3" s="1"/>
  <c r="AY52" i="3"/>
  <c r="CA52" i="3" s="1"/>
  <c r="CM52" i="3" s="1"/>
  <c r="CE39" i="3"/>
  <c r="CT39" i="3" s="1"/>
  <c r="CI70" i="3"/>
  <c r="CJ70" i="3" s="1"/>
  <c r="CK70" i="3" s="1"/>
  <c r="CT70" i="3" s="1"/>
  <c r="CM36" i="3"/>
  <c r="CL36" i="3"/>
  <c r="CM27" i="3"/>
  <c r="CL27" i="3"/>
  <c r="BZ60" i="3"/>
  <c r="CL60" i="3" s="1"/>
  <c r="AY60" i="3"/>
  <c r="CA60" i="3" s="1"/>
  <c r="CM60" i="3" s="1"/>
  <c r="BZ53" i="3"/>
  <c r="CL53" i="3" s="1"/>
  <c r="AY53" i="3"/>
  <c r="CA53" i="3" s="1"/>
  <c r="CM53" i="3" s="1"/>
  <c r="CE49" i="3"/>
  <c r="CT49" i="3" s="1"/>
  <c r="CM37" i="3"/>
  <c r="CL37" i="3"/>
  <c r="CE37" i="3" s="1"/>
  <c r="CT37" i="3" s="1"/>
  <c r="CO92" i="3"/>
  <c r="CT92" i="3" s="1"/>
  <c r="CU92" i="3" s="1"/>
  <c r="CK80" i="3"/>
  <c r="CT80" i="3" s="1"/>
  <c r="CC100" i="3"/>
  <c r="CE100" i="3" s="1"/>
  <c r="CO100" i="3" s="1"/>
  <c r="CT100" i="3" s="1"/>
  <c r="CU100" i="3" s="1"/>
  <c r="CN91" i="3"/>
  <c r="CO91" i="3" s="1"/>
  <c r="CT91" i="3" s="1"/>
  <c r="CU91" i="3" s="1"/>
  <c r="CM40" i="3"/>
  <c r="CL40" i="3"/>
  <c r="AY26" i="1"/>
  <c r="CC26" i="1" s="1"/>
  <c r="AM38" i="1"/>
  <c r="AM55" i="1"/>
  <c r="AX55" i="1" s="1"/>
  <c r="AM62" i="1"/>
  <c r="AX62" i="1" s="1"/>
  <c r="AY62" i="1" s="1"/>
  <c r="CA62" i="1" s="1"/>
  <c r="CM62" i="1" s="1"/>
  <c r="AM41" i="1"/>
  <c r="AY41" i="1" s="1"/>
  <c r="CC41" i="1" s="1"/>
  <c r="CM41" i="1" s="1"/>
  <c r="AM61" i="1"/>
  <c r="AX61" i="1" s="1"/>
  <c r="AY35" i="1"/>
  <c r="CC35" i="1" s="1"/>
  <c r="CM35" i="1" s="1"/>
  <c r="AM50" i="1"/>
  <c r="AX50" i="1" s="1"/>
  <c r="BZ50" i="1" s="1"/>
  <c r="CL50" i="1" s="1"/>
  <c r="AM44" i="1"/>
  <c r="AX44" i="1" s="1"/>
  <c r="AY42" i="1"/>
  <c r="CC42" i="1" s="1"/>
  <c r="CM42" i="1" s="1"/>
  <c r="AM53" i="1"/>
  <c r="AX53" i="1" s="1"/>
  <c r="BZ53" i="1" s="1"/>
  <c r="CL53" i="1" s="1"/>
  <c r="AM45" i="1"/>
  <c r="AX45" i="1" s="1"/>
  <c r="AY45" i="1" s="1"/>
  <c r="CA45" i="1" s="1"/>
  <c r="CM45" i="1" s="1"/>
  <c r="AY30" i="1"/>
  <c r="CC30" i="1" s="1"/>
  <c r="CM30" i="1" s="1"/>
  <c r="AY31" i="1"/>
  <c r="CC31" i="1" s="1"/>
  <c r="CM31" i="1" s="1"/>
  <c r="AY27" i="1"/>
  <c r="CC27" i="1" s="1"/>
  <c r="CM27" i="1" s="1"/>
  <c r="AM63" i="1"/>
  <c r="AX63" i="1" s="1"/>
  <c r="AY63" i="1" s="1"/>
  <c r="CA63" i="1" s="1"/>
  <c r="CM63" i="1" s="1"/>
  <c r="AM28" i="1"/>
  <c r="AY28" i="1" s="1"/>
  <c r="CC28" i="1" s="1"/>
  <c r="CL28" i="1" s="1"/>
  <c r="AM51" i="1"/>
  <c r="AX51" i="1" s="1"/>
  <c r="BZ51" i="1" s="1"/>
  <c r="CL51" i="1" s="1"/>
  <c r="AM29" i="1"/>
  <c r="AY29" i="1" s="1"/>
  <c r="CC29" i="1" s="1"/>
  <c r="CM29" i="1" s="1"/>
  <c r="AM49" i="1"/>
  <c r="AX49" i="1" s="1"/>
  <c r="BZ49" i="1" s="1"/>
  <c r="CL49" i="1" s="1"/>
  <c r="AY48" i="1"/>
  <c r="CA48" i="1" s="1"/>
  <c r="CM48" i="1" s="1"/>
  <c r="BZ48" i="1"/>
  <c r="CL48" i="1" s="1"/>
  <c r="BZ62" i="1"/>
  <c r="CL62" i="1" s="1"/>
  <c r="CE62" i="1" s="1"/>
  <c r="CT62" i="1" s="1"/>
  <c r="CU62" i="1" s="1"/>
  <c r="BZ47" i="1"/>
  <c r="CL47" i="1" s="1"/>
  <c r="AY47" i="1"/>
  <c r="CA47" i="1" s="1"/>
  <c r="CM47" i="1" s="1"/>
  <c r="AY58" i="1"/>
  <c r="CA58" i="1" s="1"/>
  <c r="CM58" i="1" s="1"/>
  <c r="BZ58" i="1"/>
  <c r="CL58" i="1" s="1"/>
  <c r="AY44" i="1"/>
  <c r="CA44" i="1" s="1"/>
  <c r="CM44" i="1" s="1"/>
  <c r="BZ44" i="1"/>
  <c r="CL44" i="1" s="1"/>
  <c r="AM33" i="1"/>
  <c r="AY33" i="1" s="1"/>
  <c r="CC33" i="1" s="1"/>
  <c r="CM33" i="1" s="1"/>
  <c r="AM24" i="1"/>
  <c r="AY24" i="1" s="1"/>
  <c r="CC24" i="1" s="1"/>
  <c r="CM24" i="1" s="1"/>
  <c r="AY38" i="1"/>
  <c r="CC38" i="1" s="1"/>
  <c r="CM38" i="1" s="1"/>
  <c r="AM32" i="1"/>
  <c r="AY32" i="1" s="1"/>
  <c r="CC32" i="1" s="1"/>
  <c r="AM39" i="1"/>
  <c r="AY39" i="1" s="1"/>
  <c r="CC39" i="1" s="1"/>
  <c r="AM43" i="1"/>
  <c r="AY43" i="1" s="1"/>
  <c r="CC43" i="1" s="1"/>
  <c r="CM43" i="1" s="1"/>
  <c r="CM25" i="1"/>
  <c r="CE25" i="1" s="1"/>
  <c r="CT25" i="1" s="1"/>
  <c r="CU25" i="1" s="1"/>
  <c r="AM40" i="1"/>
  <c r="AY40" i="1" s="1"/>
  <c r="CC40" i="1" s="1"/>
  <c r="CL40" i="1" s="1"/>
  <c r="CL35" i="1"/>
  <c r="AY52" i="1"/>
  <c r="CA52" i="1" s="1"/>
  <c r="CM52" i="1" s="1"/>
  <c r="BZ52" i="1"/>
  <c r="CL52" i="1" s="1"/>
  <c r="AY60" i="1"/>
  <c r="CA60" i="1" s="1"/>
  <c r="CM60" i="1" s="1"/>
  <c r="BZ60" i="1"/>
  <c r="CL60" i="1" s="1"/>
  <c r="CM26" i="1"/>
  <c r="CL26" i="1"/>
  <c r="BZ59" i="1"/>
  <c r="CL59" i="1" s="1"/>
  <c r="AY59" i="1"/>
  <c r="CA59" i="1" s="1"/>
  <c r="CM59" i="1" s="1"/>
  <c r="CL36" i="1"/>
  <c r="CM36" i="1"/>
  <c r="BZ57" i="1"/>
  <c r="CL57" i="1" s="1"/>
  <c r="AY57" i="1"/>
  <c r="CA57" i="1" s="1"/>
  <c r="CM57" i="1" s="1"/>
  <c r="BZ61" i="1"/>
  <c r="CL61" i="1" s="1"/>
  <c r="AY61" i="1"/>
  <c r="CA61" i="1" s="1"/>
  <c r="CM61" i="1" s="1"/>
  <c r="CM34" i="1"/>
  <c r="CL34" i="1"/>
  <c r="AY56" i="1"/>
  <c r="CA56" i="1" s="1"/>
  <c r="CM56" i="1" s="1"/>
  <c r="BZ56" i="1"/>
  <c r="CL56" i="1" s="1"/>
  <c r="AY46" i="1"/>
  <c r="CA46" i="1" s="1"/>
  <c r="CM46" i="1" s="1"/>
  <c r="BZ46" i="1"/>
  <c r="CL46" i="1" s="1"/>
  <c r="AY54" i="1"/>
  <c r="CA54" i="1" s="1"/>
  <c r="CM54" i="1" s="1"/>
  <c r="BZ54" i="1"/>
  <c r="CL54" i="1" s="1"/>
  <c r="CM37" i="1"/>
  <c r="CL37" i="1"/>
  <c r="AY53" i="1"/>
  <c r="CA53" i="1" s="1"/>
  <c r="CM53" i="1" s="1"/>
  <c r="BZ55" i="1"/>
  <c r="CL55" i="1" s="1"/>
  <c r="AY55" i="1"/>
  <c r="CA55" i="1" s="1"/>
  <c r="CM55" i="1" s="1"/>
  <c r="CE58" i="3" l="1"/>
  <c r="CT58" i="3" s="1"/>
  <c r="CL41" i="3"/>
  <c r="CO98" i="3"/>
  <c r="CT98" i="3" s="1"/>
  <c r="CU98" i="3" s="1"/>
  <c r="CC101" i="3"/>
  <c r="CE101" i="3" s="1"/>
  <c r="CO101" i="3" s="1"/>
  <c r="CT101" i="3" s="1"/>
  <c r="CU101" i="3" s="1"/>
  <c r="CL31" i="3"/>
  <c r="CE31" i="3" s="1"/>
  <c r="CT31" i="3" s="1"/>
  <c r="CE36" i="3"/>
  <c r="CT36" i="3" s="1"/>
  <c r="CL34" i="3"/>
  <c r="CE34" i="3" s="1"/>
  <c r="CT34" i="3" s="1"/>
  <c r="CC102" i="3"/>
  <c r="CE102" i="3" s="1"/>
  <c r="CO102" i="3" s="1"/>
  <c r="CT102" i="3" s="1"/>
  <c r="CU102" i="3" s="1"/>
  <c r="CM24" i="3"/>
  <c r="CE24" i="3" s="1"/>
  <c r="CT24" i="3" s="1"/>
  <c r="CE61" i="3"/>
  <c r="CT61" i="3" s="1"/>
  <c r="CE27" i="3"/>
  <c r="CT27" i="3" s="1"/>
  <c r="CO94" i="3"/>
  <c r="CT94" i="3" s="1"/>
  <c r="CU94" i="3" s="1"/>
  <c r="CO97" i="3"/>
  <c r="CT97" i="3" s="1"/>
  <c r="CU97" i="3" s="1"/>
  <c r="CC106" i="3"/>
  <c r="CE106" i="3" s="1"/>
  <c r="CO106" i="3" s="1"/>
  <c r="CT106" i="3" s="1"/>
  <c r="CU106" i="3" s="1"/>
  <c r="CE43" i="3"/>
  <c r="CT43" i="3" s="1"/>
  <c r="CN105" i="3"/>
  <c r="CO105" i="3" s="1"/>
  <c r="CT105" i="3" s="1"/>
  <c r="CU105" i="3" s="1"/>
  <c r="AY50" i="1"/>
  <c r="CA50" i="1" s="1"/>
  <c r="CM50" i="1" s="1"/>
  <c r="BZ45" i="1"/>
  <c r="CL45" i="1" s="1"/>
  <c r="CE48" i="3"/>
  <c r="CT48" i="3" s="1"/>
  <c r="CC99" i="3"/>
  <c r="CE99" i="3" s="1"/>
  <c r="CO99" i="3" s="1"/>
  <c r="CT99" i="3" s="1"/>
  <c r="CU99" i="3" s="1"/>
  <c r="CN99" i="3"/>
  <c r="CT103" i="3"/>
  <c r="CU103" i="3" s="1"/>
  <c r="CC107" i="3"/>
  <c r="CE107" i="3" s="1"/>
  <c r="CO107" i="3" s="1"/>
  <c r="CT107" i="3" s="1"/>
  <c r="CU107" i="3" s="1"/>
  <c r="CN107" i="3"/>
  <c r="CE53" i="3"/>
  <c r="CT53" i="3" s="1"/>
  <c r="CE60" i="3"/>
  <c r="CT60" i="3" s="1"/>
  <c r="CE52" i="3"/>
  <c r="CT52" i="3" s="1"/>
  <c r="CE38" i="3"/>
  <c r="CT38" i="3" s="1"/>
  <c r="CE25" i="3"/>
  <c r="CT25" i="3" s="1"/>
  <c r="CE30" i="3"/>
  <c r="CT30" i="3" s="1"/>
  <c r="CE41" i="3"/>
  <c r="CT41" i="3" s="1"/>
  <c r="BZ47" i="3"/>
  <c r="CL47" i="3" s="1"/>
  <c r="AY47" i="3"/>
  <c r="CA47" i="3" s="1"/>
  <c r="CM47" i="3" s="1"/>
  <c r="CE40" i="3"/>
  <c r="CT40" i="3" s="1"/>
  <c r="CE46" i="3"/>
  <c r="CT46" i="3" s="1"/>
  <c r="CE62" i="3"/>
  <c r="CT62" i="3" s="1"/>
  <c r="CE42" i="3"/>
  <c r="CT42" i="3" s="1"/>
  <c r="CE44" i="3"/>
  <c r="CT44" i="3" s="1"/>
  <c r="CE32" i="3"/>
  <c r="CT32" i="3" s="1"/>
  <c r="CN104" i="3"/>
  <c r="CC104" i="3"/>
  <c r="CE104" i="3" s="1"/>
  <c r="CE63" i="3"/>
  <c r="CT63" i="3" s="1"/>
  <c r="CE59" i="3"/>
  <c r="CT59" i="3" s="1"/>
  <c r="CE29" i="3"/>
  <c r="CT29" i="3" s="1"/>
  <c r="CE50" i="3"/>
  <c r="CT50" i="3" s="1"/>
  <c r="CE35" i="3"/>
  <c r="CT35" i="3" s="1"/>
  <c r="CL29" i="1"/>
  <c r="CE29" i="1" s="1"/>
  <c r="CT29" i="1" s="1"/>
  <c r="CU29" i="1" s="1"/>
  <c r="CL42" i="1"/>
  <c r="CL41" i="1"/>
  <c r="CL30" i="1"/>
  <c r="CE30" i="1" s="1"/>
  <c r="CT30" i="1" s="1"/>
  <c r="CU30" i="1" s="1"/>
  <c r="BZ63" i="1"/>
  <c r="CL63" i="1" s="1"/>
  <c r="CL31" i="1"/>
  <c r="CE41" i="1"/>
  <c r="CT41" i="1" s="1"/>
  <c r="CU41" i="1" s="1"/>
  <c r="AY51" i="1"/>
  <c r="CA51" i="1" s="1"/>
  <c r="CM51" i="1" s="1"/>
  <c r="CE51" i="1" s="1"/>
  <c r="CT51" i="1" s="1"/>
  <c r="CU51" i="1" s="1"/>
  <c r="CE47" i="1"/>
  <c r="CT47" i="1" s="1"/>
  <c r="CU47" i="1" s="1"/>
  <c r="CE48" i="1"/>
  <c r="CT48" i="1" s="1"/>
  <c r="CU48" i="1" s="1"/>
  <c r="AY49" i="1"/>
  <c r="CA49" i="1" s="1"/>
  <c r="CM49" i="1" s="1"/>
  <c r="CE49" i="1" s="1"/>
  <c r="CT49" i="1" s="1"/>
  <c r="CU49" i="1" s="1"/>
  <c r="CE44" i="1"/>
  <c r="CT44" i="1" s="1"/>
  <c r="CU44" i="1" s="1"/>
  <c r="CL27" i="1"/>
  <c r="CE27" i="1" s="1"/>
  <c r="CT27" i="1" s="1"/>
  <c r="CU27" i="1" s="1"/>
  <c r="CE46" i="1"/>
  <c r="CT46" i="1" s="1"/>
  <c r="CU46" i="1" s="1"/>
  <c r="CM28" i="1"/>
  <c r="CE28" i="1" s="1"/>
  <c r="CT28" i="1" s="1"/>
  <c r="CU28" i="1" s="1"/>
  <c r="CE58" i="1"/>
  <c r="CT58" i="1" s="1"/>
  <c r="CU58" i="1" s="1"/>
  <c r="CE59" i="1"/>
  <c r="CT59" i="1" s="1"/>
  <c r="CU59" i="1" s="1"/>
  <c r="CL33" i="1"/>
  <c r="CE33" i="1" s="1"/>
  <c r="CT33" i="1" s="1"/>
  <c r="CU33" i="1" s="1"/>
  <c r="CM39" i="1"/>
  <c r="CL39" i="1"/>
  <c r="CE52" i="1"/>
  <c r="CT52" i="1" s="1"/>
  <c r="CU52" i="1" s="1"/>
  <c r="CE56" i="1"/>
  <c r="CT56" i="1" s="1"/>
  <c r="CU56" i="1" s="1"/>
  <c r="CE55" i="1"/>
  <c r="CT55" i="1" s="1"/>
  <c r="CU55" i="1" s="1"/>
  <c r="CL38" i="1"/>
  <c r="CE38" i="1" s="1"/>
  <c r="CT38" i="1" s="1"/>
  <c r="CU38" i="1" s="1"/>
  <c r="CM32" i="1"/>
  <c r="CL32" i="1"/>
  <c r="CM40" i="1"/>
  <c r="CE40" i="1" s="1"/>
  <c r="CT40" i="1" s="1"/>
  <c r="CU40" i="1" s="1"/>
  <c r="CE34" i="1"/>
  <c r="CT34" i="1" s="1"/>
  <c r="CU34" i="1" s="1"/>
  <c r="CE31" i="1"/>
  <c r="CT31" i="1" s="1"/>
  <c r="CU31" i="1" s="1"/>
  <c r="CL43" i="1"/>
  <c r="CE43" i="1" s="1"/>
  <c r="CT43" i="1" s="1"/>
  <c r="CU43" i="1" s="1"/>
  <c r="CL24" i="1"/>
  <c r="CE24" i="1" s="1"/>
  <c r="CT24" i="1" s="1"/>
  <c r="CU24" i="1" s="1"/>
  <c r="CE35" i="1"/>
  <c r="CT35" i="1" s="1"/>
  <c r="CU35" i="1" s="1"/>
  <c r="CE42" i="1"/>
  <c r="CT42" i="1" s="1"/>
  <c r="CU42" i="1" s="1"/>
  <c r="CE26" i="1"/>
  <c r="CT26" i="1" s="1"/>
  <c r="CU26" i="1" s="1"/>
  <c r="CE54" i="1"/>
  <c r="CT54" i="1" s="1"/>
  <c r="CU54" i="1" s="1"/>
  <c r="CE60" i="1"/>
  <c r="CT60" i="1" s="1"/>
  <c r="CU60" i="1" s="1"/>
  <c r="CE57" i="1"/>
  <c r="CT57" i="1" s="1"/>
  <c r="CU57" i="1" s="1"/>
  <c r="CE63" i="1"/>
  <c r="CT63" i="1" s="1"/>
  <c r="CU63" i="1" s="1"/>
  <c r="CE50" i="1"/>
  <c r="CT50" i="1" s="1"/>
  <c r="CU50" i="1" s="1"/>
  <c r="CE53" i="1"/>
  <c r="CT53" i="1" s="1"/>
  <c r="CU53" i="1" s="1"/>
  <c r="CE45" i="1"/>
  <c r="CT45" i="1" s="1"/>
  <c r="CU45" i="1" s="1"/>
  <c r="CE36" i="1"/>
  <c r="CT36" i="1" s="1"/>
  <c r="CU36" i="1" s="1"/>
  <c r="CE37" i="1"/>
  <c r="CT37" i="1" s="1"/>
  <c r="CU37" i="1" s="1"/>
  <c r="CE61" i="1"/>
  <c r="CT61" i="1" s="1"/>
  <c r="CU61" i="1" s="1"/>
  <c r="CO104" i="3" l="1"/>
  <c r="CT104" i="3" s="1"/>
  <c r="CU104" i="3" s="1"/>
  <c r="CE47" i="3"/>
  <c r="CT47" i="3" s="1"/>
  <c r="CE39" i="1"/>
  <c r="CT39" i="1" s="1"/>
  <c r="CU39" i="1" s="1"/>
  <c r="CE32" i="1"/>
  <c r="CT32" i="1" s="1"/>
  <c r="CU32" i="1" s="1"/>
  <c r="CV107" i="1" l="1"/>
  <c r="CG107" i="1"/>
  <c r="CB107" i="1"/>
  <c r="CD107" i="1"/>
  <c r="BP107" i="1"/>
  <c r="BO107" i="1"/>
  <c r="BN107" i="1"/>
  <c r="BM107" i="1"/>
  <c r="BL107" i="1"/>
  <c r="BK107" i="1"/>
  <c r="BJ107" i="1"/>
  <c r="BI107" i="1"/>
  <c r="BH107" i="1"/>
  <c r="BG107" i="1"/>
  <c r="CS107" i="1" s="1"/>
  <c r="BF107" i="1"/>
  <c r="BE107" i="1"/>
  <c r="BD107" i="1"/>
  <c r="BC107" i="1"/>
  <c r="AR107" i="1"/>
  <c r="AQ107" i="1"/>
  <c r="AP107" i="1"/>
  <c r="AO107" i="1"/>
  <c r="AN107" i="1"/>
  <c r="AM107" i="1"/>
  <c r="AL107" i="1"/>
  <c r="AA107" i="1"/>
  <c r="AE107" i="1" s="1"/>
  <c r="X107" i="1"/>
  <c r="W107" i="1"/>
  <c r="V107" i="1"/>
  <c r="AF107" i="1" s="1"/>
  <c r="U107" i="1"/>
  <c r="P107" i="1"/>
  <c r="N107" i="1"/>
  <c r="M107" i="1"/>
  <c r="L107" i="1"/>
  <c r="K107" i="1"/>
  <c r="G107" i="1"/>
  <c r="E107" i="1"/>
  <c r="CV106" i="1"/>
  <c r="CG106" i="1"/>
  <c r="CB106" i="1"/>
  <c r="CD106" i="1"/>
  <c r="BP106" i="1"/>
  <c r="BO106" i="1"/>
  <c r="BN106" i="1"/>
  <c r="BM106" i="1"/>
  <c r="BL106" i="1"/>
  <c r="BK106" i="1"/>
  <c r="BJ106" i="1"/>
  <c r="BI106" i="1"/>
  <c r="BH106" i="1"/>
  <c r="BG106" i="1"/>
  <c r="CS106" i="1" s="1"/>
  <c r="BF106" i="1"/>
  <c r="BE106" i="1"/>
  <c r="BD106" i="1"/>
  <c r="BC106" i="1"/>
  <c r="AR106" i="1"/>
  <c r="AQ106" i="1"/>
  <c r="AP106" i="1"/>
  <c r="AO106" i="1"/>
  <c r="AN106" i="1"/>
  <c r="AM106" i="1"/>
  <c r="AL106" i="1"/>
  <c r="AA106" i="1"/>
  <c r="AE106" i="1" s="1"/>
  <c r="X106" i="1"/>
  <c r="W106" i="1"/>
  <c r="V106" i="1"/>
  <c r="AF106" i="1" s="1"/>
  <c r="U106" i="1"/>
  <c r="P106" i="1"/>
  <c r="N106" i="1"/>
  <c r="M106" i="1"/>
  <c r="L106" i="1"/>
  <c r="K106" i="1"/>
  <c r="G106" i="1"/>
  <c r="E106" i="1"/>
  <c r="CV105" i="1"/>
  <c r="CG105" i="1"/>
  <c r="CB105" i="1"/>
  <c r="CD105" i="1"/>
  <c r="BP105" i="1"/>
  <c r="BO105" i="1"/>
  <c r="BN105" i="1"/>
  <c r="BM105" i="1"/>
  <c r="BL105" i="1"/>
  <c r="BK105" i="1"/>
  <c r="BJ105" i="1"/>
  <c r="BI105" i="1"/>
  <c r="BH105" i="1"/>
  <c r="BG105" i="1"/>
  <c r="CS105" i="1" s="1"/>
  <c r="BF105" i="1"/>
  <c r="BE105" i="1"/>
  <c r="BD105" i="1"/>
  <c r="BC105" i="1"/>
  <c r="AR105" i="1"/>
  <c r="AQ105" i="1"/>
  <c r="AP105" i="1"/>
  <c r="AO105" i="1"/>
  <c r="AN105" i="1"/>
  <c r="AM105" i="1"/>
  <c r="AL105" i="1"/>
  <c r="AA105" i="1"/>
  <c r="AE105" i="1" s="1"/>
  <c r="X105" i="1"/>
  <c r="W105" i="1"/>
  <c r="V105" i="1"/>
  <c r="AF105" i="1" s="1"/>
  <c r="U105" i="1"/>
  <c r="P105" i="1"/>
  <c r="N105" i="1"/>
  <c r="M105" i="1"/>
  <c r="L105" i="1"/>
  <c r="K105" i="1"/>
  <c r="G105" i="1"/>
  <c r="E105" i="1"/>
  <c r="CV104" i="1"/>
  <c r="CG104" i="1"/>
  <c r="CB104" i="1"/>
  <c r="CD104" i="1"/>
  <c r="BP104" i="1"/>
  <c r="BO104" i="1"/>
  <c r="BN104" i="1"/>
  <c r="BM104" i="1"/>
  <c r="BL104" i="1"/>
  <c r="BK104" i="1"/>
  <c r="BJ104" i="1"/>
  <c r="BI104" i="1"/>
  <c r="BH104" i="1"/>
  <c r="BG104" i="1"/>
  <c r="CS104" i="1" s="1"/>
  <c r="BF104" i="1"/>
  <c r="BE104" i="1"/>
  <c r="BD104" i="1"/>
  <c r="BC104" i="1"/>
  <c r="AR104" i="1"/>
  <c r="AQ104" i="1"/>
  <c r="AP104" i="1"/>
  <c r="AO104" i="1"/>
  <c r="AN104" i="1"/>
  <c r="AM104" i="1"/>
  <c r="AL104" i="1"/>
  <c r="AA104" i="1"/>
  <c r="AE104" i="1" s="1"/>
  <c r="X104" i="1"/>
  <c r="W104" i="1"/>
  <c r="V104" i="1"/>
  <c r="AF104" i="1" s="1"/>
  <c r="U104" i="1"/>
  <c r="P104" i="1"/>
  <c r="N104" i="1"/>
  <c r="M104" i="1"/>
  <c r="L104" i="1"/>
  <c r="K104" i="1"/>
  <c r="G104" i="1"/>
  <c r="E104" i="1"/>
  <c r="CV103" i="1"/>
  <c r="CG103" i="1"/>
  <c r="CB103" i="1"/>
  <c r="CD103" i="1"/>
  <c r="BP103" i="1"/>
  <c r="BO103" i="1"/>
  <c r="BN103" i="1"/>
  <c r="BM103" i="1"/>
  <c r="BL103" i="1"/>
  <c r="BK103" i="1"/>
  <c r="BJ103" i="1"/>
  <c r="BI103" i="1"/>
  <c r="BH103" i="1"/>
  <c r="BG103" i="1"/>
  <c r="CS103" i="1" s="1"/>
  <c r="BF103" i="1"/>
  <c r="BE103" i="1"/>
  <c r="BD103" i="1"/>
  <c r="BC103" i="1"/>
  <c r="AR103" i="1"/>
  <c r="AQ103" i="1"/>
  <c r="AP103" i="1"/>
  <c r="AO103" i="1"/>
  <c r="AN103" i="1"/>
  <c r="AM103" i="1"/>
  <c r="AL103" i="1"/>
  <c r="AA103" i="1"/>
  <c r="AE103" i="1" s="1"/>
  <c r="X103" i="1"/>
  <c r="W103" i="1"/>
  <c r="V103" i="1"/>
  <c r="AF103" i="1" s="1"/>
  <c r="U103" i="1"/>
  <c r="P103" i="1"/>
  <c r="N103" i="1"/>
  <c r="M103" i="1"/>
  <c r="L103" i="1"/>
  <c r="K103" i="1"/>
  <c r="G103" i="1"/>
  <c r="E103" i="1"/>
  <c r="CV102" i="1"/>
  <c r="CG102" i="1"/>
  <c r="CB102" i="1"/>
  <c r="CD102" i="1"/>
  <c r="BP102" i="1"/>
  <c r="BO102" i="1"/>
  <c r="BN102" i="1"/>
  <c r="BM102" i="1"/>
  <c r="BL102" i="1"/>
  <c r="BK102" i="1"/>
  <c r="BJ102" i="1"/>
  <c r="BI102" i="1"/>
  <c r="BH102" i="1"/>
  <c r="BG102" i="1"/>
  <c r="CS102" i="1" s="1"/>
  <c r="BF102" i="1"/>
  <c r="BE102" i="1"/>
  <c r="BD102" i="1"/>
  <c r="BC102" i="1"/>
  <c r="AR102" i="1"/>
  <c r="AQ102" i="1"/>
  <c r="AP102" i="1"/>
  <c r="AO102" i="1"/>
  <c r="AN102" i="1"/>
  <c r="AM102" i="1"/>
  <c r="AL102" i="1"/>
  <c r="AA102" i="1"/>
  <c r="AE102" i="1" s="1"/>
  <c r="X102" i="1"/>
  <c r="W102" i="1"/>
  <c r="V102" i="1"/>
  <c r="AF102" i="1" s="1"/>
  <c r="U102" i="1"/>
  <c r="P102" i="1"/>
  <c r="N102" i="1"/>
  <c r="M102" i="1"/>
  <c r="L102" i="1"/>
  <c r="K102" i="1"/>
  <c r="G102" i="1"/>
  <c r="E102" i="1"/>
  <c r="CV101" i="1"/>
  <c r="CG101" i="1"/>
  <c r="CB101" i="1"/>
  <c r="CD101" i="1"/>
  <c r="BP101" i="1"/>
  <c r="BO101" i="1"/>
  <c r="BN101" i="1"/>
  <c r="BM101" i="1"/>
  <c r="BL101" i="1"/>
  <c r="BK101" i="1"/>
  <c r="BJ101" i="1"/>
  <c r="BI101" i="1"/>
  <c r="BH101" i="1"/>
  <c r="BG101" i="1"/>
  <c r="CS101" i="1" s="1"/>
  <c r="BF101" i="1"/>
  <c r="BE101" i="1"/>
  <c r="BD101" i="1"/>
  <c r="BC101" i="1"/>
  <c r="AR101" i="1"/>
  <c r="AQ101" i="1"/>
  <c r="AP101" i="1"/>
  <c r="AO101" i="1"/>
  <c r="AN101" i="1"/>
  <c r="AM101" i="1"/>
  <c r="AL101" i="1"/>
  <c r="AA101" i="1"/>
  <c r="AE101" i="1" s="1"/>
  <c r="X101" i="1"/>
  <c r="W101" i="1"/>
  <c r="V101" i="1"/>
  <c r="AF101" i="1" s="1"/>
  <c r="U101" i="1"/>
  <c r="P101" i="1"/>
  <c r="N101" i="1"/>
  <c r="M101" i="1"/>
  <c r="L101" i="1"/>
  <c r="K101" i="1"/>
  <c r="G101" i="1"/>
  <c r="E101" i="1"/>
  <c r="CV100" i="1"/>
  <c r="CG100" i="1"/>
  <c r="CB100" i="1"/>
  <c r="CD100" i="1"/>
  <c r="BP100" i="1"/>
  <c r="BO100" i="1"/>
  <c r="BN100" i="1"/>
  <c r="BM100" i="1"/>
  <c r="BL100" i="1"/>
  <c r="BK100" i="1"/>
  <c r="BJ100" i="1"/>
  <c r="BI100" i="1"/>
  <c r="BH100" i="1"/>
  <c r="BG100" i="1"/>
  <c r="CS100" i="1" s="1"/>
  <c r="BF100" i="1"/>
  <c r="BE100" i="1"/>
  <c r="BD100" i="1"/>
  <c r="BC100" i="1"/>
  <c r="AR100" i="1"/>
  <c r="AQ100" i="1"/>
  <c r="AP100" i="1"/>
  <c r="AO100" i="1"/>
  <c r="AN100" i="1"/>
  <c r="AM100" i="1"/>
  <c r="AL100" i="1"/>
  <c r="AA100" i="1"/>
  <c r="AE100" i="1" s="1"/>
  <c r="X100" i="1"/>
  <c r="W100" i="1"/>
  <c r="V100" i="1"/>
  <c r="AF100" i="1" s="1"/>
  <c r="U100" i="1"/>
  <c r="P100" i="1"/>
  <c r="N100" i="1"/>
  <c r="M100" i="1"/>
  <c r="L100" i="1"/>
  <c r="K100" i="1"/>
  <c r="G100" i="1"/>
  <c r="E100" i="1"/>
  <c r="CV99" i="1"/>
  <c r="CG99" i="1"/>
  <c r="CB99" i="1"/>
  <c r="CD99" i="1"/>
  <c r="BP99" i="1"/>
  <c r="BO99" i="1"/>
  <c r="BN99" i="1"/>
  <c r="BM99" i="1"/>
  <c r="BL99" i="1"/>
  <c r="BK99" i="1"/>
  <c r="BJ99" i="1"/>
  <c r="BI99" i="1"/>
  <c r="BH99" i="1"/>
  <c r="BG99" i="1"/>
  <c r="CS99" i="1" s="1"/>
  <c r="BF99" i="1"/>
  <c r="BE99" i="1"/>
  <c r="BD99" i="1"/>
  <c r="BC99" i="1"/>
  <c r="AR99" i="1"/>
  <c r="AQ99" i="1"/>
  <c r="AP99" i="1"/>
  <c r="AO99" i="1"/>
  <c r="AN99" i="1"/>
  <c r="AM99" i="1"/>
  <c r="AL99" i="1"/>
  <c r="AA99" i="1"/>
  <c r="AE99" i="1" s="1"/>
  <c r="X99" i="1"/>
  <c r="W99" i="1"/>
  <c r="V99" i="1"/>
  <c r="AF99" i="1" s="1"/>
  <c r="U99" i="1"/>
  <c r="P99" i="1"/>
  <c r="N99" i="1"/>
  <c r="M99" i="1"/>
  <c r="L99" i="1"/>
  <c r="K99" i="1"/>
  <c r="G99" i="1"/>
  <c r="E99" i="1"/>
  <c r="CV98" i="1"/>
  <c r="CG98" i="1"/>
  <c r="CB98" i="1"/>
  <c r="CD98" i="1"/>
  <c r="BP98" i="1"/>
  <c r="BO98" i="1"/>
  <c r="BN98" i="1"/>
  <c r="BM98" i="1"/>
  <c r="BL98" i="1"/>
  <c r="BK98" i="1"/>
  <c r="BJ98" i="1"/>
  <c r="BI98" i="1"/>
  <c r="BH98" i="1"/>
  <c r="BG98" i="1"/>
  <c r="CS98" i="1" s="1"/>
  <c r="BF98" i="1"/>
  <c r="BE98" i="1"/>
  <c r="BD98" i="1"/>
  <c r="BC98" i="1"/>
  <c r="AR98" i="1"/>
  <c r="AQ98" i="1"/>
  <c r="AP98" i="1"/>
  <c r="AO98" i="1"/>
  <c r="AN98" i="1"/>
  <c r="AM98" i="1"/>
  <c r="AL98" i="1"/>
  <c r="AA98" i="1"/>
  <c r="AE98" i="1" s="1"/>
  <c r="X98" i="1"/>
  <c r="W98" i="1"/>
  <c r="V98" i="1"/>
  <c r="AF98" i="1" s="1"/>
  <c r="U98" i="1"/>
  <c r="P98" i="1"/>
  <c r="N98" i="1"/>
  <c r="M98" i="1"/>
  <c r="L98" i="1"/>
  <c r="K98" i="1"/>
  <c r="G98" i="1"/>
  <c r="E98" i="1"/>
  <c r="CV97" i="1"/>
  <c r="CG97" i="1"/>
  <c r="CB97" i="1"/>
  <c r="CD97" i="1"/>
  <c r="BP97" i="1"/>
  <c r="BO97" i="1"/>
  <c r="BN97" i="1"/>
  <c r="BM97" i="1"/>
  <c r="BL97" i="1"/>
  <c r="BK97" i="1"/>
  <c r="BJ97" i="1"/>
  <c r="BI97" i="1"/>
  <c r="BH97" i="1"/>
  <c r="BG97" i="1"/>
  <c r="CS97" i="1" s="1"/>
  <c r="BF97" i="1"/>
  <c r="BE97" i="1"/>
  <c r="BD97" i="1"/>
  <c r="BC97" i="1"/>
  <c r="AR97" i="1"/>
  <c r="AQ97" i="1"/>
  <c r="AP97" i="1"/>
  <c r="AO97" i="1"/>
  <c r="AN97" i="1"/>
  <c r="AM97" i="1"/>
  <c r="AL97" i="1"/>
  <c r="AF97" i="1"/>
  <c r="AE97" i="1"/>
  <c r="AA97" i="1"/>
  <c r="X97" i="1"/>
  <c r="W97" i="1"/>
  <c r="AG97" i="1" s="1"/>
  <c r="AH97" i="1" s="1"/>
  <c r="V97" i="1"/>
  <c r="U97" i="1"/>
  <c r="P97" i="1"/>
  <c r="N97" i="1"/>
  <c r="M97" i="1"/>
  <c r="L97" i="1"/>
  <c r="K97" i="1"/>
  <c r="G97" i="1"/>
  <c r="E97" i="1"/>
  <c r="CV96" i="1"/>
  <c r="CG96" i="1"/>
  <c r="CB96" i="1"/>
  <c r="CD96" i="1"/>
  <c r="BP96" i="1"/>
  <c r="BO96" i="1"/>
  <c r="BN96" i="1"/>
  <c r="BM96" i="1"/>
  <c r="BL96" i="1"/>
  <c r="BK96" i="1"/>
  <c r="BJ96" i="1"/>
  <c r="BI96" i="1"/>
  <c r="BH96" i="1"/>
  <c r="BG96" i="1"/>
  <c r="CS96" i="1" s="1"/>
  <c r="BF96" i="1"/>
  <c r="BE96" i="1"/>
  <c r="BD96" i="1"/>
  <c r="BC96" i="1"/>
  <c r="AR96" i="1"/>
  <c r="AQ96" i="1"/>
  <c r="AP96" i="1"/>
  <c r="AO96" i="1"/>
  <c r="AN96" i="1"/>
  <c r="AM96" i="1"/>
  <c r="AL96" i="1"/>
  <c r="AF96" i="1"/>
  <c r="AE96" i="1"/>
  <c r="AA96" i="1"/>
  <c r="X96" i="1"/>
  <c r="W96" i="1"/>
  <c r="V96" i="1"/>
  <c r="U96" i="1"/>
  <c r="P96" i="1"/>
  <c r="N96" i="1"/>
  <c r="M96" i="1"/>
  <c r="L96" i="1"/>
  <c r="K96" i="1"/>
  <c r="G96" i="1"/>
  <c r="E96" i="1"/>
  <c r="CV95" i="1"/>
  <c r="CG95" i="1"/>
  <c r="CB95" i="1"/>
  <c r="CD95" i="1"/>
  <c r="BP95" i="1"/>
  <c r="BO95" i="1"/>
  <c r="BN95" i="1"/>
  <c r="BM95" i="1"/>
  <c r="BL95" i="1"/>
  <c r="BK95" i="1"/>
  <c r="BJ95" i="1"/>
  <c r="BI95" i="1"/>
  <c r="BH95" i="1"/>
  <c r="BG95" i="1"/>
  <c r="CS95" i="1" s="1"/>
  <c r="BF95" i="1"/>
  <c r="BE95" i="1"/>
  <c r="BD95" i="1"/>
  <c r="BC95" i="1"/>
  <c r="AR95" i="1"/>
  <c r="AQ95" i="1"/>
  <c r="AP95" i="1"/>
  <c r="AO95" i="1"/>
  <c r="AN95" i="1"/>
  <c r="AM95" i="1"/>
  <c r="AL95" i="1"/>
  <c r="AF95" i="1"/>
  <c r="AE95" i="1"/>
  <c r="AA95" i="1"/>
  <c r="X95" i="1"/>
  <c r="W95" i="1"/>
  <c r="AG95" i="1" s="1"/>
  <c r="AH95" i="1" s="1"/>
  <c r="V95" i="1"/>
  <c r="U95" i="1"/>
  <c r="P95" i="1"/>
  <c r="N95" i="1"/>
  <c r="M95" i="1"/>
  <c r="L95" i="1"/>
  <c r="K95" i="1"/>
  <c r="G95" i="1"/>
  <c r="E95" i="1"/>
  <c r="CV94" i="1"/>
  <c r="CG94" i="1"/>
  <c r="CB94" i="1"/>
  <c r="CD94" i="1"/>
  <c r="BP94" i="1"/>
  <c r="BO94" i="1"/>
  <c r="BN94" i="1"/>
  <c r="BM94" i="1"/>
  <c r="BL94" i="1"/>
  <c r="BK94" i="1"/>
  <c r="BJ94" i="1"/>
  <c r="BI94" i="1"/>
  <c r="BH94" i="1"/>
  <c r="BG94" i="1"/>
  <c r="CS94" i="1" s="1"/>
  <c r="BF94" i="1"/>
  <c r="BE94" i="1"/>
  <c r="BD94" i="1"/>
  <c r="BC94" i="1"/>
  <c r="AR94" i="1"/>
  <c r="AQ94" i="1"/>
  <c r="AP94" i="1"/>
  <c r="AO94" i="1"/>
  <c r="AN94" i="1"/>
  <c r="AM94" i="1"/>
  <c r="AL94" i="1"/>
  <c r="AF94" i="1"/>
  <c r="AE94" i="1"/>
  <c r="AA94" i="1"/>
  <c r="X94" i="1"/>
  <c r="W94" i="1"/>
  <c r="AG94" i="1" s="1"/>
  <c r="AH94" i="1" s="1"/>
  <c r="V94" i="1"/>
  <c r="U94" i="1"/>
  <c r="P94" i="1"/>
  <c r="N94" i="1"/>
  <c r="M94" i="1"/>
  <c r="L94" i="1"/>
  <c r="K94" i="1"/>
  <c r="G94" i="1"/>
  <c r="E94" i="1"/>
  <c r="CV93" i="1"/>
  <c r="CG93" i="1"/>
  <c r="CB93" i="1"/>
  <c r="CD93" i="1"/>
  <c r="BP93" i="1"/>
  <c r="BO93" i="1"/>
  <c r="BN93" i="1"/>
  <c r="BM93" i="1"/>
  <c r="BL93" i="1"/>
  <c r="BK93" i="1"/>
  <c r="BJ93" i="1"/>
  <c r="BI93" i="1"/>
  <c r="BH93" i="1"/>
  <c r="BG93" i="1"/>
  <c r="CS93" i="1" s="1"/>
  <c r="BF93" i="1"/>
  <c r="BE93" i="1"/>
  <c r="BD93" i="1"/>
  <c r="BC93" i="1"/>
  <c r="AR93" i="1"/>
  <c r="AQ93" i="1"/>
  <c r="AP93" i="1"/>
  <c r="AO93" i="1"/>
  <c r="AN93" i="1"/>
  <c r="AM93" i="1"/>
  <c r="AL93" i="1"/>
  <c r="AF93" i="1"/>
  <c r="AE93" i="1"/>
  <c r="AA93" i="1"/>
  <c r="X93" i="1"/>
  <c r="W93" i="1"/>
  <c r="AG93" i="1" s="1"/>
  <c r="AH93" i="1" s="1"/>
  <c r="V93" i="1"/>
  <c r="U93" i="1"/>
  <c r="P93" i="1"/>
  <c r="N93" i="1"/>
  <c r="M93" i="1"/>
  <c r="L93" i="1"/>
  <c r="K93" i="1"/>
  <c r="G93" i="1"/>
  <c r="E93" i="1"/>
  <c r="CV92" i="1"/>
  <c r="CG92" i="1"/>
  <c r="CB92" i="1"/>
  <c r="CD92" i="1"/>
  <c r="BP92" i="1"/>
  <c r="BO92" i="1"/>
  <c r="BN92" i="1"/>
  <c r="BM92" i="1"/>
  <c r="BL92" i="1"/>
  <c r="BK92" i="1"/>
  <c r="BJ92" i="1"/>
  <c r="BI92" i="1"/>
  <c r="BH92" i="1"/>
  <c r="BG92" i="1"/>
  <c r="CS92" i="1" s="1"/>
  <c r="BF92" i="1"/>
  <c r="BE92" i="1"/>
  <c r="BD92" i="1"/>
  <c r="BC92" i="1"/>
  <c r="AR92" i="1"/>
  <c r="AQ92" i="1"/>
  <c r="AP92" i="1"/>
  <c r="AO92" i="1"/>
  <c r="AN92" i="1"/>
  <c r="AM92" i="1"/>
  <c r="AL92" i="1"/>
  <c r="AF92" i="1"/>
  <c r="AE92" i="1"/>
  <c r="AA92" i="1"/>
  <c r="X92" i="1"/>
  <c r="W92" i="1"/>
  <c r="V92" i="1"/>
  <c r="U92" i="1"/>
  <c r="P92" i="1"/>
  <c r="N92" i="1"/>
  <c r="M92" i="1"/>
  <c r="L92" i="1"/>
  <c r="K92" i="1"/>
  <c r="G92" i="1"/>
  <c r="E92" i="1"/>
  <c r="CV91" i="1"/>
  <c r="CG91" i="1"/>
  <c r="CB91" i="1"/>
  <c r="CD91" i="1"/>
  <c r="BP91" i="1"/>
  <c r="BO91" i="1"/>
  <c r="BN91" i="1"/>
  <c r="BM91" i="1"/>
  <c r="BL91" i="1"/>
  <c r="BK91" i="1"/>
  <c r="BJ91" i="1"/>
  <c r="BI91" i="1"/>
  <c r="BH91" i="1"/>
  <c r="BG91" i="1"/>
  <c r="CS91" i="1" s="1"/>
  <c r="BF91" i="1"/>
  <c r="BE91" i="1"/>
  <c r="BD91" i="1"/>
  <c r="BC91" i="1"/>
  <c r="AR91" i="1"/>
  <c r="AQ91" i="1"/>
  <c r="AP91" i="1"/>
  <c r="AO91" i="1"/>
  <c r="AN91" i="1"/>
  <c r="AM91" i="1"/>
  <c r="AL91" i="1"/>
  <c r="AF91" i="1"/>
  <c r="AE91" i="1"/>
  <c r="AA91" i="1"/>
  <c r="X91" i="1"/>
  <c r="W91" i="1"/>
  <c r="AG91" i="1" s="1"/>
  <c r="AH91" i="1" s="1"/>
  <c r="V91" i="1"/>
  <c r="U91" i="1"/>
  <c r="P91" i="1"/>
  <c r="N91" i="1"/>
  <c r="M91" i="1"/>
  <c r="L91" i="1"/>
  <c r="K91" i="1"/>
  <c r="G91" i="1"/>
  <c r="E91" i="1"/>
  <c r="CV90" i="1"/>
  <c r="CG90" i="1"/>
  <c r="CB90" i="1"/>
  <c r="CD90" i="1"/>
  <c r="BP90" i="1"/>
  <c r="BO90" i="1"/>
  <c r="BN90" i="1"/>
  <c r="BM90" i="1"/>
  <c r="BL90" i="1"/>
  <c r="BK90" i="1"/>
  <c r="BJ90" i="1"/>
  <c r="BI90" i="1"/>
  <c r="BH90" i="1"/>
  <c r="BG90" i="1"/>
  <c r="CS90" i="1" s="1"/>
  <c r="BF90" i="1"/>
  <c r="BE90" i="1"/>
  <c r="BD90" i="1"/>
  <c r="BC90" i="1"/>
  <c r="AR90" i="1"/>
  <c r="AQ90" i="1"/>
  <c r="AP90" i="1"/>
  <c r="AO90" i="1"/>
  <c r="AN90" i="1"/>
  <c r="AM90" i="1"/>
  <c r="AL90" i="1"/>
  <c r="AF90" i="1"/>
  <c r="AE90" i="1"/>
  <c r="AA90" i="1"/>
  <c r="X90" i="1"/>
  <c r="W90" i="1"/>
  <c r="AG90" i="1" s="1"/>
  <c r="AH90" i="1" s="1"/>
  <c r="V90" i="1"/>
  <c r="U90" i="1"/>
  <c r="P90" i="1"/>
  <c r="N90" i="1"/>
  <c r="M90" i="1"/>
  <c r="L90" i="1"/>
  <c r="K90" i="1"/>
  <c r="G90" i="1"/>
  <c r="E90" i="1"/>
  <c r="CV89" i="1"/>
  <c r="CG89" i="1"/>
  <c r="CB89" i="1"/>
  <c r="CD89" i="1"/>
  <c r="BP89" i="1"/>
  <c r="BO89" i="1"/>
  <c r="BN89" i="1"/>
  <c r="BM89" i="1"/>
  <c r="BL89" i="1"/>
  <c r="BK89" i="1"/>
  <c r="BJ89" i="1"/>
  <c r="BI89" i="1"/>
  <c r="BH89" i="1"/>
  <c r="BG89" i="1"/>
  <c r="CS89" i="1" s="1"/>
  <c r="BF89" i="1"/>
  <c r="BE89" i="1"/>
  <c r="BD89" i="1"/>
  <c r="BC89" i="1"/>
  <c r="AR89" i="1"/>
  <c r="AQ89" i="1"/>
  <c r="AP89" i="1"/>
  <c r="AO89" i="1"/>
  <c r="AN89" i="1"/>
  <c r="AM89" i="1"/>
  <c r="AL89" i="1"/>
  <c r="AF89" i="1"/>
  <c r="AE89" i="1"/>
  <c r="AA89" i="1"/>
  <c r="X89" i="1"/>
  <c r="W89" i="1"/>
  <c r="AG89" i="1" s="1"/>
  <c r="AH89" i="1" s="1"/>
  <c r="V89" i="1"/>
  <c r="U89" i="1"/>
  <c r="P89" i="1"/>
  <c r="N89" i="1"/>
  <c r="M89" i="1"/>
  <c r="L89" i="1"/>
  <c r="K89" i="1"/>
  <c r="G89" i="1"/>
  <c r="E89" i="1"/>
  <c r="CV88" i="1"/>
  <c r="CG88" i="1"/>
  <c r="CB88" i="1"/>
  <c r="CD88" i="1"/>
  <c r="BP88" i="1"/>
  <c r="BO88" i="1"/>
  <c r="BN88" i="1"/>
  <c r="BM88" i="1"/>
  <c r="BL88" i="1"/>
  <c r="BK88" i="1"/>
  <c r="BJ88" i="1"/>
  <c r="BI88" i="1"/>
  <c r="BH88" i="1"/>
  <c r="BG88" i="1"/>
  <c r="CS88" i="1" s="1"/>
  <c r="BF88" i="1"/>
  <c r="BE88" i="1"/>
  <c r="BD88" i="1"/>
  <c r="BC88" i="1"/>
  <c r="AR88" i="1"/>
  <c r="AQ88" i="1"/>
  <c r="AP88" i="1"/>
  <c r="AO88" i="1"/>
  <c r="AN88" i="1"/>
  <c r="AM88" i="1"/>
  <c r="AL88" i="1"/>
  <c r="AF88" i="1"/>
  <c r="AE88" i="1"/>
  <c r="AA88" i="1"/>
  <c r="X88" i="1"/>
  <c r="W88" i="1"/>
  <c r="AG88" i="1" s="1"/>
  <c r="AH88" i="1" s="1"/>
  <c r="V88" i="1"/>
  <c r="U88" i="1"/>
  <c r="P88" i="1"/>
  <c r="N88" i="1"/>
  <c r="M88" i="1"/>
  <c r="L88" i="1"/>
  <c r="K88" i="1"/>
  <c r="G88" i="1"/>
  <c r="E88" i="1"/>
  <c r="CG85" i="1"/>
  <c r="BA85" i="1"/>
  <c r="AZ85" i="1"/>
  <c r="BE85" i="1" s="1"/>
  <c r="X85" i="1"/>
  <c r="W85" i="1"/>
  <c r="V85" i="1"/>
  <c r="U85" i="1"/>
  <c r="H85" i="1"/>
  <c r="BB85" i="1" s="1"/>
  <c r="G85" i="1"/>
  <c r="E85" i="1"/>
  <c r="CG84" i="1"/>
  <c r="BA84" i="1"/>
  <c r="AZ84" i="1"/>
  <c r="BE84" i="1" s="1"/>
  <c r="X84" i="1"/>
  <c r="W84" i="1"/>
  <c r="V84" i="1"/>
  <c r="U84" i="1"/>
  <c r="H84" i="1"/>
  <c r="BB84" i="1" s="1"/>
  <c r="G84" i="1"/>
  <c r="E84" i="1"/>
  <c r="CG83" i="1"/>
  <c r="BA83" i="1"/>
  <c r="AZ83" i="1"/>
  <c r="BE83" i="1" s="1"/>
  <c r="X83" i="1"/>
  <c r="W83" i="1"/>
  <c r="V83" i="1"/>
  <c r="U83" i="1"/>
  <c r="H83" i="1"/>
  <c r="BB83" i="1" s="1"/>
  <c r="G83" i="1"/>
  <c r="E83" i="1"/>
  <c r="CG82" i="1"/>
  <c r="BA82" i="1"/>
  <c r="AZ82" i="1"/>
  <c r="BE82" i="1" s="1"/>
  <c r="X82" i="1"/>
  <c r="W82" i="1"/>
  <c r="V82" i="1"/>
  <c r="U82" i="1"/>
  <c r="H82" i="1"/>
  <c r="BB82" i="1" s="1"/>
  <c r="G82" i="1"/>
  <c r="E82" i="1"/>
  <c r="CG81" i="1"/>
  <c r="BA81" i="1"/>
  <c r="AZ81" i="1"/>
  <c r="BE81" i="1" s="1"/>
  <c r="X81" i="1"/>
  <c r="W81" i="1"/>
  <c r="V81" i="1"/>
  <c r="U81" i="1"/>
  <c r="H81" i="1"/>
  <c r="BB81" i="1" s="1"/>
  <c r="G81" i="1"/>
  <c r="E81" i="1"/>
  <c r="CG80" i="1"/>
  <c r="BA80" i="1"/>
  <c r="AZ80" i="1"/>
  <c r="BE80" i="1" s="1"/>
  <c r="X80" i="1"/>
  <c r="W80" i="1"/>
  <c r="V80" i="1"/>
  <c r="U80" i="1"/>
  <c r="H80" i="1"/>
  <c r="BB80" i="1" s="1"/>
  <c r="G80" i="1"/>
  <c r="E80" i="1"/>
  <c r="CG79" i="1"/>
  <c r="BA79" i="1"/>
  <c r="AZ79" i="1"/>
  <c r="BD79" i="1" s="1"/>
  <c r="X79" i="1"/>
  <c r="W79" i="1"/>
  <c r="V79" i="1"/>
  <c r="U79" i="1"/>
  <c r="H79" i="1"/>
  <c r="BB79" i="1" s="1"/>
  <c r="G79" i="1"/>
  <c r="E79" i="1"/>
  <c r="CG78" i="1"/>
  <c r="BA78" i="1"/>
  <c r="AZ78" i="1"/>
  <c r="BE78" i="1" s="1"/>
  <c r="X78" i="1"/>
  <c r="W78" i="1"/>
  <c r="V78" i="1"/>
  <c r="U78" i="1"/>
  <c r="H78" i="1"/>
  <c r="BB78" i="1" s="1"/>
  <c r="G78" i="1"/>
  <c r="E78" i="1"/>
  <c r="CG77" i="1"/>
  <c r="BA77" i="1"/>
  <c r="AZ77" i="1"/>
  <c r="BE77" i="1" s="1"/>
  <c r="X77" i="1"/>
  <c r="W77" i="1"/>
  <c r="V77" i="1"/>
  <c r="U77" i="1"/>
  <c r="H77" i="1"/>
  <c r="BB77" i="1" s="1"/>
  <c r="G77" i="1"/>
  <c r="E77" i="1"/>
  <c r="CG76" i="1"/>
  <c r="BA76" i="1"/>
  <c r="AZ76" i="1"/>
  <c r="BD76" i="1" s="1"/>
  <c r="X76" i="1"/>
  <c r="W76" i="1"/>
  <c r="V76" i="1"/>
  <c r="U76" i="1"/>
  <c r="H76" i="1"/>
  <c r="BB76" i="1" s="1"/>
  <c r="G76" i="1"/>
  <c r="E76" i="1"/>
  <c r="DE75" i="1"/>
  <c r="DE76" i="1" s="1"/>
  <c r="CV82" i="1" s="1"/>
  <c r="CG75" i="1"/>
  <c r="BA75" i="1"/>
  <c r="AZ75" i="1"/>
  <c r="BE75" i="1" s="1"/>
  <c r="X75" i="1"/>
  <c r="W75" i="1"/>
  <c r="V75" i="1"/>
  <c r="U75" i="1"/>
  <c r="H75" i="1"/>
  <c r="BB75" i="1" s="1"/>
  <c r="G75" i="1"/>
  <c r="E75" i="1"/>
  <c r="DE74" i="1"/>
  <c r="CG74" i="1"/>
  <c r="BA74" i="1"/>
  <c r="AZ74" i="1"/>
  <c r="BD74" i="1" s="1"/>
  <c r="X74" i="1"/>
  <c r="W74" i="1"/>
  <c r="V74" i="1"/>
  <c r="U74" i="1"/>
  <c r="H74" i="1"/>
  <c r="BB74" i="1" s="1"/>
  <c r="G74" i="1"/>
  <c r="E74" i="1"/>
  <c r="CG73" i="1"/>
  <c r="BA73" i="1"/>
  <c r="AZ73" i="1"/>
  <c r="BE73" i="1" s="1"/>
  <c r="X73" i="1"/>
  <c r="W73" i="1"/>
  <c r="V73" i="1"/>
  <c r="U73" i="1"/>
  <c r="H73" i="1"/>
  <c r="BB73" i="1" s="1"/>
  <c r="G73" i="1"/>
  <c r="E73" i="1"/>
  <c r="CG72" i="1"/>
  <c r="BA72" i="1"/>
  <c r="AZ72" i="1"/>
  <c r="BE72" i="1" s="1"/>
  <c r="X72" i="1"/>
  <c r="W72" i="1"/>
  <c r="V72" i="1"/>
  <c r="U72" i="1"/>
  <c r="H72" i="1"/>
  <c r="BB72" i="1" s="1"/>
  <c r="G72" i="1"/>
  <c r="E72" i="1"/>
  <c r="CG71" i="1"/>
  <c r="BA71" i="1"/>
  <c r="AZ71" i="1"/>
  <c r="CE71" i="1" s="1"/>
  <c r="X71" i="1"/>
  <c r="W71" i="1"/>
  <c r="V71" i="1"/>
  <c r="U71" i="1"/>
  <c r="H71" i="1"/>
  <c r="BB71" i="1" s="1"/>
  <c r="G71" i="1"/>
  <c r="E71" i="1"/>
  <c r="CG70" i="1"/>
  <c r="BA70" i="1"/>
  <c r="AZ70" i="1"/>
  <c r="BE70" i="1" s="1"/>
  <c r="X70" i="1"/>
  <c r="W70" i="1"/>
  <c r="V70" i="1"/>
  <c r="U70" i="1"/>
  <c r="H70" i="1"/>
  <c r="BB70" i="1" s="1"/>
  <c r="G70" i="1"/>
  <c r="E70" i="1"/>
  <c r="CG69" i="1"/>
  <c r="BA69" i="1"/>
  <c r="AZ69" i="1"/>
  <c r="BC69" i="1" s="1"/>
  <c r="X69" i="1"/>
  <c r="W69" i="1"/>
  <c r="V69" i="1"/>
  <c r="U69" i="1"/>
  <c r="H69" i="1"/>
  <c r="BB69" i="1" s="1"/>
  <c r="G69" i="1"/>
  <c r="E69" i="1"/>
  <c r="CG68" i="1"/>
  <c r="BA68" i="1"/>
  <c r="AZ68" i="1"/>
  <c r="BE68" i="1" s="1"/>
  <c r="X68" i="1"/>
  <c r="W68" i="1"/>
  <c r="V68" i="1"/>
  <c r="U68" i="1"/>
  <c r="H68" i="1"/>
  <c r="BB68" i="1" s="1"/>
  <c r="G68" i="1"/>
  <c r="E68" i="1"/>
  <c r="CG67" i="1"/>
  <c r="BA67" i="1"/>
  <c r="AZ67" i="1"/>
  <c r="CE67" i="1" s="1"/>
  <c r="X67" i="1"/>
  <c r="W67" i="1"/>
  <c r="V67" i="1"/>
  <c r="U67" i="1"/>
  <c r="H67" i="1"/>
  <c r="BB67" i="1" s="1"/>
  <c r="G67" i="1"/>
  <c r="E67" i="1"/>
  <c r="CG66" i="1"/>
  <c r="BA66" i="1"/>
  <c r="AZ66" i="1"/>
  <c r="BE66" i="1" s="1"/>
  <c r="X66" i="1"/>
  <c r="W66" i="1"/>
  <c r="V66" i="1"/>
  <c r="U66" i="1"/>
  <c r="H66" i="1"/>
  <c r="BB66" i="1" s="1"/>
  <c r="G66" i="1"/>
  <c r="E66" i="1"/>
  <c r="BY3" i="1"/>
  <c r="BD3" i="1" s="1"/>
  <c r="BY4" i="1"/>
  <c r="BC4" i="1" s="1"/>
  <c r="BY5" i="1"/>
  <c r="BD5" i="1" s="1"/>
  <c r="BY6" i="1"/>
  <c r="BC6" i="1" s="1"/>
  <c r="BY7" i="1"/>
  <c r="BD7" i="1" s="1"/>
  <c r="BY8" i="1"/>
  <c r="BD8" i="1" s="1"/>
  <c r="BY9" i="1"/>
  <c r="BC9" i="1" s="1"/>
  <c r="BY10" i="1"/>
  <c r="BY11" i="1"/>
  <c r="BC11" i="1" s="1"/>
  <c r="BY12" i="1"/>
  <c r="BC12" i="1" s="1"/>
  <c r="BY13" i="1"/>
  <c r="BC13" i="1" s="1"/>
  <c r="BY14" i="1"/>
  <c r="BC14" i="1" s="1"/>
  <c r="BY15" i="1"/>
  <c r="BC15" i="1" s="1"/>
  <c r="BY16" i="1"/>
  <c r="BD16" i="1" s="1"/>
  <c r="BY17" i="1"/>
  <c r="BC17" i="1" s="1"/>
  <c r="BY18" i="1"/>
  <c r="BC18" i="1" s="1"/>
  <c r="BY19" i="1"/>
  <c r="BD19" i="1" s="1"/>
  <c r="BY20" i="1"/>
  <c r="BD20" i="1" s="1"/>
  <c r="BY21" i="1"/>
  <c r="BD21" i="1" s="1"/>
  <c r="BY2" i="1"/>
  <c r="BD2" i="1" s="1"/>
  <c r="CE21" i="1"/>
  <c r="E21" i="1"/>
  <c r="CE20" i="1"/>
  <c r="E20" i="1"/>
  <c r="CE19" i="1"/>
  <c r="E19" i="1"/>
  <c r="CE18" i="1"/>
  <c r="E18" i="1"/>
  <c r="CE17" i="1"/>
  <c r="E17" i="1"/>
  <c r="CE16" i="1"/>
  <c r="E16" i="1"/>
  <c r="CE15" i="1"/>
  <c r="E15" i="1"/>
  <c r="CE14" i="1"/>
  <c r="E14" i="1"/>
  <c r="CE13" i="1"/>
  <c r="E13" i="1"/>
  <c r="CE12" i="1"/>
  <c r="E12" i="1"/>
  <c r="CE11" i="1"/>
  <c r="E11" i="1"/>
  <c r="CE10" i="1"/>
  <c r="BC10" i="1"/>
  <c r="E10" i="1"/>
  <c r="CE9" i="1"/>
  <c r="E9" i="1"/>
  <c r="CE8" i="1"/>
  <c r="E8" i="1"/>
  <c r="CE7" i="1"/>
  <c r="E7" i="1"/>
  <c r="CE6" i="1"/>
  <c r="E6" i="1"/>
  <c r="CE5" i="1"/>
  <c r="E5" i="1"/>
  <c r="CE4" i="1"/>
  <c r="E4" i="1"/>
  <c r="CE3" i="1"/>
  <c r="E3" i="1"/>
  <c r="CE2" i="1"/>
  <c r="E2" i="1"/>
  <c r="AB104" i="1" l="1"/>
  <c r="AJ104" i="1" s="1"/>
  <c r="BC2" i="1"/>
  <c r="BD9" i="1"/>
  <c r="AB106" i="1"/>
  <c r="AJ106" i="1" s="1"/>
  <c r="H100" i="1"/>
  <c r="AI100" i="1" s="1"/>
  <c r="CP100" i="1" s="1"/>
  <c r="AB105" i="1"/>
  <c r="AJ105" i="1" s="1"/>
  <c r="CQ105" i="1" s="1"/>
  <c r="AG106" i="1"/>
  <c r="AH106" i="1" s="1"/>
  <c r="CR106" i="1" s="1"/>
  <c r="AG103" i="1"/>
  <c r="AH103" i="1" s="1"/>
  <c r="CR103" i="1" s="1"/>
  <c r="O107" i="1"/>
  <c r="Q107" i="1" s="1"/>
  <c r="H98" i="1"/>
  <c r="AI98" i="1" s="1"/>
  <c r="CP98" i="1" s="1"/>
  <c r="H96" i="1"/>
  <c r="AI96" i="1" s="1"/>
  <c r="CP96" i="1" s="1"/>
  <c r="AB96" i="1"/>
  <c r="AJ96" i="1" s="1"/>
  <c r="CQ96" i="1" s="1"/>
  <c r="H89" i="1"/>
  <c r="AI89" i="1" s="1"/>
  <c r="CP89" i="1" s="1"/>
  <c r="CH69" i="1"/>
  <c r="H107" i="1"/>
  <c r="AI107" i="1" s="1"/>
  <c r="CP107" i="1" s="1"/>
  <c r="AB107" i="1"/>
  <c r="AJ107" i="1" s="1"/>
  <c r="CQ107" i="1" s="1"/>
  <c r="CR91" i="1"/>
  <c r="H90" i="1"/>
  <c r="AI90" i="1" s="1"/>
  <c r="H92" i="1"/>
  <c r="AI92" i="1" s="1"/>
  <c r="CP92" i="1" s="1"/>
  <c r="BD11" i="1"/>
  <c r="CQ106" i="1"/>
  <c r="H94" i="1"/>
  <c r="AI94" i="1" s="1"/>
  <c r="CP94" i="1" s="1"/>
  <c r="CR95" i="1"/>
  <c r="AG100" i="1"/>
  <c r="AH100" i="1" s="1"/>
  <c r="CR100" i="1" s="1"/>
  <c r="AB98" i="1"/>
  <c r="AJ98" i="1" s="1"/>
  <c r="CQ98" i="1" s="1"/>
  <c r="AB84" i="1"/>
  <c r="AJ84" i="1" s="1"/>
  <c r="BF84" i="1" s="1"/>
  <c r="AB94" i="1"/>
  <c r="AJ94" i="1" s="1"/>
  <c r="CQ94" i="1" s="1"/>
  <c r="CQ104" i="1"/>
  <c r="H97" i="1"/>
  <c r="AI97" i="1" s="1"/>
  <c r="CP97" i="1" s="1"/>
  <c r="AB72" i="1"/>
  <c r="AJ72" i="1" s="1"/>
  <c r="BF72" i="1" s="1"/>
  <c r="AB78" i="1"/>
  <c r="AJ78" i="1" s="1"/>
  <c r="BF78" i="1" s="1"/>
  <c r="H91" i="1"/>
  <c r="AI91" i="1" s="1"/>
  <c r="CP91" i="1" s="1"/>
  <c r="CF14" i="1"/>
  <c r="CJ14" i="1" s="1"/>
  <c r="AB74" i="1"/>
  <c r="AJ74" i="1" s="1"/>
  <c r="BF74" i="1" s="1"/>
  <c r="BE69" i="1"/>
  <c r="H101" i="1"/>
  <c r="AI101" i="1" s="1"/>
  <c r="CP101" i="1" s="1"/>
  <c r="O90" i="1"/>
  <c r="Q90" i="1" s="1"/>
  <c r="H95" i="1"/>
  <c r="AI95" i="1" s="1"/>
  <c r="CP95" i="1" s="1"/>
  <c r="AB99" i="1"/>
  <c r="AJ99" i="1" s="1"/>
  <c r="CQ99" i="1" s="1"/>
  <c r="H103" i="1"/>
  <c r="AI103" i="1" s="1"/>
  <c r="CP103" i="1" s="1"/>
  <c r="CF2" i="1"/>
  <c r="CJ2" i="1" s="1"/>
  <c r="CT2" i="1" s="1"/>
  <c r="CU2" i="1" s="1"/>
  <c r="AG99" i="1"/>
  <c r="AH99" i="1" s="1"/>
  <c r="CR99" i="1" s="1"/>
  <c r="H104" i="1"/>
  <c r="AI104" i="1" s="1"/>
  <c r="CP104" i="1" s="1"/>
  <c r="AB85" i="1"/>
  <c r="AJ85" i="1" s="1"/>
  <c r="BF85" i="1" s="1"/>
  <c r="BE71" i="1"/>
  <c r="AB97" i="1"/>
  <c r="AJ97" i="1" s="1"/>
  <c r="CQ97" i="1" s="1"/>
  <c r="AB95" i="1"/>
  <c r="AJ95" i="1" s="1"/>
  <c r="CQ95" i="1" s="1"/>
  <c r="CF18" i="1"/>
  <c r="CJ18" i="1" s="1"/>
  <c r="H88" i="1"/>
  <c r="AI88" i="1" s="1"/>
  <c r="CP88" i="1" s="1"/>
  <c r="AB91" i="1"/>
  <c r="AJ91" i="1" s="1"/>
  <c r="CQ91" i="1" s="1"/>
  <c r="H99" i="1"/>
  <c r="AI99" i="1" s="1"/>
  <c r="CP99" i="1" s="1"/>
  <c r="H102" i="1"/>
  <c r="AI102" i="1" s="1"/>
  <c r="CP102" i="1" s="1"/>
  <c r="AB66" i="1"/>
  <c r="AJ66" i="1" s="1"/>
  <c r="BF66" i="1" s="1"/>
  <c r="AB75" i="1"/>
  <c r="AJ75" i="1" s="1"/>
  <c r="BF75" i="1" s="1"/>
  <c r="BC71" i="1"/>
  <c r="CH71" i="1" s="1"/>
  <c r="CI71" i="1" s="1"/>
  <c r="CJ71" i="1" s="1"/>
  <c r="BD71" i="1"/>
  <c r="BC76" i="1"/>
  <c r="CH76" i="1" s="1"/>
  <c r="CE76" i="1"/>
  <c r="CE69" i="1"/>
  <c r="BE76" i="1"/>
  <c r="BE79" i="1"/>
  <c r="AB70" i="1"/>
  <c r="AJ70" i="1" s="1"/>
  <c r="BF70" i="1" s="1"/>
  <c r="AB83" i="1"/>
  <c r="AJ83" i="1" s="1"/>
  <c r="BF83" i="1" s="1"/>
  <c r="AB73" i="1"/>
  <c r="AJ73" i="1" s="1"/>
  <c r="BF73" i="1" s="1"/>
  <c r="BD67" i="1"/>
  <c r="BC83" i="1"/>
  <c r="CH83" i="1" s="1"/>
  <c r="BE67" i="1"/>
  <c r="CE83" i="1"/>
  <c r="AB79" i="1"/>
  <c r="AJ79" i="1" s="1"/>
  <c r="BF79" i="1" s="1"/>
  <c r="BD83" i="1"/>
  <c r="AB68" i="1"/>
  <c r="AJ68" i="1" s="1"/>
  <c r="BF68" i="1" s="1"/>
  <c r="CV81" i="1"/>
  <c r="CF4" i="1"/>
  <c r="CJ4" i="1" s="1"/>
  <c r="AG101" i="1"/>
  <c r="AH101" i="1" s="1"/>
  <c r="CR101" i="1" s="1"/>
  <c r="AB67" i="1"/>
  <c r="AJ67" i="1" s="1"/>
  <c r="BF67" i="1" s="1"/>
  <c r="BD69" i="1"/>
  <c r="AB71" i="1"/>
  <c r="AJ71" i="1" s="1"/>
  <c r="BF71" i="1" s="1"/>
  <c r="AB77" i="1"/>
  <c r="AJ77" i="1" s="1"/>
  <c r="BF77" i="1" s="1"/>
  <c r="CV80" i="1"/>
  <c r="AB92" i="1"/>
  <c r="AJ92" i="1" s="1"/>
  <c r="CQ92" i="1" s="1"/>
  <c r="CR94" i="1"/>
  <c r="BC81" i="1"/>
  <c r="CH81" i="1" s="1"/>
  <c r="CV79" i="1"/>
  <c r="O89" i="1"/>
  <c r="Q89" i="1" s="1"/>
  <c r="O105" i="1"/>
  <c r="Q105" i="1" s="1"/>
  <c r="AB76" i="1"/>
  <c r="AJ76" i="1" s="1"/>
  <c r="BF76" i="1" s="1"/>
  <c r="CE81" i="1"/>
  <c r="CV78" i="1"/>
  <c r="O91" i="1"/>
  <c r="Q91" i="1" s="1"/>
  <c r="BD4" i="1"/>
  <c r="AB80" i="1"/>
  <c r="AJ80" i="1" s="1"/>
  <c r="BF80" i="1" s="1"/>
  <c r="BD81" i="1"/>
  <c r="CV77" i="1"/>
  <c r="O93" i="1"/>
  <c r="Q93" i="1" s="1"/>
  <c r="AB102" i="1"/>
  <c r="AJ102" i="1" s="1"/>
  <c r="CQ102" i="1" s="1"/>
  <c r="H106" i="1"/>
  <c r="AI106" i="1" s="1"/>
  <c r="CF15" i="1"/>
  <c r="CJ15" i="1" s="1"/>
  <c r="CV76" i="1"/>
  <c r="O101" i="1"/>
  <c r="Q101" i="1" s="1"/>
  <c r="O103" i="1"/>
  <c r="Q103" i="1" s="1"/>
  <c r="BC85" i="1"/>
  <c r="CH85" i="1" s="1"/>
  <c r="CV75" i="1"/>
  <c r="CR89" i="1"/>
  <c r="O95" i="1"/>
  <c r="Q95" i="1" s="1"/>
  <c r="O99" i="1"/>
  <c r="Q99" i="1" s="1"/>
  <c r="CE85" i="1"/>
  <c r="CV74" i="1"/>
  <c r="O97" i="1"/>
  <c r="Q97" i="1" s="1"/>
  <c r="AB101" i="1"/>
  <c r="AJ101" i="1" s="1"/>
  <c r="AB103" i="1"/>
  <c r="AJ103" i="1" s="1"/>
  <c r="CQ103" i="1" s="1"/>
  <c r="O106" i="1"/>
  <c r="Q106" i="1" s="1"/>
  <c r="BD85" i="1"/>
  <c r="CV73" i="1"/>
  <c r="CR93" i="1"/>
  <c r="AG96" i="1"/>
  <c r="AH96" i="1" s="1"/>
  <c r="CR96" i="1" s="1"/>
  <c r="AG105" i="1"/>
  <c r="AH105" i="1" s="1"/>
  <c r="CR105" i="1" s="1"/>
  <c r="AB69" i="1"/>
  <c r="AJ69" i="1" s="1"/>
  <c r="BF69" i="1" s="1"/>
  <c r="CV72" i="1"/>
  <c r="O88" i="1"/>
  <c r="Q88" i="1" s="1"/>
  <c r="AB93" i="1"/>
  <c r="AJ93" i="1" s="1"/>
  <c r="CQ93" i="1" s="1"/>
  <c r="CV71" i="1"/>
  <c r="CF9" i="1"/>
  <c r="CJ9" i="1" s="1"/>
  <c r="CT9" i="1" s="1"/>
  <c r="CU9" i="1" s="1"/>
  <c r="CV66" i="1"/>
  <c r="CV70" i="1"/>
  <c r="O104" i="1"/>
  <c r="Q104" i="1" s="1"/>
  <c r="CV85" i="1"/>
  <c r="CV69" i="1"/>
  <c r="BE74" i="1"/>
  <c r="AB82" i="1"/>
  <c r="AJ82" i="1" s="1"/>
  <c r="BF82" i="1" s="1"/>
  <c r="CV84" i="1"/>
  <c r="CV68" i="1"/>
  <c r="AB88" i="1"/>
  <c r="AJ88" i="1" s="1"/>
  <c r="CQ88" i="1" s="1"/>
  <c r="O92" i="1"/>
  <c r="Q92" i="1" s="1"/>
  <c r="O94" i="1"/>
  <c r="Q94" i="1" s="1"/>
  <c r="O100" i="1"/>
  <c r="Q100" i="1" s="1"/>
  <c r="O102" i="1"/>
  <c r="Q102" i="1" s="1"/>
  <c r="H105" i="1"/>
  <c r="AI105" i="1" s="1"/>
  <c r="CP105" i="1" s="1"/>
  <c r="CV83" i="1"/>
  <c r="CV67" i="1"/>
  <c r="O98" i="1"/>
  <c r="Q98" i="1" s="1"/>
  <c r="AG104" i="1"/>
  <c r="AH104" i="1" s="1"/>
  <c r="CR104" i="1" s="1"/>
  <c r="AB81" i="1"/>
  <c r="AJ81" i="1" s="1"/>
  <c r="BF81" i="1" s="1"/>
  <c r="CR90" i="1"/>
  <c r="H93" i="1"/>
  <c r="AI93" i="1" s="1"/>
  <c r="CP93" i="1" s="1"/>
  <c r="O96" i="1"/>
  <c r="Q96" i="1" s="1"/>
  <c r="AB100" i="1"/>
  <c r="AJ100" i="1" s="1"/>
  <c r="CQ100" i="1" s="1"/>
  <c r="AG102" i="1"/>
  <c r="AH102" i="1" s="1"/>
  <c r="CR102" i="1" s="1"/>
  <c r="AG98" i="1"/>
  <c r="AH98" i="1" s="1"/>
  <c r="CR98" i="1" s="1"/>
  <c r="AG107" i="1"/>
  <c r="AH107" i="1" s="1"/>
  <c r="CR97" i="1"/>
  <c r="CP90" i="1"/>
  <c r="CR88" i="1"/>
  <c r="AB89" i="1"/>
  <c r="AJ89" i="1" s="1"/>
  <c r="AG92" i="1"/>
  <c r="AH92" i="1" s="1"/>
  <c r="AB90" i="1"/>
  <c r="AJ90" i="1" s="1"/>
  <c r="CQ90" i="1" s="1"/>
  <c r="BC73" i="1"/>
  <c r="CH73" i="1" s="1"/>
  <c r="BC78" i="1"/>
  <c r="CH78" i="1" s="1"/>
  <c r="BC66" i="1"/>
  <c r="CH66" i="1" s="1"/>
  <c r="CE73" i="1"/>
  <c r="CE78" i="1"/>
  <c r="CE66" i="1"/>
  <c r="BD73" i="1"/>
  <c r="BD78" i="1"/>
  <c r="BC80" i="1"/>
  <c r="CH80" i="1" s="1"/>
  <c r="BD66" i="1"/>
  <c r="BC68" i="1"/>
  <c r="CH68" i="1" s="1"/>
  <c r="BC75" i="1"/>
  <c r="CH75" i="1" s="1"/>
  <c r="CE80" i="1"/>
  <c r="CE68" i="1"/>
  <c r="CE75" i="1"/>
  <c r="BD80" i="1"/>
  <c r="BC82" i="1"/>
  <c r="CH82" i="1" s="1"/>
  <c r="BD68" i="1"/>
  <c r="BC70" i="1"/>
  <c r="CH70" i="1" s="1"/>
  <c r="BD75" i="1"/>
  <c r="CE82" i="1"/>
  <c r="CE70" i="1"/>
  <c r="BD82" i="1"/>
  <c r="BC84" i="1"/>
  <c r="CH84" i="1" s="1"/>
  <c r="BD70" i="1"/>
  <c r="BC72" i="1"/>
  <c r="CH72" i="1" s="1"/>
  <c r="BC77" i="1"/>
  <c r="CH77" i="1" s="1"/>
  <c r="CE84" i="1"/>
  <c r="CE72" i="1"/>
  <c r="CE77" i="1"/>
  <c r="BD84" i="1"/>
  <c r="BD72" i="1"/>
  <c r="BC74" i="1"/>
  <c r="CH74" i="1" s="1"/>
  <c r="BD77" i="1"/>
  <c r="BC79" i="1"/>
  <c r="CH79" i="1" s="1"/>
  <c r="BC67" i="1"/>
  <c r="CH67" i="1" s="1"/>
  <c r="CI67" i="1" s="1"/>
  <c r="CJ67" i="1" s="1"/>
  <c r="CE74" i="1"/>
  <c r="CE79" i="1"/>
  <c r="BD12" i="1"/>
  <c r="BC20" i="1"/>
  <c r="CF20" i="1" s="1"/>
  <c r="CJ20" i="1" s="1"/>
  <c r="CT20" i="1" s="1"/>
  <c r="CU20" i="1" s="1"/>
  <c r="CF12" i="1"/>
  <c r="CJ12" i="1" s="1"/>
  <c r="CF17" i="1"/>
  <c r="CJ17" i="1" s="1"/>
  <c r="CF13" i="1"/>
  <c r="CJ13" i="1" s="1"/>
  <c r="BD14" i="1"/>
  <c r="CF10" i="1"/>
  <c r="CJ10" i="1" s="1"/>
  <c r="CF6" i="1"/>
  <c r="CJ6" i="1" s="1"/>
  <c r="CF11" i="1"/>
  <c r="CJ11" i="1" s="1"/>
  <c r="BD17" i="1"/>
  <c r="BD18" i="1"/>
  <c r="BD6" i="1"/>
  <c r="BC8" i="1"/>
  <c r="CF8" i="1" s="1"/>
  <c r="CJ8" i="1" s="1"/>
  <c r="CT8" i="1" s="1"/>
  <c r="CU8" i="1" s="1"/>
  <c r="BD15" i="1"/>
  <c r="BD13" i="1"/>
  <c r="BC3" i="1"/>
  <c r="CF3" i="1" s="1"/>
  <c r="CJ3" i="1" s="1"/>
  <c r="CT3" i="1" s="1"/>
  <c r="CU3" i="1" s="1"/>
  <c r="BC19" i="1"/>
  <c r="CF19" i="1" s="1"/>
  <c r="CJ19" i="1" s="1"/>
  <c r="CT19" i="1" s="1"/>
  <c r="CU19" i="1" s="1"/>
  <c r="BD10" i="1"/>
  <c r="BC5" i="1"/>
  <c r="CF5" i="1" s="1"/>
  <c r="CJ5" i="1" s="1"/>
  <c r="CT5" i="1" s="1"/>
  <c r="CU5" i="1" s="1"/>
  <c r="BC21" i="1"/>
  <c r="CF21" i="1" s="1"/>
  <c r="CJ21" i="1" s="1"/>
  <c r="CT21" i="1" s="1"/>
  <c r="CU21" i="1" s="1"/>
  <c r="BC7" i="1"/>
  <c r="CF7" i="1" s="1"/>
  <c r="CJ7" i="1" s="1"/>
  <c r="CT7" i="1" s="1"/>
  <c r="CU7" i="1" s="1"/>
  <c r="BC16" i="1"/>
  <c r="CF16" i="1" s="1"/>
  <c r="CJ16" i="1" s="1"/>
  <c r="CT16" i="1" s="1"/>
  <c r="CU16" i="1" s="1"/>
  <c r="AY107" i="1" l="1"/>
  <c r="CI69" i="1"/>
  <c r="CJ69" i="1" s="1"/>
  <c r="CK69" i="1" s="1"/>
  <c r="CT69" i="1" s="1"/>
  <c r="CU69" i="1" s="1"/>
  <c r="AY99" i="1"/>
  <c r="CC99" i="1" s="1"/>
  <c r="CE99" i="1" s="1"/>
  <c r="CT11" i="1"/>
  <c r="CU11" i="1" s="1"/>
  <c r="AY91" i="1"/>
  <c r="CN91" i="1" s="1"/>
  <c r="AY94" i="1"/>
  <c r="CC94" i="1" s="1"/>
  <c r="CE94" i="1" s="1"/>
  <c r="AY101" i="1"/>
  <c r="CN101" i="1" s="1"/>
  <c r="CI76" i="1"/>
  <c r="CJ76" i="1" s="1"/>
  <c r="CK76" i="1" s="1"/>
  <c r="CT76" i="1" s="1"/>
  <c r="CU76" i="1" s="1"/>
  <c r="CK71" i="1"/>
  <c r="CT71" i="1" s="1"/>
  <c r="CU71" i="1" s="1"/>
  <c r="AY93" i="1"/>
  <c r="CN93" i="1" s="1"/>
  <c r="CQ101" i="1"/>
  <c r="AY100" i="1"/>
  <c r="CC100" i="1" s="1"/>
  <c r="CE100" i="1" s="1"/>
  <c r="CT14" i="1"/>
  <c r="CU14" i="1" s="1"/>
  <c r="AY104" i="1"/>
  <c r="CC104" i="1" s="1"/>
  <c r="CE104" i="1" s="1"/>
  <c r="AY95" i="1"/>
  <c r="CC95" i="1" s="1"/>
  <c r="CE95" i="1" s="1"/>
  <c r="AY105" i="1"/>
  <c r="CN105" i="1" s="1"/>
  <c r="AY96" i="1"/>
  <c r="CC96" i="1" s="1"/>
  <c r="CE96" i="1" s="1"/>
  <c r="CT18" i="1"/>
  <c r="CU18" i="1" s="1"/>
  <c r="AY103" i="1"/>
  <c r="CC103" i="1" s="1"/>
  <c r="CE103" i="1" s="1"/>
  <c r="CI79" i="1"/>
  <c r="CJ79" i="1" s="1"/>
  <c r="CK79" i="1" s="1"/>
  <c r="CT79" i="1" s="1"/>
  <c r="CU79" i="1" s="1"/>
  <c r="CI70" i="1"/>
  <c r="CJ70" i="1" s="1"/>
  <c r="CK70" i="1" s="1"/>
  <c r="CT70" i="1" s="1"/>
  <c r="CU70" i="1" s="1"/>
  <c r="CI66" i="1"/>
  <c r="CJ66" i="1" s="1"/>
  <c r="CK66" i="1" s="1"/>
  <c r="CT66" i="1" s="1"/>
  <c r="CU66" i="1" s="1"/>
  <c r="AY88" i="1"/>
  <c r="CC88" i="1" s="1"/>
  <c r="CE88" i="1" s="1"/>
  <c r="AY92" i="1"/>
  <c r="CN92" i="1" s="1"/>
  <c r="AY97" i="1"/>
  <c r="CC97" i="1" s="1"/>
  <c r="CE97" i="1" s="1"/>
  <c r="AY106" i="1"/>
  <c r="CN106" i="1" s="1"/>
  <c r="CI72" i="1"/>
  <c r="CJ72" i="1" s="1"/>
  <c r="CK72" i="1" s="1"/>
  <c r="CT72" i="1" s="1"/>
  <c r="CU72" i="1" s="1"/>
  <c r="CI80" i="1"/>
  <c r="CJ80" i="1" s="1"/>
  <c r="CK80" i="1" s="1"/>
  <c r="CT80" i="1" s="1"/>
  <c r="CU80" i="1" s="1"/>
  <c r="CI83" i="1"/>
  <c r="CJ83" i="1" s="1"/>
  <c r="CK83" i="1" s="1"/>
  <c r="CT83" i="1" s="1"/>
  <c r="CU83" i="1" s="1"/>
  <c r="CI81" i="1"/>
  <c r="CJ81" i="1" s="1"/>
  <c r="CK81" i="1" s="1"/>
  <c r="CT81" i="1" s="1"/>
  <c r="CU81" i="1" s="1"/>
  <c r="CK67" i="1"/>
  <c r="CT67" i="1" s="1"/>
  <c r="CU67" i="1" s="1"/>
  <c r="CT4" i="1"/>
  <c r="CU4" i="1" s="1"/>
  <c r="CT12" i="1"/>
  <c r="CU12" i="1" s="1"/>
  <c r="CI78" i="1"/>
  <c r="CJ78" i="1" s="1"/>
  <c r="CK78" i="1" s="1"/>
  <c r="CT78" i="1" s="1"/>
  <c r="CU78" i="1" s="1"/>
  <c r="CI74" i="1"/>
  <c r="CJ74" i="1" s="1"/>
  <c r="CK74" i="1" s="1"/>
  <c r="CT74" i="1" s="1"/>
  <c r="CU74" i="1" s="1"/>
  <c r="CT15" i="1"/>
  <c r="CU15" i="1" s="1"/>
  <c r="CT6" i="1"/>
  <c r="CU6" i="1" s="1"/>
  <c r="CI73" i="1"/>
  <c r="CJ73" i="1" s="1"/>
  <c r="CK73" i="1" s="1"/>
  <c r="CT73" i="1" s="1"/>
  <c r="CU73" i="1" s="1"/>
  <c r="AY89" i="1"/>
  <c r="CC89" i="1" s="1"/>
  <c r="CE89" i="1" s="1"/>
  <c r="CI85" i="1"/>
  <c r="CJ85" i="1" s="1"/>
  <c r="CK85" i="1" s="1"/>
  <c r="CT85" i="1" s="1"/>
  <c r="CU85" i="1" s="1"/>
  <c r="CI75" i="1"/>
  <c r="CJ75" i="1" s="1"/>
  <c r="CK75" i="1" s="1"/>
  <c r="CT75" i="1" s="1"/>
  <c r="CU75" i="1" s="1"/>
  <c r="CI77" i="1"/>
  <c r="CJ77" i="1" s="1"/>
  <c r="CK77" i="1" s="1"/>
  <c r="CT77" i="1" s="1"/>
  <c r="CU77" i="1" s="1"/>
  <c r="CI68" i="1"/>
  <c r="CJ68" i="1" s="1"/>
  <c r="CK68" i="1" s="1"/>
  <c r="CT68" i="1" s="1"/>
  <c r="CU68" i="1" s="1"/>
  <c r="CR92" i="1"/>
  <c r="CT17" i="1"/>
  <c r="CU17" i="1" s="1"/>
  <c r="CP106" i="1"/>
  <c r="CC107" i="1"/>
  <c r="CE107" i="1" s="1"/>
  <c r="CN107" i="1"/>
  <c r="CQ89" i="1"/>
  <c r="AY102" i="1"/>
  <c r="CR107" i="1"/>
  <c r="AY98" i="1"/>
  <c r="AY90" i="1"/>
  <c r="CI84" i="1"/>
  <c r="CJ84" i="1" s="1"/>
  <c r="CK84" i="1" s="1"/>
  <c r="CT84" i="1" s="1"/>
  <c r="CU84" i="1" s="1"/>
  <c r="CI82" i="1"/>
  <c r="CJ82" i="1" s="1"/>
  <c r="CK82" i="1" s="1"/>
  <c r="CT82" i="1" s="1"/>
  <c r="CU82" i="1" s="1"/>
  <c r="CT13" i="1"/>
  <c r="CU13" i="1" s="1"/>
  <c r="CT10" i="1"/>
  <c r="CU10" i="1" s="1"/>
  <c r="CN94" i="1" l="1"/>
  <c r="CN99" i="1"/>
  <c r="CO99" i="1"/>
  <c r="CT99" i="1" s="1"/>
  <c r="CU99" i="1" s="1"/>
  <c r="CC101" i="1"/>
  <c r="CE101" i="1" s="1"/>
  <c r="CO101" i="1" s="1"/>
  <c r="CT101" i="1" s="1"/>
  <c r="CU101" i="1" s="1"/>
  <c r="CN96" i="1"/>
  <c r="CO96" i="1" s="1"/>
  <c r="CT96" i="1" s="1"/>
  <c r="CU96" i="1" s="1"/>
  <c r="CC91" i="1"/>
  <c r="CE91" i="1" s="1"/>
  <c r="CO91" i="1" s="1"/>
  <c r="CT91" i="1" s="1"/>
  <c r="CU91" i="1" s="1"/>
  <c r="CC105" i="1"/>
  <c r="CE105" i="1" s="1"/>
  <c r="CO105" i="1" s="1"/>
  <c r="CT105" i="1" s="1"/>
  <c r="CU105" i="1" s="1"/>
  <c r="CN100" i="1"/>
  <c r="CO100" i="1" s="1"/>
  <c r="CT100" i="1" s="1"/>
  <c r="CU100" i="1" s="1"/>
  <c r="CN103" i="1"/>
  <c r="CO103" i="1" s="1"/>
  <c r="CT103" i="1" s="1"/>
  <c r="CU103" i="1" s="1"/>
  <c r="CC93" i="1"/>
  <c r="CE93" i="1" s="1"/>
  <c r="CO93" i="1" s="1"/>
  <c r="CT93" i="1" s="1"/>
  <c r="CU93" i="1" s="1"/>
  <c r="CN89" i="1"/>
  <c r="CO89" i="1" s="1"/>
  <c r="CT89" i="1" s="1"/>
  <c r="CU89" i="1" s="1"/>
  <c r="CO94" i="1"/>
  <c r="CT94" i="1" s="1"/>
  <c r="CU94" i="1" s="1"/>
  <c r="CC92" i="1"/>
  <c r="CE92" i="1" s="1"/>
  <c r="CO92" i="1" s="1"/>
  <c r="CT92" i="1" s="1"/>
  <c r="CU92" i="1" s="1"/>
  <c r="CN104" i="1"/>
  <c r="CO104" i="1" s="1"/>
  <c r="CT104" i="1" s="1"/>
  <c r="CU104" i="1" s="1"/>
  <c r="CN97" i="1"/>
  <c r="CO97" i="1" s="1"/>
  <c r="CT97" i="1" s="1"/>
  <c r="CU97" i="1" s="1"/>
  <c r="CO107" i="1"/>
  <c r="CT107" i="1" s="1"/>
  <c r="CU107" i="1" s="1"/>
  <c r="CN95" i="1"/>
  <c r="CO95" i="1" s="1"/>
  <c r="CT95" i="1" s="1"/>
  <c r="CU95" i="1" s="1"/>
  <c r="CN88" i="1"/>
  <c r="CO88" i="1" s="1"/>
  <c r="CT88" i="1" s="1"/>
  <c r="CU88" i="1" s="1"/>
  <c r="CC106" i="1"/>
  <c r="CE106" i="1" s="1"/>
  <c r="CO106" i="1" s="1"/>
  <c r="CT106" i="1" s="1"/>
  <c r="CU106" i="1" s="1"/>
  <c r="CC90" i="1"/>
  <c r="CE90" i="1" s="1"/>
  <c r="CN90" i="1"/>
  <c r="CN98" i="1"/>
  <c r="CC98" i="1"/>
  <c r="CE98" i="1" s="1"/>
  <c r="CC102" i="1"/>
  <c r="CE102" i="1" s="1"/>
  <c r="CN102" i="1"/>
  <c r="CO102" i="1" l="1"/>
  <c r="CT102" i="1" s="1"/>
  <c r="CU102" i="1" s="1"/>
  <c r="CO90" i="1"/>
  <c r="CT90" i="1" s="1"/>
  <c r="CU90" i="1" s="1"/>
  <c r="CO98" i="1"/>
  <c r="CT98" i="1" s="1"/>
  <c r="CU98" i="1" s="1"/>
</calcChain>
</file>

<file path=xl/sharedStrings.xml><?xml version="1.0" encoding="utf-8"?>
<sst xmlns="http://schemas.openxmlformats.org/spreadsheetml/2006/main" count="1363" uniqueCount="138">
  <si>
    <t>case</t>
  </si>
  <si>
    <t>d_pipe_m</t>
  </si>
  <si>
    <t>d_pipe</t>
  </si>
  <si>
    <t>t_pipe_m</t>
  </si>
  <si>
    <t>t_pipe</t>
  </si>
  <si>
    <t>d_t_ratio</t>
  </si>
  <si>
    <t>l_anchor</t>
  </si>
  <si>
    <t>steel_grade</t>
  </si>
  <si>
    <t>n_param</t>
  </si>
  <si>
    <t>r_param</t>
  </si>
  <si>
    <t>sigma_y</t>
  </si>
  <si>
    <t>sigma_ult</t>
  </si>
  <si>
    <t>eps_ult</t>
  </si>
  <si>
    <t>eps_ult_from_grade</t>
  </si>
  <si>
    <t>ln_eps_ult</t>
  </si>
  <si>
    <t>psi_dip</t>
  </si>
  <si>
    <t>soil_type</t>
  </si>
  <si>
    <t>soil_density</t>
  </si>
  <si>
    <t>gamma_backfill</t>
  </si>
  <si>
    <t>phi_backfill</t>
  </si>
  <si>
    <t>s_u_backfill</t>
  </si>
  <si>
    <t>alpha_backfill</t>
  </si>
  <si>
    <t>delta_backfill</t>
  </si>
  <si>
    <t>h_pipe</t>
  </si>
  <si>
    <t>h_d_ratio</t>
  </si>
  <si>
    <t>t_u</t>
  </si>
  <si>
    <t>n_q_vd</t>
  </si>
  <si>
    <t>n_gamma_d</t>
  </si>
  <si>
    <t>q_vd</t>
  </si>
  <si>
    <t>ln_q_vd</t>
  </si>
  <si>
    <t>ln_d_t</t>
  </si>
  <si>
    <t>ln_t_u</t>
  </si>
  <si>
    <t>a0</t>
  </si>
  <si>
    <t>a1</t>
  </si>
  <si>
    <t>a2</t>
  </si>
  <si>
    <t>a3</t>
  </si>
  <si>
    <t>a4</t>
  </si>
  <si>
    <t>a5</t>
  </si>
  <si>
    <t>a6</t>
  </si>
  <si>
    <t>ln_delta_u</t>
  </si>
  <si>
    <t>b0</t>
  </si>
  <si>
    <t>b2</t>
  </si>
  <si>
    <t>b3</t>
  </si>
  <si>
    <t>b4</t>
  </si>
  <si>
    <t>b5</t>
  </si>
  <si>
    <t>d2</t>
  </si>
  <si>
    <t>d3</t>
  </si>
  <si>
    <t>d41</t>
  </si>
  <si>
    <t>d42</t>
  </si>
  <si>
    <t>d5</t>
  </si>
  <si>
    <t>d6</t>
  </si>
  <si>
    <t>d71</t>
  </si>
  <si>
    <t>d72</t>
  </si>
  <si>
    <t>d8</t>
  </si>
  <si>
    <t>f_delta_f</t>
  </si>
  <si>
    <t>f_l_anchor</t>
  </si>
  <si>
    <t>f_soil_type</t>
  </si>
  <si>
    <t>b1</t>
  </si>
  <si>
    <t>pgdef</t>
  </si>
  <si>
    <t>ln_delta_f</t>
  </si>
  <si>
    <t>ln_delta_f_delta_u_ratio</t>
  </si>
  <si>
    <t>b1_ln_delta_f_delta_u_ratio</t>
  </si>
  <si>
    <t>b2_ln_d_t_ratio</t>
  </si>
  <si>
    <t>b3_f_soil_ln_t_ult</t>
  </si>
  <si>
    <t>b4_ln_q_vd</t>
  </si>
  <si>
    <t>b5_ln_d</t>
  </si>
  <si>
    <t>ln_eps_pipe</t>
  </si>
  <si>
    <t>eps_pipe</t>
  </si>
  <si>
    <t>sigma_eps_pipe</t>
  </si>
  <si>
    <t>sigma_mu_eps_pipe</t>
  </si>
  <si>
    <t>X-52</t>
  </si>
  <si>
    <t>clay</t>
  </si>
  <si>
    <t>soft</t>
  </si>
  <si>
    <t>X-60</t>
  </si>
  <si>
    <t>medium stiff</t>
  </si>
  <si>
    <t>X-70</t>
  </si>
  <si>
    <t>stiff</t>
  </si>
  <si>
    <t>X-80</t>
  </si>
  <si>
    <t>sand</t>
  </si>
  <si>
    <t>medium dense</t>
  </si>
  <si>
    <t>dense</t>
  </si>
  <si>
    <t>very dense</t>
  </si>
  <si>
    <t>beta_crossing</t>
  </si>
  <si>
    <t>case_to_run</t>
  </si>
  <si>
    <t>f_beta_crossing</t>
  </si>
  <si>
    <t>val_inside_atanh</t>
  </si>
  <si>
    <t>atanh_metric</t>
  </si>
  <si>
    <t>ln_delta_o</t>
  </si>
  <si>
    <t>f_delta_o</t>
  </si>
  <si>
    <t>f_delta_u</t>
  </si>
  <si>
    <t>e1</t>
  </si>
  <si>
    <t>e2</t>
  </si>
  <si>
    <t>e3</t>
  </si>
  <si>
    <t>e4</t>
  </si>
  <si>
    <t>e5</t>
  </si>
  <si>
    <t>e6</t>
  </si>
  <si>
    <t>e7</t>
  </si>
  <si>
    <t>e8</t>
  </si>
  <si>
    <t>term1</t>
  </si>
  <si>
    <t>term2</t>
  </si>
  <si>
    <t>X-42</t>
  </si>
  <si>
    <t>Grade-B</t>
  </si>
  <si>
    <t>f_psi_dip</t>
  </si>
  <si>
    <t>f_d_pipe</t>
  </si>
  <si>
    <t>ln_d_t_ratio</t>
  </si>
  <si>
    <t>Log[?f (m)] - b0</t>
  </si>
  <si>
    <t>(Log[?f (m)] - b0) / b1</t>
  </si>
  <si>
    <t>ATANH (Log[?f (m)] - b0) / b1)  /  b2</t>
  </si>
  <si>
    <t>Very large strain and failure is expected</t>
  </si>
  <si>
    <t xml:space="preserve">μ1 = </t>
  </si>
  <si>
    <t>μ1</t>
  </si>
  <si>
    <t>μ2</t>
  </si>
  <si>
    <t>σ1</t>
  </si>
  <si>
    <t>σ2</t>
  </si>
  <si>
    <t>π1</t>
  </si>
  <si>
    <t>π2</t>
  </si>
  <si>
    <t xml:space="preserve">μ2 = </t>
  </si>
  <si>
    <t xml:space="preserve">σ1 = </t>
  </si>
  <si>
    <t xml:space="preserve">σ2 = </t>
  </si>
  <si>
    <t xml:space="preserve">π1 = </t>
  </si>
  <si>
    <t xml:space="preserve">π2 = </t>
  </si>
  <si>
    <t>SSComp</t>
  </si>
  <si>
    <t>SSTens</t>
  </si>
  <si>
    <t>Reverse</t>
  </si>
  <si>
    <t>Normal</t>
  </si>
  <si>
    <t>eps_pipe_comp</t>
  </si>
  <si>
    <t>eps_pipe_tens</t>
  </si>
  <si>
    <t>sigma_eps_pipe_comp</t>
  </si>
  <si>
    <t>sigma_eps_pipe_tens</t>
  </si>
  <si>
    <t>sigma_mu_eps_pipe_comp</t>
  </si>
  <si>
    <t>sigma_mu_eps_pipe_tens</t>
  </si>
  <si>
    <t>f_t_u</t>
  </si>
  <si>
    <t>f_d_t_ratio</t>
  </si>
  <si>
    <t>c3</t>
  </si>
  <si>
    <t>c41</t>
  </si>
  <si>
    <t>c42</t>
  </si>
  <si>
    <t>c51</t>
  </si>
  <si>
    <t>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</si>
</sst>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3" borderId="0" xfId="0" applyFill="1"/>
    <xf numFmtId="164" fontId="0" fillId="33" borderId="0" xfId="0" applyNumberFormat="1" applyFill="1"/>
    <xf numFmtId="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lategeotech.sharepoint.com/sites/SlateDrive/Shared%20Documents/_Projects/18-020.00_CEC_Seismic_Risk/04_Eval_Analysis/04%20-%20Research/Task%204b/HutabaratEtal2022_AllModels_2208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Model SSC Level 3"/>
      <sheetName val="HutabaratEtal2022_ss_comp"/>
      <sheetName val="HutabaratEtal2022_ss_tens"/>
      <sheetName val="HutabaratEtal2022_ss_tens(5-85)"/>
      <sheetName val="Estimation Model SST (85-90)"/>
      <sheetName val="HutabaratEtal2022_ss_tens(85-90"/>
      <sheetName val="Estimation Model Reverse-Slip"/>
      <sheetName val="HutabaratEtal2022_reverse"/>
      <sheetName val="Estimation Model Normal-Slip"/>
      <sheetName val="HutabaratEtal2022_normal"/>
      <sheetName val="Coefficient Normal"/>
      <sheetName val="case_to_ru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8">
          <cell r="J8" t="str">
            <v>Grade-B</v>
          </cell>
          <cell r="O8">
            <v>1.0993773658472166E-2</v>
          </cell>
        </row>
        <row r="9">
          <cell r="J9" t="str">
            <v>X-42</v>
          </cell>
          <cell r="O9">
            <v>1.6424915983774071E-2</v>
          </cell>
        </row>
        <row r="10">
          <cell r="J10" t="str">
            <v>X-52</v>
          </cell>
          <cell r="O10">
            <v>1.9041242414694345E-2</v>
          </cell>
        </row>
        <row r="11">
          <cell r="J11" t="str">
            <v>X-60</v>
          </cell>
          <cell r="O11">
            <v>2.4313344008036558E-2</v>
          </cell>
        </row>
        <row r="12">
          <cell r="J12" t="str">
            <v>X-70</v>
          </cell>
          <cell r="O12">
            <v>2.7690517990613433E-2</v>
          </cell>
        </row>
        <row r="13">
          <cell r="J13" t="str">
            <v>X-80</v>
          </cell>
          <cell r="O13">
            <v>2.8464933991254465E-2</v>
          </cell>
        </row>
      </sheetData>
      <sheetData sheetId="9" refreshError="1"/>
      <sheetData sheetId="10" refreshError="1">
        <row r="3">
          <cell r="A3">
            <v>30</v>
          </cell>
          <cell r="B3">
            <v>3.9632999999999998</v>
          </cell>
          <cell r="C3">
            <v>0.29370000000000002</v>
          </cell>
          <cell r="D3">
            <v>1.2438</v>
          </cell>
          <cell r="E3">
            <v>-0.70199999999999996</v>
          </cell>
          <cell r="F3">
            <v>-0.3957</v>
          </cell>
          <cell r="G3">
            <v>-0.40510000000000002</v>
          </cell>
          <cell r="H3">
            <v>1E-4</v>
          </cell>
        </row>
        <row r="4">
          <cell r="A4">
            <v>45</v>
          </cell>
          <cell r="B4">
            <v>3.7532999999999999</v>
          </cell>
          <cell r="C4">
            <v>0.14510000000000001</v>
          </cell>
          <cell r="D4">
            <v>1.2497</v>
          </cell>
          <cell r="E4">
            <v>-0.46100000000000002</v>
          </cell>
          <cell r="F4">
            <v>0.39140000000000003</v>
          </cell>
          <cell r="G4">
            <v>-0.21310000000000001</v>
          </cell>
          <cell r="H4">
            <v>-0.34139999999999998</v>
          </cell>
        </row>
        <row r="5">
          <cell r="A5">
            <v>60</v>
          </cell>
          <cell r="B5">
            <v>4.3182999999999998</v>
          </cell>
          <cell r="C5">
            <v>-2.7900000000000001E-2</v>
          </cell>
          <cell r="D5">
            <v>1.0497000000000001</v>
          </cell>
          <cell r="E5">
            <v>-0.46910000000000002</v>
          </cell>
          <cell r="F5">
            <v>0.29149999999999998</v>
          </cell>
          <cell r="G5">
            <v>-0.28610000000000002</v>
          </cell>
          <cell r="H5">
            <v>-0.1348</v>
          </cell>
        </row>
        <row r="6">
          <cell r="A6">
            <v>75</v>
          </cell>
          <cell r="B6">
            <v>5.5951000000000004</v>
          </cell>
          <cell r="C6">
            <v>1.6E-2</v>
          </cell>
          <cell r="D6">
            <v>1.2641</v>
          </cell>
          <cell r="E6">
            <v>-0.52429999999999999</v>
          </cell>
          <cell r="F6">
            <v>0.35830000000000001</v>
          </cell>
          <cell r="G6">
            <v>-0.35920000000000002</v>
          </cell>
          <cell r="H6">
            <v>-0.2482</v>
          </cell>
        </row>
        <row r="7">
          <cell r="A7">
            <v>90</v>
          </cell>
          <cell r="B7">
            <v>14.575100000000001</v>
          </cell>
          <cell r="C7">
            <v>0.1356</v>
          </cell>
          <cell r="D7">
            <v>2.9990000000000001</v>
          </cell>
          <cell r="E7">
            <v>-0.94710000000000005</v>
          </cell>
          <cell r="F7">
            <v>0.6603</v>
          </cell>
          <cell r="G7">
            <v>-1.2488999999999999</v>
          </cell>
          <cell r="H7">
            <v>-0.44140000000000001</v>
          </cell>
        </row>
        <row r="10">
          <cell r="A10">
            <v>30</v>
          </cell>
          <cell r="B10">
            <v>0.80179999999999996</v>
          </cell>
          <cell r="C10">
            <v>2.6499999999999999E-2</v>
          </cell>
          <cell r="D10">
            <v>0</v>
          </cell>
          <cell r="E10">
            <v>1.7999999999999999E-2</v>
          </cell>
          <cell r="F10">
            <v>0.14169999999999999</v>
          </cell>
          <cell r="G10">
            <v>1.1363000000000001</v>
          </cell>
          <cell r="H10">
            <v>1.1999999999999999E-3</v>
          </cell>
          <cell r="I10">
            <v>3.8E-3</v>
          </cell>
          <cell r="J10">
            <v>0</v>
          </cell>
          <cell r="K10">
            <v>3.2000000000000002E-3</v>
          </cell>
          <cell r="L10">
            <v>2.1297000000000001</v>
          </cell>
          <cell r="M10">
            <v>1E-3</v>
          </cell>
          <cell r="N10">
            <v>0</v>
          </cell>
          <cell r="O10">
            <v>-0.38669999999999999</v>
          </cell>
          <cell r="P10">
            <v>0.34899999999999998</v>
          </cell>
        </row>
        <row r="11">
          <cell r="A11">
            <v>45</v>
          </cell>
          <cell r="B11">
            <v>-1.1082000000000001</v>
          </cell>
          <cell r="C11">
            <v>0.10630000000000001</v>
          </cell>
          <cell r="D11">
            <v>-0.1439</v>
          </cell>
          <cell r="E11">
            <v>0.27879999999999999</v>
          </cell>
          <cell r="F11">
            <v>-0.31030000000000002</v>
          </cell>
          <cell r="G11">
            <v>1.2553000000000001</v>
          </cell>
          <cell r="H11">
            <v>2.9999999999999997E-4</v>
          </cell>
          <cell r="I11">
            <v>5.1999999999999998E-3</v>
          </cell>
          <cell r="J11">
            <v>-8.5900000000000004E-2</v>
          </cell>
          <cell r="K11">
            <v>5.9999999999999995E-4</v>
          </cell>
          <cell r="L11">
            <v>-0.21759999999999999</v>
          </cell>
          <cell r="M11">
            <v>-2.69E-2</v>
          </cell>
          <cell r="N11">
            <v>0.57389999999999997</v>
          </cell>
          <cell r="O11">
            <v>0.34460000000000002</v>
          </cell>
          <cell r="P11">
            <v>0.3997</v>
          </cell>
        </row>
        <row r="12">
          <cell r="A12">
            <v>60</v>
          </cell>
          <cell r="B12">
            <v>-2.1276999999999999</v>
          </cell>
          <cell r="C12">
            <v>0.14760000000000001</v>
          </cell>
          <cell r="D12">
            <v>-0.21829999999999999</v>
          </cell>
          <cell r="E12">
            <v>0.42270000000000002</v>
          </cell>
          <cell r="F12">
            <v>-0.53720000000000001</v>
          </cell>
          <cell r="G12">
            <v>1.252</v>
          </cell>
          <cell r="H12">
            <v>-5.9999999999999995E-4</v>
          </cell>
          <cell r="I12">
            <v>5.3E-3</v>
          </cell>
          <cell r="J12">
            <v>-4.8500000000000001E-2</v>
          </cell>
          <cell r="K12">
            <v>1.2999999999999999E-3</v>
          </cell>
          <cell r="L12">
            <v>-0.56599999999999995</v>
          </cell>
          <cell r="M12">
            <v>-3.2099999999999997E-2</v>
          </cell>
          <cell r="N12">
            <v>0.84970000000000001</v>
          </cell>
          <cell r="O12">
            <v>9.01E-2</v>
          </cell>
          <cell r="P12">
            <v>0.50170000000000003</v>
          </cell>
        </row>
        <row r="13">
          <cell r="A13">
            <v>75</v>
          </cell>
          <cell r="B13">
            <v>-2.3450000000000002</v>
          </cell>
          <cell r="C13">
            <v>0.19470000000000001</v>
          </cell>
          <cell r="D13">
            <v>-0.2044</v>
          </cell>
          <cell r="E13">
            <v>0.4143</v>
          </cell>
          <cell r="F13">
            <v>-0.55710000000000004</v>
          </cell>
          <cell r="G13">
            <v>1.0931</v>
          </cell>
          <cell r="H13">
            <v>1E-4</v>
          </cell>
          <cell r="I13">
            <v>3.5000000000000001E-3</v>
          </cell>
          <cell r="J13">
            <v>-4.07E-2</v>
          </cell>
          <cell r="K13">
            <v>1.6000000000000001E-3</v>
          </cell>
          <cell r="L13">
            <v>-0.65949999999999998</v>
          </cell>
          <cell r="M13">
            <v>-3.0099999999999998E-2</v>
          </cell>
          <cell r="N13">
            <v>0.84219999999999995</v>
          </cell>
          <cell r="O13">
            <v>0.50680000000000003</v>
          </cell>
          <cell r="P13">
            <v>0.43780000000000002</v>
          </cell>
        </row>
        <row r="14">
          <cell r="A14">
            <v>90</v>
          </cell>
          <cell r="B14">
            <v>5.1353999999999997</v>
          </cell>
          <cell r="C14">
            <v>-4.9599999999999998E-2</v>
          </cell>
          <cell r="D14">
            <v>0.44590000000000002</v>
          </cell>
          <cell r="E14">
            <v>-0.83709999999999996</v>
          </cell>
          <cell r="F14">
            <v>0.63090000000000002</v>
          </cell>
          <cell r="G14">
            <v>0.91390000000000005</v>
          </cell>
          <cell r="H14">
            <v>2.5000000000000001E-3</v>
          </cell>
          <cell r="I14">
            <v>1.6000000000000001E-3</v>
          </cell>
          <cell r="J14">
            <v>-9.7500000000000003E-2</v>
          </cell>
          <cell r="K14">
            <v>1.1999999999999999E-3</v>
          </cell>
          <cell r="L14">
            <v>0.46479999999999999</v>
          </cell>
          <cell r="M14">
            <v>8.0000000000000004E-4</v>
          </cell>
          <cell r="N14">
            <v>6.7900000000000002E-2</v>
          </cell>
          <cell r="O14">
            <v>0.58979999999999999</v>
          </cell>
          <cell r="P14">
            <v>0.34749999999999998</v>
          </cell>
        </row>
        <row r="18">
          <cell r="E18">
            <v>13.08197373</v>
          </cell>
          <cell r="F18">
            <v>17.16864833</v>
          </cell>
          <cell r="G18">
            <v>22.265246900000001</v>
          </cell>
        </row>
        <row r="19">
          <cell r="E19">
            <v>-1.03819712</v>
          </cell>
          <cell r="F19">
            <v>-1.57125015</v>
          </cell>
          <cell r="G19">
            <v>-3.5677026399999998</v>
          </cell>
        </row>
        <row r="20">
          <cell r="E20">
            <v>0.57950358000000002</v>
          </cell>
          <cell r="F20">
            <v>0.58594570999999995</v>
          </cell>
          <cell r="G20">
            <v>1.08316196</v>
          </cell>
        </row>
        <row r="21">
          <cell r="E21">
            <v>-7.2290160000000006E-2</v>
          </cell>
          <cell r="F21">
            <v>-6.3292440000000005E-2</v>
          </cell>
          <cell r="G21">
            <v>-0.10313583</v>
          </cell>
        </row>
        <row r="22">
          <cell r="E22">
            <v>2.77969E-3</v>
          </cell>
          <cell r="F22">
            <v>2.2038600000000002E-3</v>
          </cell>
          <cell r="G22">
            <v>3.18987E-3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7"/>
  <sheetViews>
    <sheetView topLeftCell="AR19" zoomScale="55" zoomScaleNormal="55" workbookViewId="0">
      <selection activeCell="CU37" sqref="CU37"/>
    </sheetView>
  </sheetViews>
  <sheetFormatPr defaultRowHeight="15" x14ac:dyDescent="0.25"/>
  <cols>
    <col min="3" max="3" width="25.5703125" customWidth="1"/>
  </cols>
  <sheetData>
    <row r="1" spans="1:101" x14ac:dyDescent="0.25">
      <c r="A1" t="s">
        <v>0</v>
      </c>
      <c r="B1" t="s">
        <v>82</v>
      </c>
      <c r="C1" t="s">
        <v>83</v>
      </c>
      <c r="D1" t="s">
        <v>1</v>
      </c>
      <c r="E1" t="s">
        <v>2</v>
      </c>
      <c r="I1" t="s">
        <v>6</v>
      </c>
      <c r="AK1" t="s">
        <v>58</v>
      </c>
      <c r="BC1" t="s">
        <v>40</v>
      </c>
      <c r="BD1" t="s">
        <v>41</v>
      </c>
      <c r="BY1" t="s">
        <v>84</v>
      </c>
      <c r="CE1" t="s">
        <v>57</v>
      </c>
      <c r="CF1" t="s">
        <v>85</v>
      </c>
      <c r="CJ1" t="s">
        <v>86</v>
      </c>
      <c r="CT1" t="s">
        <v>66</v>
      </c>
      <c r="CU1" t="s">
        <v>67</v>
      </c>
      <c r="CV1" t="s">
        <v>68</v>
      </c>
      <c r="CW1" t="s">
        <v>69</v>
      </c>
    </row>
    <row r="2" spans="1:101" x14ac:dyDescent="0.25">
      <c r="A2">
        <v>1</v>
      </c>
      <c r="B2">
        <v>105</v>
      </c>
      <c r="C2" t="str">
        <f t="shared" ref="C2:C21" si="0">IF(AND(B2&gt;=0,B2&lt;=5),"Normal",IF(AND(B2&gt;5,B2&lt;90),"SSTens",IF(AND(B2&gt;=90,B2&lt;175),"SSComp",IF(AND(B2&gt;=175,B2&lt;=180),"Reverse"))))</f>
        <v>SSComp</v>
      </c>
      <c r="D2">
        <v>0.20319999999999999</v>
      </c>
      <c r="E2">
        <f>D2*1000</f>
        <v>203.2</v>
      </c>
      <c r="I2">
        <v>15</v>
      </c>
      <c r="AK2">
        <v>0.2</v>
      </c>
      <c r="BC2">
        <f t="shared" ref="BC2:BC21" si="1">-6.50785 + 0.98692*D2 + 0.01601*I2 + (-0.04575 * BY2)</f>
        <v>-5.3809078560000003</v>
      </c>
      <c r="BD2">
        <f t="shared" ref="BD2:BD21" si="2">0.34262 + (-0.10918 * D2) + 0.00197 * I2+ 0.0027*BY2</f>
        <v>0.30948462400000004</v>
      </c>
      <c r="BY2">
        <f t="shared" ref="BY2:BY21" si="3">IF(AND(B2&gt;95,B2&lt;=120),B2-120,0)</f>
        <v>-15</v>
      </c>
      <c r="CE2">
        <f t="shared" ref="CE2:CE21" si="4" xml:space="preserve"> 4.54097 - 0.01093*I2</f>
        <v>4.3770199999999999</v>
      </c>
      <c r="CF2">
        <f t="shared" ref="CF2:CF21" si="5">(LN(AK2) - BC2) / CE2</f>
        <v>0.86165243557623683</v>
      </c>
      <c r="CJ2">
        <f t="shared" ref="CJ2:CJ21" si="6">IF(CF2&gt;=1,5,ATANH(CF2))</f>
        <v>1.2997253384540037</v>
      </c>
      <c r="CT2">
        <f t="shared" ref="CT2:CT21" si="7">(CJ2 / BD2) - 4</f>
        <v>0.19964430431284885</v>
      </c>
      <c r="CU2">
        <f>MIN(EXP(CT2),100)</f>
        <v>1.2209683877232429</v>
      </c>
      <c r="CV2">
        <v>0.57099999999999995</v>
      </c>
      <c r="CW2">
        <v>0.3</v>
      </c>
    </row>
    <row r="3" spans="1:101" x14ac:dyDescent="0.25">
      <c r="A3">
        <v>2</v>
      </c>
      <c r="B3">
        <v>145</v>
      </c>
      <c r="C3" t="str">
        <f t="shared" si="0"/>
        <v>SSComp</v>
      </c>
      <c r="D3">
        <v>0.30480000000000002</v>
      </c>
      <c r="E3">
        <f t="shared" ref="E3:E21" si="8">D3*1000</f>
        <v>304.8</v>
      </c>
      <c r="I3">
        <v>30</v>
      </c>
      <c r="AK3">
        <v>0.1</v>
      </c>
      <c r="BC3">
        <f t="shared" si="1"/>
        <v>-5.7267367840000007</v>
      </c>
      <c r="BD3">
        <f t="shared" si="2"/>
        <v>0.36844193599999997</v>
      </c>
      <c r="BY3">
        <f t="shared" si="3"/>
        <v>0</v>
      </c>
      <c r="CE3">
        <f t="shared" si="4"/>
        <v>4.2130700000000001</v>
      </c>
      <c r="CF3">
        <f t="shared" si="5"/>
        <v>0.81274502702446316</v>
      </c>
      <c r="CJ3">
        <f t="shared" si="6"/>
        <v>1.135063192462112</v>
      </c>
      <c r="CT3">
        <f t="shared" si="7"/>
        <v>-0.91928881716083488</v>
      </c>
      <c r="CU3">
        <f t="shared" ref="CU3:CU21" si="9">MIN(EXP(CT3),100)</f>
        <v>0.39880256179319534</v>
      </c>
      <c r="CV3">
        <v>0.57099999999999995</v>
      </c>
      <c r="CW3">
        <v>0.3</v>
      </c>
    </row>
    <row r="4" spans="1:101" x14ac:dyDescent="0.25">
      <c r="A4">
        <v>3</v>
      </c>
      <c r="B4">
        <v>165</v>
      </c>
      <c r="C4" t="str">
        <f t="shared" si="0"/>
        <v>SSComp</v>
      </c>
      <c r="D4">
        <v>0.40639999999999998</v>
      </c>
      <c r="E4">
        <f t="shared" si="8"/>
        <v>406.4</v>
      </c>
      <c r="I4">
        <v>50</v>
      </c>
      <c r="AK4">
        <v>0.2</v>
      </c>
      <c r="BC4">
        <f t="shared" si="1"/>
        <v>-5.3062657120000001</v>
      </c>
      <c r="BD4">
        <f t="shared" si="2"/>
        <v>0.396749248</v>
      </c>
      <c r="BY4">
        <f t="shared" si="3"/>
        <v>0</v>
      </c>
      <c r="CE4">
        <f t="shared" si="4"/>
        <v>3.9944699999999997</v>
      </c>
      <c r="CF4">
        <f t="shared" si="5"/>
        <v>0.92548643488770721</v>
      </c>
      <c r="CJ4">
        <f t="shared" si="6"/>
        <v>1.6259763586968217</v>
      </c>
      <c r="CT4">
        <f t="shared" si="7"/>
        <v>9.8246857160575018E-2</v>
      </c>
      <c r="CU4">
        <f t="shared" si="9"/>
        <v>1.1032350929790506</v>
      </c>
      <c r="CV4">
        <v>0.57099999999999995</v>
      </c>
      <c r="CW4">
        <v>0.3</v>
      </c>
    </row>
    <row r="5" spans="1:101" x14ac:dyDescent="0.25">
      <c r="A5">
        <v>4</v>
      </c>
      <c r="B5">
        <v>105</v>
      </c>
      <c r="C5" t="str">
        <f t="shared" si="0"/>
        <v>SSComp</v>
      </c>
      <c r="D5">
        <v>0.50800000000000001</v>
      </c>
      <c r="E5">
        <f t="shared" si="8"/>
        <v>508</v>
      </c>
      <c r="I5">
        <v>100</v>
      </c>
      <c r="AK5">
        <v>0.7</v>
      </c>
      <c r="BC5">
        <f t="shared" si="1"/>
        <v>-3.7192446400000003</v>
      </c>
      <c r="BD5">
        <f t="shared" si="2"/>
        <v>0.44365656000000003</v>
      </c>
      <c r="BY5">
        <f t="shared" si="3"/>
        <v>-15</v>
      </c>
      <c r="CE5">
        <f t="shared" si="4"/>
        <v>3.4479699999999998</v>
      </c>
      <c r="CF5">
        <f t="shared" si="5"/>
        <v>0.97523171491088034</v>
      </c>
      <c r="CJ5">
        <f t="shared" si="6"/>
        <v>2.1894384933683062</v>
      </c>
      <c r="CT5">
        <f t="shared" si="7"/>
        <v>0.93498505548595112</v>
      </c>
      <c r="CU5">
        <f t="shared" si="9"/>
        <v>2.5471753911561468</v>
      </c>
      <c r="CV5">
        <v>0.57099999999999995</v>
      </c>
      <c r="CW5">
        <v>0.3</v>
      </c>
    </row>
    <row r="6" spans="1:101" x14ac:dyDescent="0.25">
      <c r="A6">
        <v>5</v>
      </c>
      <c r="B6">
        <v>145</v>
      </c>
      <c r="C6" t="str">
        <f t="shared" si="0"/>
        <v>SSComp</v>
      </c>
      <c r="D6">
        <v>0.60960000000000003</v>
      </c>
      <c r="E6">
        <f t="shared" si="8"/>
        <v>609.6</v>
      </c>
      <c r="I6">
        <v>15</v>
      </c>
      <c r="AK6">
        <v>0.2</v>
      </c>
      <c r="BC6">
        <f t="shared" si="1"/>
        <v>-5.6660735680000007</v>
      </c>
      <c r="BD6">
        <f t="shared" si="2"/>
        <v>0.30561387200000001</v>
      </c>
      <c r="BY6">
        <f t="shared" si="3"/>
        <v>0</v>
      </c>
      <c r="CE6">
        <f t="shared" si="4"/>
        <v>4.3770199999999999</v>
      </c>
      <c r="CF6">
        <f t="shared" si="5"/>
        <v>0.92680308876036677</v>
      </c>
      <c r="CJ6">
        <f t="shared" si="6"/>
        <v>1.6352321269547774</v>
      </c>
      <c r="CT6">
        <f t="shared" si="7"/>
        <v>1.3506475876028867</v>
      </c>
      <c r="CU6">
        <f t="shared" si="9"/>
        <v>3.8599243606680402</v>
      </c>
      <c r="CV6">
        <v>0.57099999999999995</v>
      </c>
      <c r="CW6">
        <v>0.3</v>
      </c>
    </row>
    <row r="7" spans="1:101" x14ac:dyDescent="0.25">
      <c r="A7">
        <v>6</v>
      </c>
      <c r="B7">
        <v>165</v>
      </c>
      <c r="C7" t="str">
        <f t="shared" si="0"/>
        <v>SSComp</v>
      </c>
      <c r="D7">
        <v>0.76200000000000001</v>
      </c>
      <c r="E7">
        <f t="shared" si="8"/>
        <v>762</v>
      </c>
      <c r="I7">
        <v>30</v>
      </c>
      <c r="AK7">
        <v>0.3</v>
      </c>
      <c r="BC7">
        <f t="shared" si="1"/>
        <v>-5.2755169600000009</v>
      </c>
      <c r="BD7">
        <f t="shared" si="2"/>
        <v>0.31852483999999998</v>
      </c>
      <c r="BY7">
        <f t="shared" si="3"/>
        <v>0</v>
      </c>
      <c r="CE7">
        <f t="shared" si="4"/>
        <v>4.2130700000000001</v>
      </c>
      <c r="CF7">
        <f t="shared" si="5"/>
        <v>0.96640790579650115</v>
      </c>
      <c r="CJ7">
        <f t="shared" si="6"/>
        <v>2.0348365057620685</v>
      </c>
      <c r="CT7">
        <f t="shared" si="7"/>
        <v>2.38831340677251</v>
      </c>
      <c r="CU7">
        <f t="shared" si="9"/>
        <v>10.895102831591004</v>
      </c>
      <c r="CV7">
        <v>0.57099999999999995</v>
      </c>
      <c r="CW7">
        <v>0.3</v>
      </c>
    </row>
    <row r="8" spans="1:101" x14ac:dyDescent="0.25">
      <c r="A8">
        <v>7</v>
      </c>
      <c r="B8">
        <v>105</v>
      </c>
      <c r="C8" t="str">
        <f t="shared" si="0"/>
        <v>SSComp</v>
      </c>
      <c r="D8">
        <v>0.86360000000000003</v>
      </c>
      <c r="E8">
        <f t="shared" si="8"/>
        <v>863.6</v>
      </c>
      <c r="I8">
        <v>50</v>
      </c>
      <c r="AK8">
        <v>0.5</v>
      </c>
      <c r="BC8">
        <f t="shared" si="1"/>
        <v>-4.1687958880000009</v>
      </c>
      <c r="BD8">
        <f t="shared" si="2"/>
        <v>0.30633215199999997</v>
      </c>
      <c r="BY8">
        <f t="shared" si="3"/>
        <v>-15</v>
      </c>
      <c r="CE8">
        <f t="shared" si="4"/>
        <v>3.9944699999999997</v>
      </c>
      <c r="CF8">
        <f t="shared" si="5"/>
        <v>0.87011511100097283</v>
      </c>
      <c r="CJ8">
        <f t="shared" si="6"/>
        <v>1.3335533378406192</v>
      </c>
      <c r="CT8">
        <f t="shared" si="7"/>
        <v>0.35329210183794046</v>
      </c>
      <c r="CU8">
        <f t="shared" si="9"/>
        <v>1.4237469618042953</v>
      </c>
      <c r="CV8">
        <v>0.57099999999999995</v>
      </c>
      <c r="CW8">
        <v>0.3</v>
      </c>
    </row>
    <row r="9" spans="1:101" x14ac:dyDescent="0.25">
      <c r="A9">
        <v>8</v>
      </c>
      <c r="B9">
        <v>145</v>
      </c>
      <c r="C9" t="str">
        <f t="shared" si="0"/>
        <v>SSComp</v>
      </c>
      <c r="D9">
        <v>1.0668</v>
      </c>
      <c r="E9">
        <f t="shared" si="8"/>
        <v>1066.8</v>
      </c>
      <c r="I9">
        <v>100</v>
      </c>
      <c r="AK9">
        <v>0.65</v>
      </c>
      <c r="BC9">
        <f t="shared" si="1"/>
        <v>-3.8540037440000008</v>
      </c>
      <c r="BD9">
        <f t="shared" si="2"/>
        <v>0.423146776</v>
      </c>
      <c r="BY9">
        <f t="shared" si="3"/>
        <v>0</v>
      </c>
      <c r="CE9">
        <f t="shared" si="4"/>
        <v>3.4479699999999998</v>
      </c>
      <c r="CF9">
        <f t="shared" si="5"/>
        <v>0.99282210341376143</v>
      </c>
      <c r="CJ9">
        <f t="shared" si="6"/>
        <v>2.8131503349727711</v>
      </c>
      <c r="CT9">
        <f t="shared" si="7"/>
        <v>2.6481667698509677</v>
      </c>
      <c r="CU9">
        <f t="shared" si="9"/>
        <v>14.128114804444175</v>
      </c>
      <c r="CV9">
        <v>0.57099999999999995</v>
      </c>
      <c r="CW9">
        <v>0.3</v>
      </c>
    </row>
    <row r="10" spans="1:101" x14ac:dyDescent="0.25">
      <c r="A10">
        <v>9</v>
      </c>
      <c r="B10">
        <v>165</v>
      </c>
      <c r="C10" t="str">
        <f t="shared" si="0"/>
        <v>SSComp</v>
      </c>
      <c r="D10">
        <v>0.60960000000000003</v>
      </c>
      <c r="E10">
        <f t="shared" si="8"/>
        <v>609.6</v>
      </c>
      <c r="I10">
        <v>150</v>
      </c>
      <c r="AK10">
        <v>0.54</v>
      </c>
      <c r="BC10">
        <f t="shared" si="1"/>
        <v>-3.5047235680000006</v>
      </c>
      <c r="BD10">
        <f t="shared" si="2"/>
        <v>0.57156387200000003</v>
      </c>
      <c r="BY10">
        <f t="shared" si="3"/>
        <v>0</v>
      </c>
      <c r="CE10">
        <f t="shared" si="4"/>
        <v>2.9014699999999998</v>
      </c>
      <c r="CF10">
        <f t="shared" si="5"/>
        <v>0.99554275197613074</v>
      </c>
      <c r="CJ10">
        <f t="shared" si="6"/>
        <v>3.0520699039355779</v>
      </c>
      <c r="CT10">
        <f t="shared" si="7"/>
        <v>1.3398579816737923</v>
      </c>
      <c r="CU10">
        <f t="shared" si="9"/>
        <v>3.8185011697117019</v>
      </c>
      <c r="CV10">
        <v>0.57099999999999995</v>
      </c>
      <c r="CW10">
        <v>0.3</v>
      </c>
    </row>
    <row r="11" spans="1:101" x14ac:dyDescent="0.25">
      <c r="A11">
        <v>10</v>
      </c>
      <c r="B11">
        <v>105</v>
      </c>
      <c r="C11" t="str">
        <f t="shared" si="0"/>
        <v>SSComp</v>
      </c>
      <c r="D11">
        <v>0.60960000000000003</v>
      </c>
      <c r="E11">
        <f t="shared" si="8"/>
        <v>609.6</v>
      </c>
      <c r="I11">
        <v>200</v>
      </c>
      <c r="AK11">
        <v>0.5</v>
      </c>
      <c r="BC11">
        <f t="shared" si="1"/>
        <v>-2.0179735680000004</v>
      </c>
      <c r="BD11">
        <f t="shared" si="2"/>
        <v>0.62956387200000008</v>
      </c>
      <c r="BY11">
        <f t="shared" si="3"/>
        <v>-15</v>
      </c>
      <c r="CE11">
        <f t="shared" si="4"/>
        <v>2.3549699999999998</v>
      </c>
      <c r="CF11">
        <f t="shared" si="5"/>
        <v>0.56256614200607868</v>
      </c>
      <c r="CJ11">
        <f t="shared" si="6"/>
        <v>0.63657959947907028</v>
      </c>
      <c r="CT11">
        <f t="shared" si="7"/>
        <v>-2.9888562101621514</v>
      </c>
      <c r="CU11">
        <f t="shared" si="9"/>
        <v>5.034498788963291E-2</v>
      </c>
      <c r="CV11">
        <v>0.57099999999999995</v>
      </c>
      <c r="CW11">
        <v>0.3</v>
      </c>
    </row>
    <row r="12" spans="1:101" x14ac:dyDescent="0.25">
      <c r="A12">
        <v>11</v>
      </c>
      <c r="B12">
        <v>145</v>
      </c>
      <c r="C12" t="str">
        <f t="shared" si="0"/>
        <v>SSComp</v>
      </c>
      <c r="D12">
        <v>0.20319999999999999</v>
      </c>
      <c r="E12">
        <f t="shared" si="8"/>
        <v>203.2</v>
      </c>
      <c r="I12">
        <v>15</v>
      </c>
      <c r="AK12">
        <v>0.7</v>
      </c>
      <c r="BC12">
        <f t="shared" si="1"/>
        <v>-6.0671578560000006</v>
      </c>
      <c r="BD12">
        <f t="shared" si="2"/>
        <v>0.34998462400000002</v>
      </c>
      <c r="BY12">
        <f t="shared" si="3"/>
        <v>0</v>
      </c>
      <c r="CE12">
        <f t="shared" si="4"/>
        <v>4.3770199999999999</v>
      </c>
      <c r="CF12">
        <f t="shared" si="5"/>
        <v>1.3046508611021352</v>
      </c>
      <c r="CJ12">
        <f t="shared" si="6"/>
        <v>5</v>
      </c>
      <c r="CT12">
        <f t="shared" si="7"/>
        <v>10.286341905123237</v>
      </c>
      <c r="CU12">
        <f t="shared" si="9"/>
        <v>100</v>
      </c>
      <c r="CV12">
        <v>0.57099999999999995</v>
      </c>
      <c r="CW12">
        <v>0.3</v>
      </c>
    </row>
    <row r="13" spans="1:101" x14ac:dyDescent="0.25">
      <c r="A13">
        <v>12</v>
      </c>
      <c r="B13">
        <v>165</v>
      </c>
      <c r="C13" t="str">
        <f t="shared" si="0"/>
        <v>SSComp</v>
      </c>
      <c r="D13">
        <v>0.30480000000000002</v>
      </c>
      <c r="E13">
        <f t="shared" si="8"/>
        <v>304.8</v>
      </c>
      <c r="I13">
        <v>30</v>
      </c>
      <c r="AK13">
        <v>0.6</v>
      </c>
      <c r="BC13">
        <f t="shared" si="1"/>
        <v>-5.7267367840000007</v>
      </c>
      <c r="BD13">
        <f t="shared" si="2"/>
        <v>0.36844193599999997</v>
      </c>
      <c r="BY13">
        <f t="shared" si="3"/>
        <v>0</v>
      </c>
      <c r="CE13">
        <f t="shared" si="4"/>
        <v>4.2130700000000001</v>
      </c>
      <c r="CF13">
        <f t="shared" si="5"/>
        <v>1.2380309750927494</v>
      </c>
      <c r="CJ13">
        <f t="shared" si="6"/>
        <v>5</v>
      </c>
      <c r="CT13">
        <f t="shared" si="7"/>
        <v>9.570659339929211</v>
      </c>
      <c r="CU13">
        <f t="shared" si="9"/>
        <v>100</v>
      </c>
      <c r="CV13">
        <v>0.57099999999999995</v>
      </c>
      <c r="CW13">
        <v>0.3</v>
      </c>
    </row>
    <row r="14" spans="1:101" x14ac:dyDescent="0.25">
      <c r="A14">
        <v>13</v>
      </c>
      <c r="B14">
        <v>105</v>
      </c>
      <c r="C14" t="str">
        <f t="shared" si="0"/>
        <v>SSComp</v>
      </c>
      <c r="D14">
        <v>0.40639999999999998</v>
      </c>
      <c r="E14">
        <f t="shared" si="8"/>
        <v>406.4</v>
      </c>
      <c r="I14">
        <v>50</v>
      </c>
      <c r="AK14">
        <v>0.5</v>
      </c>
      <c r="BC14">
        <f t="shared" si="1"/>
        <v>-4.6200157119999998</v>
      </c>
      <c r="BD14">
        <f t="shared" si="2"/>
        <v>0.35624924800000002</v>
      </c>
      <c r="BY14">
        <f t="shared" si="3"/>
        <v>-15</v>
      </c>
      <c r="CE14">
        <f t="shared" si="4"/>
        <v>3.9944699999999997</v>
      </c>
      <c r="CF14">
        <f t="shared" si="5"/>
        <v>0.98307623575594627</v>
      </c>
      <c r="CJ14">
        <f t="shared" si="6"/>
        <v>2.3818428849754718</v>
      </c>
      <c r="CT14">
        <f t="shared" si="7"/>
        <v>2.6858888779337766</v>
      </c>
      <c r="CU14">
        <f t="shared" si="9"/>
        <v>14.671236524486245</v>
      </c>
      <c r="CV14">
        <v>0.57099999999999995</v>
      </c>
      <c r="CW14">
        <v>0.3</v>
      </c>
    </row>
    <row r="15" spans="1:101" x14ac:dyDescent="0.25">
      <c r="A15">
        <v>14</v>
      </c>
      <c r="B15">
        <v>145</v>
      </c>
      <c r="C15" t="str">
        <f t="shared" si="0"/>
        <v>SSComp</v>
      </c>
      <c r="D15">
        <v>0.50800000000000001</v>
      </c>
      <c r="E15">
        <f t="shared" si="8"/>
        <v>508</v>
      </c>
      <c r="I15">
        <v>100</v>
      </c>
      <c r="AK15">
        <v>0.2</v>
      </c>
      <c r="BC15">
        <f t="shared" si="1"/>
        <v>-4.4054946400000006</v>
      </c>
      <c r="BD15">
        <f t="shared" si="2"/>
        <v>0.48415656000000001</v>
      </c>
      <c r="BY15">
        <f t="shared" si="3"/>
        <v>0</v>
      </c>
      <c r="CE15">
        <f t="shared" si="4"/>
        <v>3.4479699999999998</v>
      </c>
      <c r="CF15">
        <f t="shared" si="5"/>
        <v>0.81092838034144732</v>
      </c>
      <c r="CJ15">
        <f t="shared" si="6"/>
        <v>1.129734513403053</v>
      </c>
      <c r="CT15">
        <f t="shared" si="7"/>
        <v>-1.6665925720327883</v>
      </c>
      <c r="CU15">
        <f t="shared" si="9"/>
        <v>0.18888959802468036</v>
      </c>
      <c r="CV15">
        <v>0.57099999999999995</v>
      </c>
      <c r="CW15">
        <v>0.3</v>
      </c>
    </row>
    <row r="16" spans="1:101" x14ac:dyDescent="0.25">
      <c r="A16">
        <v>15</v>
      </c>
      <c r="B16">
        <v>165</v>
      </c>
      <c r="C16" t="str">
        <f t="shared" si="0"/>
        <v>SSComp</v>
      </c>
      <c r="D16">
        <v>0.60960000000000003</v>
      </c>
      <c r="E16">
        <f t="shared" si="8"/>
        <v>609.6</v>
      </c>
      <c r="I16">
        <v>15</v>
      </c>
      <c r="AK16">
        <v>0.4</v>
      </c>
      <c r="BC16">
        <f t="shared" si="1"/>
        <v>-5.6660735680000007</v>
      </c>
      <c r="BD16">
        <f t="shared" si="2"/>
        <v>0.30561387200000001</v>
      </c>
      <c r="BY16">
        <f t="shared" si="3"/>
        <v>0</v>
      </c>
      <c r="CE16">
        <f t="shared" si="4"/>
        <v>4.3770199999999999</v>
      </c>
      <c r="CF16">
        <f t="shared" si="5"/>
        <v>1.0851636127150084</v>
      </c>
      <c r="CJ16">
        <f t="shared" si="6"/>
        <v>5</v>
      </c>
      <c r="CT16">
        <f t="shared" si="7"/>
        <v>12.360513897091685</v>
      </c>
      <c r="CU16">
        <f t="shared" si="9"/>
        <v>100</v>
      </c>
      <c r="CV16">
        <v>0.57099999999999995</v>
      </c>
      <c r="CW16">
        <v>0.3</v>
      </c>
    </row>
    <row r="17" spans="1:101" x14ac:dyDescent="0.25">
      <c r="A17">
        <v>16</v>
      </c>
      <c r="B17">
        <v>105</v>
      </c>
      <c r="C17" t="str">
        <f t="shared" si="0"/>
        <v>SSComp</v>
      </c>
      <c r="D17">
        <v>0.76200000000000001</v>
      </c>
      <c r="E17">
        <f t="shared" si="8"/>
        <v>762</v>
      </c>
      <c r="I17">
        <v>30</v>
      </c>
      <c r="AK17">
        <v>0.3</v>
      </c>
      <c r="BC17">
        <f t="shared" si="1"/>
        <v>-4.5892669600000007</v>
      </c>
      <c r="BD17">
        <f t="shared" si="2"/>
        <v>0.27802484</v>
      </c>
      <c r="BY17">
        <f t="shared" si="3"/>
        <v>-15</v>
      </c>
      <c r="CE17">
        <f t="shared" si="4"/>
        <v>4.2130700000000001</v>
      </c>
      <c r="CF17">
        <f t="shared" si="5"/>
        <v>0.80352193428404106</v>
      </c>
      <c r="CJ17">
        <f t="shared" si="6"/>
        <v>1.1084729310554529</v>
      </c>
      <c r="CT17">
        <f t="shared" si="7"/>
        <v>-1.3043542960215593E-2</v>
      </c>
      <c r="CU17">
        <f t="shared" si="9"/>
        <v>0.98704115539080384</v>
      </c>
      <c r="CV17">
        <v>0.57099999999999995</v>
      </c>
      <c r="CW17">
        <v>0.3</v>
      </c>
    </row>
    <row r="18" spans="1:101" x14ac:dyDescent="0.25">
      <c r="A18">
        <v>17</v>
      </c>
      <c r="B18">
        <v>145</v>
      </c>
      <c r="C18" t="str">
        <f t="shared" si="0"/>
        <v>SSComp</v>
      </c>
      <c r="D18">
        <v>0.86360000000000003</v>
      </c>
      <c r="E18">
        <f t="shared" si="8"/>
        <v>863.6</v>
      </c>
      <c r="I18">
        <v>50</v>
      </c>
      <c r="AK18">
        <v>0.5</v>
      </c>
      <c r="BC18">
        <f t="shared" si="1"/>
        <v>-4.8550458880000011</v>
      </c>
      <c r="BD18">
        <f t="shared" si="2"/>
        <v>0.34683215199999995</v>
      </c>
      <c r="BY18">
        <f t="shared" si="3"/>
        <v>0</v>
      </c>
      <c r="CE18">
        <f t="shared" si="4"/>
        <v>3.9944699999999997</v>
      </c>
      <c r="CF18">
        <f t="shared" si="5"/>
        <v>1.0419151245196625</v>
      </c>
      <c r="CJ18">
        <f t="shared" si="6"/>
        <v>5</v>
      </c>
      <c r="CT18">
        <f t="shared" si="7"/>
        <v>10.416195185964192</v>
      </c>
      <c r="CU18">
        <f t="shared" si="9"/>
        <v>100</v>
      </c>
      <c r="CV18">
        <v>0.57099999999999995</v>
      </c>
      <c r="CW18">
        <v>0.3</v>
      </c>
    </row>
    <row r="19" spans="1:101" x14ac:dyDescent="0.25">
      <c r="A19">
        <v>18</v>
      </c>
      <c r="B19">
        <v>165</v>
      </c>
      <c r="C19" t="str">
        <f t="shared" si="0"/>
        <v>SSComp</v>
      </c>
      <c r="D19">
        <v>1.0668</v>
      </c>
      <c r="E19">
        <f t="shared" si="8"/>
        <v>1066.8</v>
      </c>
      <c r="I19">
        <v>100</v>
      </c>
      <c r="AK19">
        <v>0.7</v>
      </c>
      <c r="BC19">
        <f t="shared" si="1"/>
        <v>-3.8540037440000008</v>
      </c>
      <c r="BD19">
        <f t="shared" si="2"/>
        <v>0.423146776</v>
      </c>
      <c r="BY19">
        <f t="shared" si="3"/>
        <v>0</v>
      </c>
      <c r="CE19">
        <f t="shared" si="4"/>
        <v>3.4479699999999998</v>
      </c>
      <c r="CF19">
        <f t="shared" si="5"/>
        <v>1.0143153217868104</v>
      </c>
      <c r="CJ19">
        <f t="shared" si="6"/>
        <v>5</v>
      </c>
      <c r="CT19">
        <f t="shared" si="7"/>
        <v>7.8162308768246405</v>
      </c>
      <c r="CU19">
        <f t="shared" si="9"/>
        <v>100</v>
      </c>
      <c r="CV19">
        <v>0.57099999999999995</v>
      </c>
      <c r="CW19">
        <v>0.3</v>
      </c>
    </row>
    <row r="20" spans="1:101" x14ac:dyDescent="0.25">
      <c r="A20">
        <v>19</v>
      </c>
      <c r="B20">
        <v>115</v>
      </c>
      <c r="C20" t="str">
        <f t="shared" si="0"/>
        <v>SSComp</v>
      </c>
      <c r="D20">
        <v>0.60960000000000003</v>
      </c>
      <c r="E20">
        <f t="shared" si="8"/>
        <v>609.6</v>
      </c>
      <c r="I20">
        <v>150</v>
      </c>
      <c r="AK20">
        <v>0.6</v>
      </c>
      <c r="BC20">
        <f t="shared" si="1"/>
        <v>-3.2759735680000004</v>
      </c>
      <c r="BD20">
        <f t="shared" si="2"/>
        <v>0.55806387200000007</v>
      </c>
      <c r="BY20">
        <f t="shared" si="3"/>
        <v>-5</v>
      </c>
      <c r="CE20">
        <f t="shared" si="4"/>
        <v>2.9014699999999998</v>
      </c>
      <c r="CF20">
        <f t="shared" si="5"/>
        <v>0.95301621048434415</v>
      </c>
      <c r="CJ20">
        <f t="shared" si="6"/>
        <v>1.8636637964233149</v>
      </c>
      <c r="CT20">
        <f t="shared" si="7"/>
        <v>-0.66048298424285967</v>
      </c>
      <c r="CU20">
        <f t="shared" si="9"/>
        <v>0.51660176371546651</v>
      </c>
      <c r="CV20">
        <v>0.57099999999999995</v>
      </c>
      <c r="CW20">
        <v>0.3</v>
      </c>
    </row>
    <row r="21" spans="1:101" x14ac:dyDescent="0.25">
      <c r="A21">
        <v>20</v>
      </c>
      <c r="B21">
        <v>135</v>
      </c>
      <c r="C21" t="str">
        <f t="shared" si="0"/>
        <v>SSComp</v>
      </c>
      <c r="D21">
        <v>0.60960000000000003</v>
      </c>
      <c r="E21">
        <f t="shared" si="8"/>
        <v>609.6</v>
      </c>
      <c r="I21">
        <v>200</v>
      </c>
      <c r="AK21">
        <v>1.5</v>
      </c>
      <c r="BC21">
        <f t="shared" si="1"/>
        <v>-2.7042235680000006</v>
      </c>
      <c r="BD21">
        <f t="shared" si="2"/>
        <v>0.67006387200000006</v>
      </c>
      <c r="BY21">
        <f t="shared" si="3"/>
        <v>0</v>
      </c>
      <c r="CE21">
        <f t="shared" si="4"/>
        <v>2.3549699999999998</v>
      </c>
      <c r="CF21">
        <f t="shared" si="5"/>
        <v>1.3204791042383408</v>
      </c>
      <c r="CJ21">
        <f t="shared" si="6"/>
        <v>5</v>
      </c>
      <c r="CT21">
        <f t="shared" si="7"/>
        <v>3.4619752070441425</v>
      </c>
      <c r="CU21">
        <f t="shared" si="9"/>
        <v>31.879883737745445</v>
      </c>
      <c r="CV21">
        <v>0.57099999999999995</v>
      </c>
      <c r="CW21">
        <v>0.3</v>
      </c>
    </row>
    <row r="23" spans="1:101" x14ac:dyDescent="0.25">
      <c r="A23" t="s">
        <v>0</v>
      </c>
      <c r="B23" t="s">
        <v>82</v>
      </c>
      <c r="C23" t="s">
        <v>83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12</v>
      </c>
      <c r="S23" t="s">
        <v>16</v>
      </c>
      <c r="T23" t="s">
        <v>17</v>
      </c>
      <c r="U23" t="s">
        <v>18</v>
      </c>
      <c r="V23" t="s">
        <v>19</v>
      </c>
      <c r="W23" t="s">
        <v>20</v>
      </c>
      <c r="X23" t="s">
        <v>21</v>
      </c>
      <c r="Y23" t="s">
        <v>22</v>
      </c>
      <c r="Z23" t="s">
        <v>23</v>
      </c>
      <c r="AB23" t="s">
        <v>25</v>
      </c>
      <c r="AC23" t="s">
        <v>131</v>
      </c>
      <c r="AD23" t="s">
        <v>132</v>
      </c>
      <c r="AK23" t="s">
        <v>58</v>
      </c>
      <c r="AL23" t="s">
        <v>32</v>
      </c>
      <c r="AM23" t="s">
        <v>33</v>
      </c>
      <c r="AN23" t="s">
        <v>34</v>
      </c>
      <c r="AS23" t="s">
        <v>133</v>
      </c>
      <c r="AT23" t="s">
        <v>134</v>
      </c>
      <c r="AU23" t="s">
        <v>135</v>
      </c>
      <c r="AV23" t="s">
        <v>136</v>
      </c>
      <c r="AW23" t="s">
        <v>137</v>
      </c>
      <c r="AX23" t="s">
        <v>87</v>
      </c>
      <c r="AY23" t="s">
        <v>39</v>
      </c>
      <c r="BC23" t="s">
        <v>40</v>
      </c>
      <c r="BD23" t="s">
        <v>41</v>
      </c>
      <c r="BE23" t="s">
        <v>42</v>
      </c>
      <c r="BH23" t="s">
        <v>45</v>
      </c>
      <c r="BI23" t="s">
        <v>46</v>
      </c>
      <c r="BJ23" t="s">
        <v>47</v>
      </c>
      <c r="BK23" t="s">
        <v>48</v>
      </c>
      <c r="BL23" t="s">
        <v>49</v>
      </c>
      <c r="BM23" t="s">
        <v>50</v>
      </c>
      <c r="BN23" t="s">
        <v>51</v>
      </c>
      <c r="BO23" t="s">
        <v>52</v>
      </c>
      <c r="BP23" t="s">
        <v>53</v>
      </c>
      <c r="BQ23" t="s">
        <v>90</v>
      </c>
      <c r="BR23" t="s">
        <v>91</v>
      </c>
      <c r="BS23" t="s">
        <v>92</v>
      </c>
      <c r="BT23" t="s">
        <v>93</v>
      </c>
      <c r="BU23" t="s">
        <v>94</v>
      </c>
      <c r="BV23" t="s">
        <v>95</v>
      </c>
      <c r="BW23" t="s">
        <v>96</v>
      </c>
      <c r="BX23" t="s">
        <v>97</v>
      </c>
      <c r="BZ23" t="s">
        <v>88</v>
      </c>
      <c r="CA23" t="s">
        <v>89</v>
      </c>
      <c r="CB23" t="s">
        <v>56</v>
      </c>
      <c r="CC23" t="s">
        <v>54</v>
      </c>
      <c r="CD23" t="s">
        <v>55</v>
      </c>
      <c r="CE23" t="s">
        <v>57</v>
      </c>
      <c r="CL23" t="s">
        <v>98</v>
      </c>
      <c r="CM23" t="s">
        <v>99</v>
      </c>
      <c r="CT23" t="s">
        <v>66</v>
      </c>
      <c r="CU23" t="s">
        <v>67</v>
      </c>
      <c r="CV23" t="s">
        <v>68</v>
      </c>
      <c r="CW23" t="s">
        <v>69</v>
      </c>
    </row>
    <row r="24" spans="1:101" x14ac:dyDescent="0.25">
      <c r="A24">
        <v>1</v>
      </c>
      <c r="B24">
        <v>39</v>
      </c>
      <c r="C24" t="str">
        <f>IF(AND(B24&gt;=0,B24&lt;=5),"Normal",IF(AND(B24&gt;5,B24&lt;90),"SSTens",IF(AND(B24&gt;=90,B24&lt;175),"SSComp",IF(AND(B24&gt;=175,B24&lt;=180),"Reverse"))))</f>
        <v>SSTens</v>
      </c>
      <c r="D24">
        <v>0.20319999999999999</v>
      </c>
      <c r="E24">
        <f t="shared" ref="E24:E63" si="10">D24*1000</f>
        <v>203.2</v>
      </c>
      <c r="F24">
        <v>5.5599999999999998E-3</v>
      </c>
      <c r="G24">
        <f t="shared" ref="G24:G63" si="11">F24*1000</f>
        <v>5.56</v>
      </c>
      <c r="H24">
        <f t="shared" ref="H24:H63" si="12">D24/F24</f>
        <v>36.546762589928058</v>
      </c>
      <c r="I24">
        <v>15</v>
      </c>
      <c r="J24" t="s">
        <v>70</v>
      </c>
      <c r="K24">
        <f>IF(J24="Grade-B",3,IF(J24="X-42",3,IF(J24="X-52",8,IF(J24="X-60",8,IF(J24="X-70",14,IF(J24="X-80",15,8))))))</f>
        <v>8</v>
      </c>
      <c r="L24">
        <f>IF(J24="Grade-B",8,IF(J24="X-42",9,IF(J24="X-52",10,IF(J24="X-60",12,IF(J24="X-70",15,IF(J24="X-80",20,10))))))</f>
        <v>10</v>
      </c>
      <c r="M24">
        <f>IF(J24="Grade-B",241,IF(J24="X-42",290,IF(J24="X-52",359,IF(J24="X-60",414,IF(J24="X-70",483,IF(J24="X-80",552,359))))))*1000</f>
        <v>359000</v>
      </c>
      <c r="N24">
        <f>IF(J24="Grade-B",344,IF(J24="X-42",414,IF(J24="X-52",455,IF(J24="X-60",517,IF(J24="X-70",565,IF(J24="X-80",625,M24*1.2/1000))))))*1000</f>
        <v>455000</v>
      </c>
      <c r="O24">
        <f>N24/200000000*(1+K24/(1+L24)*(N24/M24)^L24)*100</f>
        <v>1.9969902892117808</v>
      </c>
      <c r="S24" t="s">
        <v>78</v>
      </c>
      <c r="T24" t="s">
        <v>79</v>
      </c>
      <c r="U24">
        <f>IF(T24="medium dense",18,IF(T24="dense",18.5,IF(T24="very dense",19,IF(T24="soft",17.5,IF(T24="medium stiff",18,IF(T24="stiff",18.5,0))))))</f>
        <v>18</v>
      </c>
      <c r="V24">
        <f>IF(T24="medium dense",37,IF(T24="dense",40,IF(T24="very dense",43,0)))</f>
        <v>37</v>
      </c>
      <c r="W24">
        <f>IF(T24="soft",37.5,IF(T24="medium stiff",75,IF(T24="stiff",125,0)))</f>
        <v>0</v>
      </c>
      <c r="X24">
        <f>IF(T24="soft",1.1,IF(T24="medium stiff",0.72,IF(T24="stiff",0.4,0)))</f>
        <v>0</v>
      </c>
      <c r="Y24">
        <v>0.9</v>
      </c>
      <c r="Z24">
        <v>1</v>
      </c>
      <c r="AB24">
        <f t="shared" ref="AB24:AB63" si="13">IF(S24="clay",X24*W24,IF(S24="sand",Z24*U24*TAN(RADIANS(Y24*V24))))*PI()*D24</f>
        <v>7.5479720641402661</v>
      </c>
      <c r="AC24">
        <f t="shared" ref="AC24:AC43" si="14">IF(AB24&lt;70,1,0)</f>
        <v>1</v>
      </c>
      <c r="AD24">
        <f t="shared" ref="AD24:AD43" si="15">IF(H24&lt;100,1,0)</f>
        <v>1</v>
      </c>
      <c r="AK24">
        <v>0.75</v>
      </c>
      <c r="AL24">
        <f t="shared" ref="AL24:AL43" si="16">IF(AND(B24&gt;=5,B24&lt;45),-0.05402*(B24-45)-1.82829,IF(AND(B24&gt;=45,B24&lt;85),0.00735*(B24-75)-1.60779))</f>
        <v>-1.50417</v>
      </c>
      <c r="AM24">
        <f t="shared" ref="AM24:AM43" si="17">AS24*LN(I24)+AT24*AC24+AU24*(1-AC24)+AV24*AD24*(H24-100)+AW24*(1-AD24)</f>
        <v>0.47067295541438414</v>
      </c>
      <c r="AN24">
        <f t="shared" ref="AN24:AN43" si="18">IF(AND(B24&gt;=5,B24&lt;45),0.01347*(B24-45)+0.37664,IF(AND(B24&gt;=45,B24&lt;85),0.00484*(B24-75)+0.52187))</f>
        <v>0.29581999999999997</v>
      </c>
      <c r="AS24">
        <f t="shared" ref="AS24:AS43" si="19">IF(AND(B24&gt;=5,B24&lt;45),-0.00301*(B24-45)-0.01591,IF(AND(B24&gt;=45,B24&lt;85),-0.02185*(B24-75)-0.67156))</f>
        <v>2.1499999999999991E-3</v>
      </c>
      <c r="AT24">
        <f t="shared" ref="AT24:AT43" si="20">IF(AND(B24&gt;=5,B24&lt;45),0.02182*(B24-45)+0.49488,IF(AND(B24&gt;=45,B24&lt;85),0.05619*(B24-75)+2.18087))</f>
        <v>0.36396000000000001</v>
      </c>
      <c r="AU24">
        <f t="shared" ref="AU24:AU43" si="21">IF(AND(B24&gt;=5,B24&lt;45),0.02436*(B24-45)+0.47831,IF(AND(B24&gt;=45,B24&lt;85),0.0643*(B24-75)+2.40733))</f>
        <v>0.33215</v>
      </c>
      <c r="AV24">
        <f t="shared" ref="AV24:AV43" si="22">IF(AND(B24&gt;=5,B24&lt;45),-0.00001*(B24-45)-0.00165,IF(AND(B24&gt;=45,B24&lt;85),-0.00153))</f>
        <v>-1.5900000000000001E-3</v>
      </c>
      <c r="AW24">
        <f t="shared" ref="AW24:AW43" si="23">IF(AND(B24&gt;=5,B24&lt;45),0.00228*(B24-45)+0.10021,IF(AND(B24&gt;=45,B24&lt;85),0.00144*(B24-75)+0.14358))</f>
        <v>8.6529999999999996E-2</v>
      </c>
      <c r="AY24">
        <f t="shared" ref="AY24:AY43" si="24">AL24+AM24*LN(O24)+AN24*LN(I24)</f>
        <v>-0.37753778571031071</v>
      </c>
      <c r="BC24">
        <f t="shared" ref="BC24:BC43" si="25">IF(AND(B24&gt;=5,B24&lt;45),-0.02174*(B24-45)+0.16235,IF(AND(B24&gt;=45,B24&lt;85),-0.02787*(B24-75)-0.67388))</f>
        <v>0.29278999999999999</v>
      </c>
      <c r="BD24">
        <f t="shared" ref="BD24:BD43" si="26">IF(AND(B24&gt;=5,B24&lt;45),0.00203*(B24-45)+0.24407,IF(AND(B24&gt;=45,B24&lt;85),0.00361*(B24-75)+0.35249))</f>
        <v>0.23189000000000001</v>
      </c>
      <c r="BE24">
        <f t="shared" ref="BE24:BE43" si="27">IF(AND(B24&gt;=5,B24&lt;45),-0.02801*(B24-45)+1.64437,IF(AND(B24&gt;=45,B24&lt;85),0.00794*(B24-75)+1.8827))</f>
        <v>1.81243</v>
      </c>
      <c r="BH24">
        <f t="shared" ref="BH24:BH43" si="28">IF(AND(B24&gt;=5,B24&lt;45),-0.0001*(B24-45)-0.00387,IF(AND(B24&gt;=45,B24&lt;85),-0.00002*(B24-75)-0.00456))</f>
        <v>-3.2700000000000003E-3</v>
      </c>
      <c r="BI24">
        <f t="shared" ref="BI24:BI43" si="29">IF(AND(B24&gt;=5,B24&lt;45),-0.00114*(B24-45)+0.00514,IF(AND(B24&gt;=45,B24&lt;85),0.00057*(B24-75)+0.02215))</f>
        <v>1.1979999999999999E-2</v>
      </c>
      <c r="BJ24">
        <f t="shared" ref="BJ24:BJ43" si="30">IF(AND(B24&gt;=5,B24&lt;45),0.01436*(B24-45)-0.12124,IF(AND(B24&gt;=45,B24&lt;85),-0.00844*(B24-75)-0.37439))</f>
        <v>-0.2074</v>
      </c>
      <c r="BK24">
        <f t="shared" ref="BK24:BK43" si="31">IF(AND(B24&gt;=5,B24&lt;45),0.00002*(B24-45)+0.00092,IF(AND(B24&gt;=45,B24&lt;85),0.00002*(B24-75)+0.00156))</f>
        <v>8.0000000000000004E-4</v>
      </c>
      <c r="BL24">
        <f t="shared" ref="BL24:BL43" si="32">IF(AND(B24&gt;=5,B24&lt;45),0.01326*(B24-45)+0.97745,IF(AND(B24&gt;=45,B24&lt;85),-0.00799*(B24-75)+0.73788))</f>
        <v>0.89789000000000008</v>
      </c>
      <c r="BM24">
        <f t="shared" ref="BM24:BM43" si="33">IF(AND(B24&gt;=5,B24&lt;45),0.00061*(B24-45)+0.00602,IF(AND(B24&gt;=45,B24&lt;85),-0.00081*(B24-75)-0.01826))</f>
        <v>2.3600000000000001E-3</v>
      </c>
      <c r="BN24">
        <f t="shared" ref="BN24:BN43" si="34">IF(AND(B24&gt;=5,B24&lt;45),-0.00728*(B24-45)-0.06927,IF(AND(B24&gt;=45,B24&lt;85),0.00522*(B24-75)+0.08748))</f>
        <v>-2.5590000000000002E-2</v>
      </c>
      <c r="BO24">
        <f t="shared" ref="BO24:BO43" si="35">IF(AND(B24&gt;=5,B24&lt;45),0.0148*(B24-45)+0.46008,IF(AND(B24&gt;=45,B24&lt;85),-0.00924*(B24-75)+0.18293))</f>
        <v>0.37128</v>
      </c>
      <c r="BP24">
        <f t="shared" ref="BP24:BP43" si="36">IF(AND(B24&gt;=5,B24&lt;45),0.00272*(B24-45)+0.11565,IF(AND(B24&gt;=45,B24&lt;85),0.00122*(B24-75)+0.15234))</f>
        <v>9.9330000000000002E-2</v>
      </c>
      <c r="CB24">
        <f t="shared" ref="CB24:CB63" si="37">IF(S24="sand",1,0)</f>
        <v>1</v>
      </c>
      <c r="CC24">
        <f t="shared" ref="CC24:CC43" si="38">IF(AK24&lt;EXP(AY24),1,0)</f>
        <v>0</v>
      </c>
      <c r="CD24">
        <f t="shared" ref="CD24:CD43" si="39">IF(I24&lt;50,1,0)</f>
        <v>1</v>
      </c>
      <c r="CE24">
        <f t="shared" ref="CE24:CE63" si="40">CL24+CM24</f>
        <v>0.96671071957490984</v>
      </c>
      <c r="CL24">
        <f t="shared" ref="CL24:CL43" si="41">CC24*(BH24+BI24*AB24+BJ24*CD24*(I24-50)+BK24*(1-CD24)+BL24*H24)</f>
        <v>0</v>
      </c>
      <c r="CM24">
        <f t="shared" ref="CM24:CM43" si="42">(1-CC24)*(BM24+BN24*CD24*(I24-50)+BO24*(1-CD24)+BP24*LN(O24))</f>
        <v>0.96671071957490984</v>
      </c>
      <c r="CT24">
        <f t="shared" ref="CT24:CT43" si="43">BC24+CE24*LN(AK24/EXP(AY24))+BD24*LN(H24)+CB24*BE24*LN(AB24)</f>
        <v>4.877558685546262</v>
      </c>
      <c r="CU24">
        <f>MIN(EXP(CT24),100)</f>
        <v>100</v>
      </c>
      <c r="CV24">
        <f t="shared" ref="CV24:CV43" si="44">IF(AND(B24&gt;=5,B24&lt;45),0.00302*(B24-45)+0.53947,IF(AND(B24&gt;=45,B24&lt;85),0.00428*(B24-75)+0.66796))</f>
        <v>0.52134999999999998</v>
      </c>
      <c r="CW24">
        <v>0.3</v>
      </c>
    </row>
    <row r="25" spans="1:101" x14ac:dyDescent="0.25">
      <c r="A25">
        <v>2</v>
      </c>
      <c r="B25">
        <v>69</v>
      </c>
      <c r="C25" t="str">
        <f t="shared" ref="C25:C63" si="45">IF(AND(B25&gt;=0,B25&lt;=5),"Normal",IF(AND(B25&gt;5,B25&lt;90),"SSTens",IF(AND(B25&gt;=90,B25&lt;175),"SSComp",IF(AND(B25&gt;=175,B25&lt;=180),"Reverse"))))</f>
        <v>SSTens</v>
      </c>
      <c r="D25">
        <v>0.30480000000000002</v>
      </c>
      <c r="E25">
        <f t="shared" si="10"/>
        <v>304.8</v>
      </c>
      <c r="F25">
        <v>7.1399999999999996E-3</v>
      </c>
      <c r="G25">
        <f t="shared" si="11"/>
        <v>7.14</v>
      </c>
      <c r="H25">
        <f t="shared" si="12"/>
        <v>42.689075630252105</v>
      </c>
      <c r="I25">
        <v>30</v>
      </c>
      <c r="J25" t="s">
        <v>73</v>
      </c>
      <c r="K25">
        <f t="shared" ref="K25:K43" si="46">IF(J25="Grade-B",3,IF(J25="X-42",3,IF(J25="X-52",8,IF(J25="X-60",8,IF(J25="X-70",14,IF(J25="X-80",15,8))))))</f>
        <v>8</v>
      </c>
      <c r="L25">
        <f t="shared" ref="L25:L43" si="47">IF(J25="Grade-B",8,IF(J25="X-42",9,IF(J25="X-52",10,IF(J25="X-60",12,IF(J25="X-70",15,IF(J25="X-80",20,10))))))</f>
        <v>12</v>
      </c>
      <c r="M25">
        <f t="shared" ref="M25:M43" si="48">IF(J25="Grade-B",241,IF(J25="X-42",290,IF(J25="X-52",359,IF(J25="X-60",414,IF(J25="X-70",483,IF(J25="X-80",552,359))))))*1000</f>
        <v>414000</v>
      </c>
      <c r="N25">
        <f t="shared" ref="N25:N43" si="49">IF(J25="Grade-B",344,IF(J25="X-42",414,IF(J25="X-52",455,IF(J25="X-60",517,IF(J25="X-70",565,IF(J25="X-80",625,M25*1.2/1000))))))*1000</f>
        <v>517000</v>
      </c>
      <c r="O25">
        <f t="shared" ref="O25:O43" si="50">N25/200000000*(1+K25/(1+L25)*(N25/M25)^L25)*100</f>
        <v>2.5466769467238102</v>
      </c>
      <c r="S25" t="s">
        <v>78</v>
      </c>
      <c r="T25" t="s">
        <v>79</v>
      </c>
      <c r="U25">
        <f t="shared" ref="U25:U43" si="51">IF(T25="medium dense",18,IF(T25="dense",18.5,IF(T25="very dense",19,IF(T25="soft",17.5,IF(T25="medium stiff",18,IF(T25="stiff",18.5,0))))))</f>
        <v>18</v>
      </c>
      <c r="V25">
        <f t="shared" ref="V25:V43" si="52">IF(T25="medium dense",37,IF(T25="dense",40,IF(T25="very dense",43,0)))</f>
        <v>37</v>
      </c>
      <c r="W25">
        <f t="shared" ref="W25:W43" si="53">IF(T25="soft",37.5,IF(T25="medium stiff",75,IF(T25="stiff",125,0)))</f>
        <v>0</v>
      </c>
      <c r="X25">
        <f t="shared" ref="X25:X43" si="54">IF(T25="soft",1.1,IF(T25="medium stiff",0.72,IF(T25="stiff",0.4,0)))</f>
        <v>0</v>
      </c>
      <c r="Y25">
        <v>0.9</v>
      </c>
      <c r="Z25">
        <v>2</v>
      </c>
      <c r="AB25">
        <f t="shared" si="13"/>
        <v>22.6439161924208</v>
      </c>
      <c r="AC25">
        <f t="shared" si="14"/>
        <v>1</v>
      </c>
      <c r="AD25">
        <f t="shared" si="15"/>
        <v>1</v>
      </c>
      <c r="AK25">
        <v>0.75</v>
      </c>
      <c r="AL25">
        <f t="shared" si="16"/>
        <v>-1.6518900000000001</v>
      </c>
      <c r="AM25">
        <f t="shared" si="17"/>
        <v>9.3204577392585711E-2</v>
      </c>
      <c r="AN25">
        <f t="shared" si="18"/>
        <v>0.49282999999999993</v>
      </c>
      <c r="AS25">
        <f t="shared" si="19"/>
        <v>-0.54046000000000005</v>
      </c>
      <c r="AT25">
        <f t="shared" si="20"/>
        <v>1.8437300000000001</v>
      </c>
      <c r="AU25">
        <f t="shared" si="21"/>
        <v>2.0215299999999998</v>
      </c>
      <c r="AV25">
        <f t="shared" si="22"/>
        <v>-1.5299999999999999E-3</v>
      </c>
      <c r="AW25">
        <f t="shared" si="23"/>
        <v>0.13494</v>
      </c>
      <c r="AY25">
        <f t="shared" si="24"/>
        <v>0.11144875203180549</v>
      </c>
      <c r="BC25">
        <f t="shared" si="25"/>
        <v>-0.50666000000000011</v>
      </c>
      <c r="BD25">
        <f t="shared" si="26"/>
        <v>0.33083000000000001</v>
      </c>
      <c r="BE25">
        <f t="shared" si="27"/>
        <v>1.8350600000000001</v>
      </c>
      <c r="BH25">
        <f t="shared" si="28"/>
        <v>-4.4399999999999995E-3</v>
      </c>
      <c r="BI25">
        <f t="shared" si="29"/>
        <v>1.873E-2</v>
      </c>
      <c r="BJ25">
        <f t="shared" si="30"/>
        <v>-0.32374999999999998</v>
      </c>
      <c r="BK25">
        <f t="shared" si="31"/>
        <v>1.4399999999999999E-3</v>
      </c>
      <c r="BL25">
        <f t="shared" si="32"/>
        <v>0.78581999999999996</v>
      </c>
      <c r="BM25">
        <f t="shared" si="33"/>
        <v>-1.3399999999999999E-2</v>
      </c>
      <c r="BN25">
        <f t="shared" si="34"/>
        <v>5.6160000000000002E-2</v>
      </c>
      <c r="BO25">
        <f t="shared" si="35"/>
        <v>0.23837000000000003</v>
      </c>
      <c r="BP25">
        <f t="shared" si="36"/>
        <v>0.14502000000000001</v>
      </c>
      <c r="CB25">
        <f t="shared" si="37"/>
        <v>1</v>
      </c>
      <c r="CC25">
        <f t="shared" si="38"/>
        <v>1</v>
      </c>
      <c r="CD25">
        <f t="shared" si="39"/>
        <v>1</v>
      </c>
      <c r="CE25">
        <f t="shared" si="40"/>
        <v>40.440609962048754</v>
      </c>
      <c r="CL25">
        <f t="shared" si="41"/>
        <v>40.440609962048754</v>
      </c>
      <c r="CM25">
        <f t="shared" si="42"/>
        <v>0</v>
      </c>
      <c r="CT25">
        <f t="shared" si="43"/>
        <v>-9.6806494452477772</v>
      </c>
      <c r="CU25">
        <f t="shared" ref="CU25:CU43" si="55">MIN(EXP(CT25),100)</f>
        <v>6.2480912663588663E-5</v>
      </c>
      <c r="CV25">
        <f t="shared" si="44"/>
        <v>0.64227999999999996</v>
      </c>
      <c r="CW25">
        <v>0.3</v>
      </c>
    </row>
    <row r="26" spans="1:101" x14ac:dyDescent="0.25">
      <c r="A26">
        <v>3</v>
      </c>
      <c r="B26">
        <v>28</v>
      </c>
      <c r="C26" t="str">
        <f t="shared" si="45"/>
        <v>SSTens</v>
      </c>
      <c r="D26">
        <v>0.40639999999999998</v>
      </c>
      <c r="E26">
        <f t="shared" si="10"/>
        <v>406.4</v>
      </c>
      <c r="F26">
        <v>9.5299999999999985E-3</v>
      </c>
      <c r="G26">
        <f t="shared" si="11"/>
        <v>9.5299999999999994</v>
      </c>
      <c r="H26">
        <f t="shared" si="12"/>
        <v>42.644281217208821</v>
      </c>
      <c r="I26">
        <v>50</v>
      </c>
      <c r="J26" t="s">
        <v>75</v>
      </c>
      <c r="K26">
        <f t="shared" si="46"/>
        <v>14</v>
      </c>
      <c r="L26">
        <f t="shared" si="47"/>
        <v>15</v>
      </c>
      <c r="M26">
        <f t="shared" si="48"/>
        <v>483000</v>
      </c>
      <c r="N26">
        <f t="shared" si="49"/>
        <v>565000</v>
      </c>
      <c r="O26">
        <f t="shared" si="50"/>
        <v>2.8799444073326219</v>
      </c>
      <c r="S26" t="s">
        <v>78</v>
      </c>
      <c r="T26" t="s">
        <v>79</v>
      </c>
      <c r="U26">
        <f t="shared" si="51"/>
        <v>18</v>
      </c>
      <c r="V26">
        <f t="shared" si="52"/>
        <v>37</v>
      </c>
      <c r="W26">
        <f t="shared" si="53"/>
        <v>0</v>
      </c>
      <c r="X26">
        <f t="shared" si="54"/>
        <v>0</v>
      </c>
      <c r="Y26">
        <v>0.9</v>
      </c>
      <c r="Z26">
        <v>1</v>
      </c>
      <c r="AB26">
        <f t="shared" si="13"/>
        <v>15.095944128280532</v>
      </c>
      <c r="AC26">
        <f t="shared" si="14"/>
        <v>1</v>
      </c>
      <c r="AD26">
        <f t="shared" si="15"/>
        <v>1</v>
      </c>
      <c r="AK26">
        <v>0.75</v>
      </c>
      <c r="AL26">
        <f t="shared" si="16"/>
        <v>-0.90995000000000004</v>
      </c>
      <c r="AM26">
        <f t="shared" si="17"/>
        <v>0.34676439496992739</v>
      </c>
      <c r="AN26">
        <f t="shared" si="18"/>
        <v>0.14764999999999998</v>
      </c>
      <c r="AS26">
        <f t="shared" si="19"/>
        <v>3.526E-2</v>
      </c>
      <c r="AT26">
        <f t="shared" si="20"/>
        <v>0.12393999999999999</v>
      </c>
      <c r="AU26">
        <f t="shared" si="21"/>
        <v>6.4190000000000025E-2</v>
      </c>
      <c r="AV26">
        <f t="shared" si="22"/>
        <v>-1.48E-3</v>
      </c>
      <c r="AW26">
        <f t="shared" si="23"/>
        <v>6.1449999999999998E-2</v>
      </c>
      <c r="AY26">
        <f t="shared" si="24"/>
        <v>3.4457514445691229E-2</v>
      </c>
      <c r="BC26">
        <f t="shared" si="25"/>
        <v>0.53193000000000001</v>
      </c>
      <c r="BD26">
        <f t="shared" si="26"/>
        <v>0.20956000000000002</v>
      </c>
      <c r="BE26">
        <f t="shared" si="27"/>
        <v>2.1205400000000001</v>
      </c>
      <c r="BH26">
        <f t="shared" si="28"/>
        <v>-2.1700000000000001E-3</v>
      </c>
      <c r="BI26">
        <f t="shared" si="29"/>
        <v>2.4519999999999997E-2</v>
      </c>
      <c r="BJ26">
        <f t="shared" si="30"/>
        <v>-0.36536000000000002</v>
      </c>
      <c r="BK26">
        <f t="shared" si="31"/>
        <v>5.8E-4</v>
      </c>
      <c r="BL26">
        <f t="shared" si="32"/>
        <v>0.75203000000000009</v>
      </c>
      <c r="BM26">
        <f t="shared" si="33"/>
        <v>-4.3499999999999988E-3</v>
      </c>
      <c r="BN26">
        <f t="shared" si="34"/>
        <v>5.4489999999999997E-2</v>
      </c>
      <c r="BO26">
        <f t="shared" si="35"/>
        <v>0.20848</v>
      </c>
      <c r="BP26">
        <f t="shared" si="36"/>
        <v>6.9409999999999999E-2</v>
      </c>
      <c r="CB26">
        <f t="shared" si="37"/>
        <v>1</v>
      </c>
      <c r="CC26">
        <f t="shared" si="38"/>
        <v>1</v>
      </c>
      <c r="CD26">
        <f t="shared" si="39"/>
        <v>0</v>
      </c>
      <c r="CE26">
        <f t="shared" si="40"/>
        <v>32.43834135380299</v>
      </c>
      <c r="CL26">
        <f t="shared" si="41"/>
        <v>32.43834135380299</v>
      </c>
      <c r="CM26">
        <f t="shared" si="42"/>
        <v>0</v>
      </c>
      <c r="CT26">
        <f t="shared" si="43"/>
        <v>-3.3752384519824616</v>
      </c>
      <c r="CU26">
        <f t="shared" si="55"/>
        <v>3.4209959906251142E-2</v>
      </c>
      <c r="CV26">
        <f t="shared" si="44"/>
        <v>0.48813000000000001</v>
      </c>
      <c r="CW26">
        <v>0.3</v>
      </c>
    </row>
    <row r="27" spans="1:101" x14ac:dyDescent="0.25">
      <c r="A27">
        <v>4</v>
      </c>
      <c r="B27">
        <v>10</v>
      </c>
      <c r="C27" t="str">
        <f t="shared" si="45"/>
        <v>SSTens</v>
      </c>
      <c r="D27">
        <v>0.50800000000000001</v>
      </c>
      <c r="E27">
        <f t="shared" si="10"/>
        <v>508</v>
      </c>
      <c r="F27">
        <v>1.1130000000000001E-2</v>
      </c>
      <c r="G27">
        <f t="shared" si="11"/>
        <v>11.13</v>
      </c>
      <c r="H27">
        <f t="shared" si="12"/>
        <v>45.642407906558844</v>
      </c>
      <c r="I27">
        <v>100</v>
      </c>
      <c r="J27" t="s">
        <v>77</v>
      </c>
      <c r="K27">
        <f t="shared" si="46"/>
        <v>15</v>
      </c>
      <c r="L27">
        <f t="shared" si="47"/>
        <v>20</v>
      </c>
      <c r="M27">
        <f t="shared" si="48"/>
        <v>552000</v>
      </c>
      <c r="N27">
        <f t="shared" si="49"/>
        <v>625000</v>
      </c>
      <c r="O27">
        <f t="shared" si="50"/>
        <v>2.9888368774026359</v>
      </c>
      <c r="S27" t="s">
        <v>78</v>
      </c>
      <c r="T27" t="s">
        <v>79</v>
      </c>
      <c r="U27">
        <f t="shared" si="51"/>
        <v>18</v>
      </c>
      <c r="V27">
        <f t="shared" si="52"/>
        <v>37</v>
      </c>
      <c r="W27">
        <f t="shared" si="53"/>
        <v>0</v>
      </c>
      <c r="X27">
        <f t="shared" si="54"/>
        <v>0</v>
      </c>
      <c r="Y27">
        <v>0.9</v>
      </c>
      <c r="Z27">
        <v>2</v>
      </c>
      <c r="AB27">
        <f t="shared" si="13"/>
        <v>37.739860320701332</v>
      </c>
      <c r="AC27">
        <f t="shared" si="14"/>
        <v>1</v>
      </c>
      <c r="AD27">
        <f t="shared" si="15"/>
        <v>1</v>
      </c>
      <c r="AK27">
        <v>0.75</v>
      </c>
      <c r="AL27">
        <f t="shared" si="16"/>
        <v>6.2410000000000077E-2</v>
      </c>
      <c r="AM27">
        <f t="shared" si="17"/>
        <v>0.21373129115624845</v>
      </c>
      <c r="AN27">
        <f t="shared" si="18"/>
        <v>-9.4810000000000005E-2</v>
      </c>
      <c r="AS27">
        <f t="shared" si="19"/>
        <v>8.9439999999999992E-2</v>
      </c>
      <c r="AT27">
        <f t="shared" si="20"/>
        <v>-0.26881999999999995</v>
      </c>
      <c r="AU27">
        <f t="shared" si="21"/>
        <v>-0.37429000000000001</v>
      </c>
      <c r="AV27">
        <f t="shared" si="22"/>
        <v>-1.2999999999999999E-3</v>
      </c>
      <c r="AW27">
        <f t="shared" si="23"/>
        <v>2.0409999999999998E-2</v>
      </c>
      <c r="AY27">
        <f t="shared" si="24"/>
        <v>-0.14019514862320309</v>
      </c>
      <c r="BC27">
        <f t="shared" si="25"/>
        <v>0.9232499999999999</v>
      </c>
      <c r="BD27">
        <f t="shared" si="26"/>
        <v>0.17302000000000001</v>
      </c>
      <c r="BE27">
        <f t="shared" si="27"/>
        <v>2.6247199999999999</v>
      </c>
      <c r="BH27">
        <f t="shared" si="28"/>
        <v>-3.700000000000001E-4</v>
      </c>
      <c r="BI27">
        <f t="shared" si="29"/>
        <v>4.5039999999999997E-2</v>
      </c>
      <c r="BJ27">
        <f t="shared" si="30"/>
        <v>-0.62383999999999995</v>
      </c>
      <c r="BK27">
        <f t="shared" si="31"/>
        <v>2.1999999999999993E-4</v>
      </c>
      <c r="BL27">
        <f t="shared" si="32"/>
        <v>0.51335000000000008</v>
      </c>
      <c r="BM27">
        <f t="shared" si="33"/>
        <v>-1.5329999999999996E-2</v>
      </c>
      <c r="BN27">
        <f t="shared" si="34"/>
        <v>0.18553000000000003</v>
      </c>
      <c r="BO27">
        <f t="shared" si="35"/>
        <v>-5.7920000000000027E-2</v>
      </c>
      <c r="BP27">
        <f t="shared" si="36"/>
        <v>2.0449999999999996E-2</v>
      </c>
      <c r="CB27">
        <f t="shared" si="37"/>
        <v>1</v>
      </c>
      <c r="CC27">
        <f t="shared" si="38"/>
        <v>1</v>
      </c>
      <c r="CD27">
        <f t="shared" si="39"/>
        <v>0</v>
      </c>
      <c r="CE27">
        <f t="shared" si="40"/>
        <v>25.130183407676377</v>
      </c>
      <c r="CL27">
        <f t="shared" si="41"/>
        <v>25.130183407676377</v>
      </c>
      <c r="CM27">
        <f t="shared" si="42"/>
        <v>0</v>
      </c>
      <c r="CT27">
        <f t="shared" si="43"/>
        <v>7.407572921774018</v>
      </c>
      <c r="CU27">
        <f t="shared" si="55"/>
        <v>100</v>
      </c>
      <c r="CV27">
        <f t="shared" si="44"/>
        <v>0.43376999999999999</v>
      </c>
      <c r="CW27">
        <v>0.3</v>
      </c>
    </row>
    <row r="28" spans="1:101" x14ac:dyDescent="0.25">
      <c r="A28">
        <v>5</v>
      </c>
      <c r="B28">
        <v>59</v>
      </c>
      <c r="C28" t="str">
        <f t="shared" si="45"/>
        <v>SSTens</v>
      </c>
      <c r="D28">
        <v>0.60960000000000003</v>
      </c>
      <c r="E28">
        <f t="shared" si="10"/>
        <v>609.6</v>
      </c>
      <c r="F28">
        <v>9.5299999999999985E-3</v>
      </c>
      <c r="G28">
        <f t="shared" si="11"/>
        <v>9.5299999999999994</v>
      </c>
      <c r="H28">
        <f t="shared" si="12"/>
        <v>63.966421825813235</v>
      </c>
      <c r="I28">
        <v>15</v>
      </c>
      <c r="J28" t="s">
        <v>70</v>
      </c>
      <c r="K28">
        <f t="shared" si="46"/>
        <v>8</v>
      </c>
      <c r="L28">
        <f t="shared" si="47"/>
        <v>10</v>
      </c>
      <c r="M28">
        <f t="shared" si="48"/>
        <v>359000</v>
      </c>
      <c r="N28">
        <f t="shared" si="49"/>
        <v>455000</v>
      </c>
      <c r="O28">
        <f t="shared" si="50"/>
        <v>1.9969902892117808</v>
      </c>
      <c r="S28" t="s">
        <v>78</v>
      </c>
      <c r="T28" t="s">
        <v>80</v>
      </c>
      <c r="U28">
        <f t="shared" si="51"/>
        <v>18.5</v>
      </c>
      <c r="V28">
        <f t="shared" si="52"/>
        <v>40</v>
      </c>
      <c r="W28">
        <f t="shared" si="53"/>
        <v>0</v>
      </c>
      <c r="X28">
        <f t="shared" si="54"/>
        <v>0</v>
      </c>
      <c r="Y28">
        <v>0.9</v>
      </c>
      <c r="Z28">
        <v>1</v>
      </c>
      <c r="AB28">
        <f t="shared" si="13"/>
        <v>25.741129539100392</v>
      </c>
      <c r="AC28">
        <f t="shared" si="14"/>
        <v>1</v>
      </c>
      <c r="AD28">
        <f t="shared" si="15"/>
        <v>1</v>
      </c>
      <c r="AK28">
        <v>2.75</v>
      </c>
      <c r="AL28">
        <f t="shared" si="16"/>
        <v>-1.72539</v>
      </c>
      <c r="AM28">
        <f t="shared" si="17"/>
        <v>0.4650775318596384</v>
      </c>
      <c r="AN28">
        <f t="shared" si="18"/>
        <v>0.44442999999999994</v>
      </c>
      <c r="AS28">
        <f t="shared" si="19"/>
        <v>-0.32196000000000002</v>
      </c>
      <c r="AT28">
        <f t="shared" si="20"/>
        <v>1.2818300000000002</v>
      </c>
      <c r="AU28">
        <f t="shared" si="21"/>
        <v>1.37853</v>
      </c>
      <c r="AV28">
        <f t="shared" si="22"/>
        <v>-1.5299999999999999E-3</v>
      </c>
      <c r="AW28">
        <f t="shared" si="23"/>
        <v>0.12054000000000001</v>
      </c>
      <c r="AY28">
        <f t="shared" si="24"/>
        <v>-0.20018447074017054</v>
      </c>
      <c r="BC28">
        <f t="shared" si="25"/>
        <v>-0.22796000000000005</v>
      </c>
      <c r="BD28">
        <f t="shared" si="26"/>
        <v>0.29473000000000005</v>
      </c>
      <c r="BE28">
        <f t="shared" si="27"/>
        <v>1.75566</v>
      </c>
      <c r="BH28">
        <f t="shared" si="28"/>
        <v>-4.2399999999999998E-3</v>
      </c>
      <c r="BI28">
        <f t="shared" si="29"/>
        <v>1.303E-2</v>
      </c>
      <c r="BJ28">
        <f t="shared" si="30"/>
        <v>-0.23935000000000001</v>
      </c>
      <c r="BK28">
        <f t="shared" si="31"/>
        <v>1.24E-3</v>
      </c>
      <c r="BL28">
        <f t="shared" si="32"/>
        <v>0.86572000000000005</v>
      </c>
      <c r="BM28">
        <f t="shared" si="33"/>
        <v>-5.2999999999999992E-3</v>
      </c>
      <c r="BN28">
        <f t="shared" si="34"/>
        <v>3.9600000000000052E-3</v>
      </c>
      <c r="BO28">
        <f t="shared" si="35"/>
        <v>0.33077000000000001</v>
      </c>
      <c r="BP28">
        <f t="shared" si="36"/>
        <v>0.13281999999999999</v>
      </c>
      <c r="CB28">
        <f t="shared" si="37"/>
        <v>1</v>
      </c>
      <c r="CC28">
        <f t="shared" si="38"/>
        <v>0</v>
      </c>
      <c r="CD28">
        <f t="shared" si="39"/>
        <v>1</v>
      </c>
      <c r="CE28">
        <f t="shared" si="40"/>
        <v>-5.203621691392836E-2</v>
      </c>
      <c r="CL28">
        <f t="shared" si="41"/>
        <v>0</v>
      </c>
      <c r="CM28">
        <f t="shared" si="42"/>
        <v>-5.203621691392836E-2</v>
      </c>
      <c r="CT28">
        <f t="shared" si="43"/>
        <v>6.6371180474282649</v>
      </c>
      <c r="CU28">
        <f t="shared" si="55"/>
        <v>100</v>
      </c>
      <c r="CV28">
        <f t="shared" si="44"/>
        <v>0.59948000000000001</v>
      </c>
      <c r="CW28">
        <v>0.3</v>
      </c>
    </row>
    <row r="29" spans="1:101" x14ac:dyDescent="0.25">
      <c r="A29">
        <v>6</v>
      </c>
      <c r="B29">
        <v>17</v>
      </c>
      <c r="C29" t="str">
        <f t="shared" si="45"/>
        <v>SSTens</v>
      </c>
      <c r="D29">
        <v>0.76200000000000001</v>
      </c>
      <c r="E29">
        <f t="shared" si="10"/>
        <v>762</v>
      </c>
      <c r="F29">
        <v>1.2699999999999999E-2</v>
      </c>
      <c r="G29">
        <f t="shared" si="11"/>
        <v>12.7</v>
      </c>
      <c r="H29">
        <f t="shared" si="12"/>
        <v>60</v>
      </c>
      <c r="I29">
        <v>30</v>
      </c>
      <c r="J29" t="s">
        <v>73</v>
      </c>
      <c r="K29">
        <f t="shared" si="46"/>
        <v>8</v>
      </c>
      <c r="L29">
        <f t="shared" si="47"/>
        <v>12</v>
      </c>
      <c r="M29">
        <f t="shared" si="48"/>
        <v>414000</v>
      </c>
      <c r="N29">
        <f t="shared" si="49"/>
        <v>517000</v>
      </c>
      <c r="O29">
        <f t="shared" si="50"/>
        <v>2.5466769467238102</v>
      </c>
      <c r="S29" t="s">
        <v>78</v>
      </c>
      <c r="T29" t="s">
        <v>80</v>
      </c>
      <c r="U29">
        <f t="shared" si="51"/>
        <v>18.5</v>
      </c>
      <c r="V29">
        <f t="shared" si="52"/>
        <v>40</v>
      </c>
      <c r="W29">
        <f t="shared" si="53"/>
        <v>0</v>
      </c>
      <c r="X29">
        <f t="shared" si="54"/>
        <v>0</v>
      </c>
      <c r="Y29">
        <v>0.9</v>
      </c>
      <c r="Z29">
        <v>2</v>
      </c>
      <c r="AB29">
        <f t="shared" si="13"/>
        <v>64.352823847750969</v>
      </c>
      <c r="AC29">
        <f t="shared" si="14"/>
        <v>1</v>
      </c>
      <c r="AD29">
        <f t="shared" si="15"/>
        <v>1</v>
      </c>
      <c r="AK29">
        <v>3.5</v>
      </c>
      <c r="AL29">
        <f t="shared" si="16"/>
        <v>-0.31573000000000007</v>
      </c>
      <c r="AM29">
        <f t="shared" si="17"/>
        <v>0.17125986498424164</v>
      </c>
      <c r="AN29">
        <f t="shared" si="18"/>
        <v>-5.2000000000002045E-4</v>
      </c>
      <c r="AS29">
        <f t="shared" si="19"/>
        <v>6.8370000000000014E-2</v>
      </c>
      <c r="AT29">
        <f t="shared" si="20"/>
        <v>-0.11607999999999996</v>
      </c>
      <c r="AU29">
        <f t="shared" si="21"/>
        <v>-0.20377000000000001</v>
      </c>
      <c r="AV29">
        <f t="shared" si="22"/>
        <v>-1.3699999999999999E-3</v>
      </c>
      <c r="AW29">
        <f t="shared" si="23"/>
        <v>3.637E-2</v>
      </c>
      <c r="AY29">
        <f t="shared" si="24"/>
        <v>-0.15740672456772828</v>
      </c>
      <c r="BC29">
        <f t="shared" si="25"/>
        <v>0.77106999999999992</v>
      </c>
      <c r="BD29">
        <f t="shared" si="26"/>
        <v>0.18723000000000001</v>
      </c>
      <c r="BE29">
        <f t="shared" si="27"/>
        <v>2.4286500000000002</v>
      </c>
      <c r="BH29">
        <f t="shared" si="28"/>
        <v>-1.0700000000000002E-3</v>
      </c>
      <c r="BI29">
        <f t="shared" si="29"/>
        <v>3.7059999999999996E-2</v>
      </c>
      <c r="BJ29">
        <f t="shared" si="30"/>
        <v>-0.52332000000000001</v>
      </c>
      <c r="BK29">
        <f t="shared" si="31"/>
        <v>3.5999999999999997E-4</v>
      </c>
      <c r="BL29">
        <f t="shared" si="32"/>
        <v>0.6061700000000001</v>
      </c>
      <c r="BM29">
        <f t="shared" si="33"/>
        <v>-1.1059999999999997E-2</v>
      </c>
      <c r="BN29">
        <f t="shared" si="34"/>
        <v>0.13457</v>
      </c>
      <c r="BO29">
        <f t="shared" si="35"/>
        <v>4.5679999999999998E-2</v>
      </c>
      <c r="BP29">
        <f t="shared" si="36"/>
        <v>3.9489999999999997E-2</v>
      </c>
      <c r="CB29">
        <f t="shared" si="37"/>
        <v>1</v>
      </c>
      <c r="CC29">
        <f t="shared" si="38"/>
        <v>0</v>
      </c>
      <c r="CD29">
        <f t="shared" si="39"/>
        <v>1</v>
      </c>
      <c r="CE29">
        <f t="shared" si="40"/>
        <v>-2.6655451685221454</v>
      </c>
      <c r="CL29">
        <f t="shared" si="41"/>
        <v>0</v>
      </c>
      <c r="CM29">
        <f t="shared" si="42"/>
        <v>-2.6655451685221454</v>
      </c>
      <c r="CT29">
        <f t="shared" si="43"/>
        <v>7.892606588335858</v>
      </c>
      <c r="CU29">
        <f t="shared" si="55"/>
        <v>100</v>
      </c>
      <c r="CV29">
        <f t="shared" si="44"/>
        <v>0.45491000000000004</v>
      </c>
      <c r="CW29">
        <v>0.3</v>
      </c>
    </row>
    <row r="30" spans="1:101" x14ac:dyDescent="0.25">
      <c r="A30">
        <v>7</v>
      </c>
      <c r="B30">
        <v>11</v>
      </c>
      <c r="C30" t="str">
        <f t="shared" si="45"/>
        <v>SSTens</v>
      </c>
      <c r="D30">
        <v>0.86360000000000003</v>
      </c>
      <c r="E30">
        <f t="shared" si="10"/>
        <v>863.6</v>
      </c>
      <c r="F30">
        <v>1.1130000000000001E-2</v>
      </c>
      <c r="G30">
        <f t="shared" si="11"/>
        <v>11.13</v>
      </c>
      <c r="H30">
        <f t="shared" si="12"/>
        <v>77.592093441150041</v>
      </c>
      <c r="I30">
        <v>50</v>
      </c>
      <c r="J30" t="s">
        <v>75</v>
      </c>
      <c r="K30">
        <f t="shared" si="46"/>
        <v>14</v>
      </c>
      <c r="L30">
        <f t="shared" si="47"/>
        <v>15</v>
      </c>
      <c r="M30">
        <f t="shared" si="48"/>
        <v>483000</v>
      </c>
      <c r="N30">
        <f t="shared" si="49"/>
        <v>565000</v>
      </c>
      <c r="O30">
        <f t="shared" si="50"/>
        <v>2.8799444073326219</v>
      </c>
      <c r="S30" t="s">
        <v>78</v>
      </c>
      <c r="T30" t="s">
        <v>80</v>
      </c>
      <c r="U30">
        <f t="shared" si="51"/>
        <v>18.5</v>
      </c>
      <c r="V30">
        <f t="shared" si="52"/>
        <v>40</v>
      </c>
      <c r="W30">
        <f t="shared" si="53"/>
        <v>0</v>
      </c>
      <c r="X30">
        <f t="shared" si="54"/>
        <v>0</v>
      </c>
      <c r="Y30">
        <v>0.9</v>
      </c>
      <c r="Z30">
        <v>1</v>
      </c>
      <c r="AB30">
        <f t="shared" si="13"/>
        <v>36.46660018039222</v>
      </c>
      <c r="AC30">
        <f t="shared" si="14"/>
        <v>1</v>
      </c>
      <c r="AD30">
        <f t="shared" si="15"/>
        <v>1</v>
      </c>
      <c r="AK30">
        <v>1.5</v>
      </c>
      <c r="AL30">
        <f t="shared" si="16"/>
        <v>8.3899999999998975E-3</v>
      </c>
      <c r="AM30">
        <f t="shared" si="17"/>
        <v>0.1204705059512481</v>
      </c>
      <c r="AN30">
        <f t="shared" si="18"/>
        <v>-8.1340000000000023E-2</v>
      </c>
      <c r="AS30">
        <f t="shared" si="19"/>
        <v>8.6430000000000007E-2</v>
      </c>
      <c r="AT30">
        <f t="shared" si="20"/>
        <v>-0.247</v>
      </c>
      <c r="AU30">
        <f t="shared" si="21"/>
        <v>-0.34992999999999996</v>
      </c>
      <c r="AV30">
        <f t="shared" si="22"/>
        <v>-1.31E-3</v>
      </c>
      <c r="AW30">
        <f t="shared" si="23"/>
        <v>2.2690000000000002E-2</v>
      </c>
      <c r="AY30">
        <f t="shared" si="24"/>
        <v>-0.18238374480097994</v>
      </c>
      <c r="BC30">
        <f t="shared" si="25"/>
        <v>0.90150999999999992</v>
      </c>
      <c r="BD30">
        <f t="shared" si="26"/>
        <v>0.17505000000000001</v>
      </c>
      <c r="BE30">
        <f t="shared" si="27"/>
        <v>2.5967099999999999</v>
      </c>
      <c r="BH30">
        <f t="shared" si="28"/>
        <v>-4.6999999999999993E-4</v>
      </c>
      <c r="BI30">
        <f t="shared" si="29"/>
        <v>4.3899999999999995E-2</v>
      </c>
      <c r="BJ30">
        <f t="shared" si="30"/>
        <v>-0.60948000000000002</v>
      </c>
      <c r="BK30">
        <f t="shared" si="31"/>
        <v>2.3999999999999998E-4</v>
      </c>
      <c r="BL30">
        <f t="shared" si="32"/>
        <v>0.52661000000000002</v>
      </c>
      <c r="BM30">
        <f t="shared" si="33"/>
        <v>-1.4719999999999997E-2</v>
      </c>
      <c r="BN30">
        <f t="shared" si="34"/>
        <v>0.17824999999999999</v>
      </c>
      <c r="BO30">
        <f t="shared" si="35"/>
        <v>-4.3119999999999992E-2</v>
      </c>
      <c r="BP30">
        <f t="shared" si="36"/>
        <v>2.3169999999999996E-2</v>
      </c>
      <c r="CB30">
        <f t="shared" si="37"/>
        <v>1</v>
      </c>
      <c r="CC30">
        <f t="shared" si="38"/>
        <v>0</v>
      </c>
      <c r="CD30">
        <f t="shared" si="39"/>
        <v>0</v>
      </c>
      <c r="CE30">
        <f t="shared" si="40"/>
        <v>-3.333144613964116E-2</v>
      </c>
      <c r="CL30">
        <f t="shared" si="41"/>
        <v>0</v>
      </c>
      <c r="CM30">
        <f t="shared" si="42"/>
        <v>-3.333144613964116E-2</v>
      </c>
      <c r="CT30">
        <f t="shared" si="43"/>
        <v>10.982439666923916</v>
      </c>
      <c r="CU30">
        <f t="shared" si="55"/>
        <v>100</v>
      </c>
      <c r="CV30">
        <f t="shared" si="44"/>
        <v>0.43679000000000001</v>
      </c>
      <c r="CW30">
        <v>0.3</v>
      </c>
    </row>
    <row r="31" spans="1:101" x14ac:dyDescent="0.25">
      <c r="A31">
        <v>8</v>
      </c>
      <c r="B31">
        <v>47</v>
      </c>
      <c r="C31" t="str">
        <f t="shared" si="45"/>
        <v>SSTens</v>
      </c>
      <c r="D31">
        <v>1.0668</v>
      </c>
      <c r="E31">
        <f t="shared" si="10"/>
        <v>1066.8</v>
      </c>
      <c r="F31">
        <v>1.2699999999999999E-2</v>
      </c>
      <c r="G31">
        <f t="shared" si="11"/>
        <v>12.7</v>
      </c>
      <c r="H31">
        <f t="shared" si="12"/>
        <v>84</v>
      </c>
      <c r="I31">
        <v>100</v>
      </c>
      <c r="J31" t="s">
        <v>77</v>
      </c>
      <c r="K31">
        <f t="shared" si="46"/>
        <v>15</v>
      </c>
      <c r="L31">
        <f t="shared" si="47"/>
        <v>20</v>
      </c>
      <c r="M31">
        <f t="shared" si="48"/>
        <v>552000</v>
      </c>
      <c r="N31">
        <f t="shared" si="49"/>
        <v>625000</v>
      </c>
      <c r="O31">
        <f t="shared" si="50"/>
        <v>2.9888368774026359</v>
      </c>
      <c r="S31" t="s">
        <v>78</v>
      </c>
      <c r="T31" t="s">
        <v>81</v>
      </c>
      <c r="U31">
        <f t="shared" si="51"/>
        <v>19</v>
      </c>
      <c r="V31">
        <f t="shared" si="52"/>
        <v>43</v>
      </c>
      <c r="W31">
        <f t="shared" si="53"/>
        <v>0</v>
      </c>
      <c r="X31">
        <f t="shared" si="54"/>
        <v>0</v>
      </c>
      <c r="Y31">
        <v>0.9</v>
      </c>
      <c r="Z31">
        <v>2</v>
      </c>
      <c r="AB31">
        <f t="shared" si="13"/>
        <v>102.03070645435936</v>
      </c>
      <c r="AC31">
        <f t="shared" si="14"/>
        <v>0</v>
      </c>
      <c r="AD31">
        <f t="shared" si="15"/>
        <v>1</v>
      </c>
      <c r="AK31">
        <v>1.5</v>
      </c>
      <c r="AL31">
        <f t="shared" si="16"/>
        <v>-1.81359</v>
      </c>
      <c r="AM31">
        <f t="shared" si="17"/>
        <v>0.35620502968535167</v>
      </c>
      <c r="AN31">
        <f t="shared" si="18"/>
        <v>0.38634999999999997</v>
      </c>
      <c r="AS31">
        <f t="shared" si="19"/>
        <v>-5.9760000000000035E-2</v>
      </c>
      <c r="AT31">
        <f t="shared" si="20"/>
        <v>0.60755000000000026</v>
      </c>
      <c r="AU31">
        <f t="shared" si="21"/>
        <v>0.60693000000000019</v>
      </c>
      <c r="AV31">
        <f t="shared" si="22"/>
        <v>-1.5299999999999999E-3</v>
      </c>
      <c r="AW31">
        <f t="shared" si="23"/>
        <v>0.10326000000000002</v>
      </c>
      <c r="AY31">
        <f t="shared" si="24"/>
        <v>0.35562079861429208</v>
      </c>
      <c r="BC31">
        <f t="shared" si="25"/>
        <v>0.10647999999999991</v>
      </c>
      <c r="BD31">
        <f t="shared" si="26"/>
        <v>0.25141000000000002</v>
      </c>
      <c r="BE31">
        <f t="shared" si="27"/>
        <v>1.66038</v>
      </c>
      <c r="BH31">
        <f t="shared" si="28"/>
        <v>-4.0000000000000001E-3</v>
      </c>
      <c r="BI31">
        <f t="shared" si="29"/>
        <v>6.1900000000000011E-3</v>
      </c>
      <c r="BJ31">
        <f t="shared" si="30"/>
        <v>-0.13807000000000003</v>
      </c>
      <c r="BK31">
        <f t="shared" si="31"/>
        <v>1E-3</v>
      </c>
      <c r="BL31">
        <f t="shared" si="32"/>
        <v>0.96160000000000001</v>
      </c>
      <c r="BM31">
        <f t="shared" si="33"/>
        <v>4.4200000000000003E-3</v>
      </c>
      <c r="BN31">
        <f t="shared" si="34"/>
        <v>-5.8679999999999982E-2</v>
      </c>
      <c r="BO31">
        <f t="shared" si="35"/>
        <v>0.44164999999999999</v>
      </c>
      <c r="BP31">
        <f t="shared" si="36"/>
        <v>0.11818000000000001</v>
      </c>
      <c r="CB31">
        <f t="shared" si="37"/>
        <v>1</v>
      </c>
      <c r="CC31">
        <f t="shared" si="38"/>
        <v>0</v>
      </c>
      <c r="CD31">
        <f t="shared" si="39"/>
        <v>0</v>
      </c>
      <c r="CE31">
        <f t="shared" si="40"/>
        <v>0.57546342746125556</v>
      </c>
      <c r="CL31">
        <f t="shared" si="41"/>
        <v>0</v>
      </c>
      <c r="CM31">
        <f t="shared" si="42"/>
        <v>0.57546342746125556</v>
      </c>
      <c r="CT31">
        <f t="shared" si="43"/>
        <v>8.9288273599652541</v>
      </c>
      <c r="CU31">
        <f t="shared" si="55"/>
        <v>100</v>
      </c>
      <c r="CV31">
        <f t="shared" si="44"/>
        <v>0.54811999999999994</v>
      </c>
      <c r="CW31">
        <v>0.3</v>
      </c>
    </row>
    <row r="32" spans="1:101" x14ac:dyDescent="0.25">
      <c r="A32">
        <v>9</v>
      </c>
      <c r="B32">
        <v>30</v>
      </c>
      <c r="C32" t="str">
        <f t="shared" si="45"/>
        <v>SSTens</v>
      </c>
      <c r="D32">
        <v>0.60960000000000003</v>
      </c>
      <c r="E32">
        <f t="shared" si="10"/>
        <v>609.6</v>
      </c>
      <c r="F32">
        <v>1.1130000000000001E-2</v>
      </c>
      <c r="G32">
        <f t="shared" si="11"/>
        <v>11.13</v>
      </c>
      <c r="H32">
        <f t="shared" si="12"/>
        <v>54.770889487870619</v>
      </c>
      <c r="I32">
        <v>150</v>
      </c>
      <c r="J32" t="s">
        <v>100</v>
      </c>
      <c r="K32">
        <f t="shared" si="46"/>
        <v>3</v>
      </c>
      <c r="L32">
        <f t="shared" si="47"/>
        <v>9</v>
      </c>
      <c r="M32">
        <f t="shared" si="48"/>
        <v>290000</v>
      </c>
      <c r="N32">
        <f t="shared" si="49"/>
        <v>414000</v>
      </c>
      <c r="O32">
        <f t="shared" si="50"/>
        <v>1.7363704307629526</v>
      </c>
      <c r="S32" t="s">
        <v>78</v>
      </c>
      <c r="T32" t="s">
        <v>81</v>
      </c>
      <c r="U32">
        <f t="shared" si="51"/>
        <v>19</v>
      </c>
      <c r="V32">
        <f t="shared" si="52"/>
        <v>43</v>
      </c>
      <c r="W32">
        <f t="shared" si="53"/>
        <v>0</v>
      </c>
      <c r="X32">
        <f t="shared" si="54"/>
        <v>0</v>
      </c>
      <c r="Y32">
        <v>0.9</v>
      </c>
      <c r="Z32">
        <v>1</v>
      </c>
      <c r="AB32">
        <f t="shared" si="13"/>
        <v>29.151630415531248</v>
      </c>
      <c r="AC32">
        <f t="shared" si="14"/>
        <v>1</v>
      </c>
      <c r="AD32">
        <f t="shared" si="15"/>
        <v>1</v>
      </c>
      <c r="AK32">
        <v>1.5</v>
      </c>
      <c r="AL32">
        <f t="shared" si="16"/>
        <v>-1.01799</v>
      </c>
      <c r="AM32">
        <f t="shared" si="17"/>
        <v>0.38193464176756858</v>
      </c>
      <c r="AN32">
        <f t="shared" si="18"/>
        <v>0.17459</v>
      </c>
      <c r="AS32">
        <f t="shared" si="19"/>
        <v>2.9240000000000002E-2</v>
      </c>
      <c r="AT32">
        <f t="shared" si="20"/>
        <v>0.16758000000000001</v>
      </c>
      <c r="AU32">
        <f t="shared" si="21"/>
        <v>0.11291000000000001</v>
      </c>
      <c r="AV32">
        <f t="shared" si="22"/>
        <v>-1.5E-3</v>
      </c>
      <c r="AW32">
        <f t="shared" si="23"/>
        <v>6.6009999999999985E-2</v>
      </c>
      <c r="AY32">
        <f t="shared" si="24"/>
        <v>6.7567196067336521E-2</v>
      </c>
      <c r="BC32">
        <f t="shared" si="25"/>
        <v>0.48845</v>
      </c>
      <c r="BD32">
        <f t="shared" si="26"/>
        <v>0.21362</v>
      </c>
      <c r="BE32">
        <f t="shared" si="27"/>
        <v>2.0645199999999999</v>
      </c>
      <c r="BH32">
        <f t="shared" si="28"/>
        <v>-2.3700000000000001E-3</v>
      </c>
      <c r="BI32">
        <f t="shared" si="29"/>
        <v>2.2239999999999999E-2</v>
      </c>
      <c r="BJ32">
        <f t="shared" si="30"/>
        <v>-0.33663999999999999</v>
      </c>
      <c r="BK32">
        <f t="shared" si="31"/>
        <v>6.2E-4</v>
      </c>
      <c r="BL32">
        <f t="shared" si="32"/>
        <v>0.77855000000000008</v>
      </c>
      <c r="BM32">
        <f t="shared" si="33"/>
        <v>-3.13E-3</v>
      </c>
      <c r="BN32">
        <f t="shared" si="34"/>
        <v>3.9930000000000007E-2</v>
      </c>
      <c r="BO32">
        <f t="shared" si="35"/>
        <v>0.23807999999999999</v>
      </c>
      <c r="BP32">
        <f t="shared" si="36"/>
        <v>7.485E-2</v>
      </c>
      <c r="CB32">
        <f t="shared" si="37"/>
        <v>1</v>
      </c>
      <c r="CC32">
        <f t="shared" si="38"/>
        <v>0</v>
      </c>
      <c r="CD32">
        <f t="shared" si="39"/>
        <v>0</v>
      </c>
      <c r="CE32">
        <f t="shared" si="40"/>
        <v>0.27625200359756724</v>
      </c>
      <c r="CL32">
        <f t="shared" si="41"/>
        <v>0</v>
      </c>
      <c r="CM32">
        <f t="shared" si="42"/>
        <v>0.27625200359756724</v>
      </c>
      <c r="CT32">
        <f t="shared" si="43"/>
        <v>8.3995658523274574</v>
      </c>
      <c r="CU32">
        <f t="shared" si="55"/>
        <v>100</v>
      </c>
      <c r="CV32">
        <f t="shared" si="44"/>
        <v>0.49417</v>
      </c>
      <c r="CW32">
        <v>0.3</v>
      </c>
    </row>
    <row r="33" spans="1:101" x14ac:dyDescent="0.25">
      <c r="A33">
        <v>10</v>
      </c>
      <c r="B33">
        <v>35</v>
      </c>
      <c r="C33" t="str">
        <f t="shared" si="45"/>
        <v>SSTens</v>
      </c>
      <c r="D33">
        <v>0.60960000000000003</v>
      </c>
      <c r="E33">
        <f t="shared" si="10"/>
        <v>609.6</v>
      </c>
      <c r="F33">
        <v>1.1130000000000001E-2</v>
      </c>
      <c r="G33">
        <f t="shared" si="11"/>
        <v>11.13</v>
      </c>
      <c r="H33">
        <f t="shared" si="12"/>
        <v>54.770889487870619</v>
      </c>
      <c r="I33">
        <v>200</v>
      </c>
      <c r="J33" t="s">
        <v>101</v>
      </c>
      <c r="K33">
        <f t="shared" si="46"/>
        <v>3</v>
      </c>
      <c r="L33">
        <f t="shared" si="47"/>
        <v>8</v>
      </c>
      <c r="M33">
        <f t="shared" si="48"/>
        <v>241000</v>
      </c>
      <c r="N33">
        <f t="shared" si="49"/>
        <v>344000</v>
      </c>
      <c r="O33">
        <f t="shared" si="50"/>
        <v>1.1599577949833839</v>
      </c>
      <c r="S33" t="s">
        <v>78</v>
      </c>
      <c r="T33" t="s">
        <v>81</v>
      </c>
      <c r="U33">
        <f t="shared" si="51"/>
        <v>19</v>
      </c>
      <c r="V33">
        <f t="shared" si="52"/>
        <v>43</v>
      </c>
      <c r="W33">
        <f t="shared" si="53"/>
        <v>0</v>
      </c>
      <c r="X33">
        <f t="shared" si="54"/>
        <v>0</v>
      </c>
      <c r="Y33">
        <v>0.9</v>
      </c>
      <c r="Z33">
        <v>2</v>
      </c>
      <c r="AB33">
        <f t="shared" si="13"/>
        <v>58.303260831062495</v>
      </c>
      <c r="AC33">
        <f t="shared" si="14"/>
        <v>1</v>
      </c>
      <c r="AD33">
        <f t="shared" si="15"/>
        <v>1</v>
      </c>
      <c r="AK33">
        <v>2.75</v>
      </c>
      <c r="AL33">
        <f t="shared" si="16"/>
        <v>-1.28809</v>
      </c>
      <c r="AM33">
        <f t="shared" si="17"/>
        <v>0.42196824472511718</v>
      </c>
      <c r="AN33">
        <f t="shared" si="18"/>
        <v>0.24193999999999999</v>
      </c>
      <c r="AS33">
        <f t="shared" si="19"/>
        <v>1.4190000000000001E-2</v>
      </c>
      <c r="AT33">
        <f t="shared" si="20"/>
        <v>0.27667999999999998</v>
      </c>
      <c r="AU33">
        <f t="shared" si="21"/>
        <v>0.23471000000000003</v>
      </c>
      <c r="AV33">
        <f t="shared" si="22"/>
        <v>-1.5499999999999999E-3</v>
      </c>
      <c r="AW33">
        <f t="shared" si="23"/>
        <v>7.7409999999999993E-2</v>
      </c>
      <c r="AY33">
        <f t="shared" si="24"/>
        <v>5.6398079686577951E-2</v>
      </c>
      <c r="BC33">
        <f t="shared" si="25"/>
        <v>0.37974999999999998</v>
      </c>
      <c r="BD33">
        <f t="shared" si="26"/>
        <v>0.22377</v>
      </c>
      <c r="BE33">
        <f t="shared" si="27"/>
        <v>1.9244700000000001</v>
      </c>
      <c r="BH33">
        <f t="shared" si="28"/>
        <v>-2.8700000000000002E-3</v>
      </c>
      <c r="BI33">
        <f t="shared" si="29"/>
        <v>1.6539999999999999E-2</v>
      </c>
      <c r="BJ33">
        <f t="shared" si="30"/>
        <v>-0.26484000000000002</v>
      </c>
      <c r="BK33">
        <f t="shared" si="31"/>
        <v>7.2000000000000005E-4</v>
      </c>
      <c r="BL33">
        <f t="shared" si="32"/>
        <v>0.8448500000000001</v>
      </c>
      <c r="BM33">
        <f t="shared" si="33"/>
        <v>-7.9999999999999342E-5</v>
      </c>
      <c r="BN33">
        <f t="shared" si="34"/>
        <v>3.5300000000000054E-3</v>
      </c>
      <c r="BO33">
        <f t="shared" si="35"/>
        <v>0.31207999999999997</v>
      </c>
      <c r="BP33">
        <f t="shared" si="36"/>
        <v>8.8450000000000001E-2</v>
      </c>
      <c r="CB33">
        <f t="shared" si="37"/>
        <v>1</v>
      </c>
      <c r="CC33">
        <f t="shared" si="38"/>
        <v>0</v>
      </c>
      <c r="CD33">
        <f t="shared" si="39"/>
        <v>0</v>
      </c>
      <c r="CE33">
        <f t="shared" si="40"/>
        <v>0.32512453126164914</v>
      </c>
      <c r="CL33">
        <f t="shared" si="41"/>
        <v>0</v>
      </c>
      <c r="CM33">
        <f t="shared" si="42"/>
        <v>0.32512453126164914</v>
      </c>
      <c r="CT33">
        <f t="shared" si="43"/>
        <v>9.4103336233310273</v>
      </c>
      <c r="CU33">
        <f t="shared" si="55"/>
        <v>100</v>
      </c>
      <c r="CV33">
        <f t="shared" si="44"/>
        <v>0.50927</v>
      </c>
      <c r="CW33">
        <v>0.3</v>
      </c>
    </row>
    <row r="34" spans="1:101" x14ac:dyDescent="0.25">
      <c r="A34">
        <v>11</v>
      </c>
      <c r="B34">
        <v>41</v>
      </c>
      <c r="C34" t="str">
        <f t="shared" si="45"/>
        <v>SSTens</v>
      </c>
      <c r="D34">
        <v>0.20319999999999999</v>
      </c>
      <c r="E34">
        <f t="shared" si="10"/>
        <v>203.2</v>
      </c>
      <c r="F34">
        <v>5.5599999999999998E-3</v>
      </c>
      <c r="G34">
        <f t="shared" si="11"/>
        <v>5.56</v>
      </c>
      <c r="H34">
        <f t="shared" si="12"/>
        <v>36.546762589928058</v>
      </c>
      <c r="I34">
        <v>15</v>
      </c>
      <c r="J34" t="s">
        <v>70</v>
      </c>
      <c r="K34">
        <f t="shared" si="46"/>
        <v>8</v>
      </c>
      <c r="L34">
        <f t="shared" si="47"/>
        <v>10</v>
      </c>
      <c r="M34">
        <f t="shared" si="48"/>
        <v>359000</v>
      </c>
      <c r="N34">
        <f t="shared" si="49"/>
        <v>455000</v>
      </c>
      <c r="O34">
        <f t="shared" si="50"/>
        <v>1.9969902892117808</v>
      </c>
      <c r="S34" t="s">
        <v>71</v>
      </c>
      <c r="T34" t="s">
        <v>72</v>
      </c>
      <c r="U34">
        <f t="shared" si="51"/>
        <v>17.5</v>
      </c>
      <c r="V34">
        <f t="shared" si="52"/>
        <v>0</v>
      </c>
      <c r="W34">
        <f t="shared" si="53"/>
        <v>37.5</v>
      </c>
      <c r="X34">
        <f t="shared" si="54"/>
        <v>1.1000000000000001</v>
      </c>
      <c r="Y34">
        <v>0.9</v>
      </c>
      <c r="Z34">
        <v>0</v>
      </c>
      <c r="AB34">
        <f t="shared" si="13"/>
        <v>26.332829622389642</v>
      </c>
      <c r="AC34">
        <f t="shared" si="14"/>
        <v>1</v>
      </c>
      <c r="AD34">
        <f t="shared" si="15"/>
        <v>1</v>
      </c>
      <c r="AK34">
        <v>0.75</v>
      </c>
      <c r="AL34">
        <f t="shared" si="16"/>
        <v>-1.6122099999999999</v>
      </c>
      <c r="AM34">
        <f t="shared" si="17"/>
        <v>0.49927955795195023</v>
      </c>
      <c r="AN34">
        <f t="shared" si="18"/>
        <v>0.32275999999999999</v>
      </c>
      <c r="AS34">
        <f t="shared" si="19"/>
        <v>-3.8700000000000002E-3</v>
      </c>
      <c r="AT34">
        <f t="shared" si="20"/>
        <v>0.40759999999999996</v>
      </c>
      <c r="AU34">
        <f t="shared" si="21"/>
        <v>0.38087000000000004</v>
      </c>
      <c r="AV34">
        <f t="shared" si="22"/>
        <v>-1.6099999999999999E-3</v>
      </c>
      <c r="AW34">
        <f t="shared" si="23"/>
        <v>9.108999999999999E-2</v>
      </c>
      <c r="AY34">
        <f t="shared" si="24"/>
        <v>-0.39283740862208216</v>
      </c>
      <c r="BC34">
        <f t="shared" si="25"/>
        <v>0.24930999999999998</v>
      </c>
      <c r="BD34">
        <f t="shared" si="26"/>
        <v>0.23595000000000002</v>
      </c>
      <c r="BE34">
        <f t="shared" si="27"/>
        <v>1.75641</v>
      </c>
      <c r="BH34">
        <f t="shared" si="28"/>
        <v>-3.47E-3</v>
      </c>
      <c r="BI34">
        <f t="shared" si="29"/>
        <v>9.7000000000000003E-3</v>
      </c>
      <c r="BJ34">
        <f t="shared" si="30"/>
        <v>-0.17868000000000001</v>
      </c>
      <c r="BK34">
        <f t="shared" si="31"/>
        <v>8.4000000000000003E-4</v>
      </c>
      <c r="BL34">
        <f t="shared" si="32"/>
        <v>0.92441000000000006</v>
      </c>
      <c r="BM34">
        <f t="shared" si="33"/>
        <v>3.5800000000000003E-3</v>
      </c>
      <c r="BN34">
        <f t="shared" si="34"/>
        <v>-4.0149999999999998E-2</v>
      </c>
      <c r="BO34">
        <f t="shared" si="35"/>
        <v>0.40088000000000001</v>
      </c>
      <c r="BP34">
        <f t="shared" si="36"/>
        <v>0.10477</v>
      </c>
      <c r="CB34">
        <f t="shared" si="37"/>
        <v>0</v>
      </c>
      <c r="CC34">
        <f t="shared" si="38"/>
        <v>0</v>
      </c>
      <c r="CD34">
        <f t="shared" si="39"/>
        <v>1</v>
      </c>
      <c r="CE34">
        <f t="shared" si="40"/>
        <v>1.481293247657941</v>
      </c>
      <c r="CL34">
        <f t="shared" si="41"/>
        <v>0</v>
      </c>
      <c r="CM34">
        <f t="shared" si="42"/>
        <v>1.481293247657941</v>
      </c>
      <c r="CT34">
        <f t="shared" si="43"/>
        <v>1.2541638151501695</v>
      </c>
      <c r="CU34">
        <f t="shared" si="55"/>
        <v>3.5049063990458023</v>
      </c>
      <c r="CV34">
        <f t="shared" si="44"/>
        <v>0.52739000000000003</v>
      </c>
      <c r="CW34">
        <v>0.3</v>
      </c>
    </row>
    <row r="35" spans="1:101" x14ac:dyDescent="0.25">
      <c r="A35">
        <v>12</v>
      </c>
      <c r="B35">
        <v>6</v>
      </c>
      <c r="C35" t="str">
        <f t="shared" si="45"/>
        <v>SSTens</v>
      </c>
      <c r="D35">
        <v>0.30480000000000002</v>
      </c>
      <c r="E35">
        <f t="shared" si="10"/>
        <v>304.8</v>
      </c>
      <c r="F35">
        <v>7.1399999999999996E-3</v>
      </c>
      <c r="G35">
        <f t="shared" si="11"/>
        <v>7.14</v>
      </c>
      <c r="H35">
        <f t="shared" si="12"/>
        <v>42.689075630252105</v>
      </c>
      <c r="I35">
        <v>30</v>
      </c>
      <c r="J35" t="s">
        <v>73</v>
      </c>
      <c r="K35">
        <f t="shared" si="46"/>
        <v>8</v>
      </c>
      <c r="L35">
        <f t="shared" si="47"/>
        <v>12</v>
      </c>
      <c r="M35">
        <f t="shared" si="48"/>
        <v>414000</v>
      </c>
      <c r="N35">
        <f t="shared" si="49"/>
        <v>517000</v>
      </c>
      <c r="O35">
        <f t="shared" si="50"/>
        <v>2.5466769467238102</v>
      </c>
      <c r="S35" t="s">
        <v>71</v>
      </c>
      <c r="T35" t="s">
        <v>72</v>
      </c>
      <c r="U35">
        <f t="shared" si="51"/>
        <v>17.5</v>
      </c>
      <c r="V35">
        <f t="shared" si="52"/>
        <v>0</v>
      </c>
      <c r="W35">
        <f t="shared" si="53"/>
        <v>37.5</v>
      </c>
      <c r="X35">
        <f t="shared" si="54"/>
        <v>1.1000000000000001</v>
      </c>
      <c r="Y35">
        <v>0.9</v>
      </c>
      <c r="Z35">
        <v>0</v>
      </c>
      <c r="AB35">
        <f t="shared" si="13"/>
        <v>39.499244433584465</v>
      </c>
      <c r="AC35">
        <f t="shared" si="14"/>
        <v>1</v>
      </c>
      <c r="AD35">
        <f t="shared" si="15"/>
        <v>1</v>
      </c>
      <c r="AK35">
        <v>0.75</v>
      </c>
      <c r="AL35">
        <f t="shared" si="16"/>
        <v>0.27849000000000013</v>
      </c>
      <c r="AM35">
        <f t="shared" si="17"/>
        <v>6.1265274996957969E-2</v>
      </c>
      <c r="AN35">
        <f t="shared" si="18"/>
        <v>-0.14868999999999999</v>
      </c>
      <c r="AS35">
        <f t="shared" si="19"/>
        <v>0.10148000000000001</v>
      </c>
      <c r="AT35">
        <f t="shared" si="20"/>
        <v>-0.35609999999999997</v>
      </c>
      <c r="AU35">
        <f t="shared" si="21"/>
        <v>-0.47172999999999998</v>
      </c>
      <c r="AV35">
        <f t="shared" si="22"/>
        <v>-1.2599999999999998E-3</v>
      </c>
      <c r="AW35">
        <f t="shared" si="23"/>
        <v>1.1289999999999994E-2</v>
      </c>
      <c r="AY35">
        <f t="shared" si="24"/>
        <v>-0.16996391201545347</v>
      </c>
      <c r="BC35">
        <f t="shared" si="25"/>
        <v>1.0102099999999998</v>
      </c>
      <c r="BD35">
        <f t="shared" si="26"/>
        <v>0.16489999999999999</v>
      </c>
      <c r="BE35">
        <f t="shared" si="27"/>
        <v>2.7367600000000003</v>
      </c>
      <c r="BH35">
        <f t="shared" si="28"/>
        <v>3.0000000000000079E-5</v>
      </c>
      <c r="BI35">
        <f t="shared" si="29"/>
        <v>4.9599999999999998E-2</v>
      </c>
      <c r="BJ35">
        <f t="shared" si="30"/>
        <v>-0.68128</v>
      </c>
      <c r="BK35">
        <f t="shared" si="31"/>
        <v>1.3999999999999993E-4</v>
      </c>
      <c r="BL35">
        <f t="shared" si="32"/>
        <v>0.46031000000000011</v>
      </c>
      <c r="BM35">
        <f t="shared" si="33"/>
        <v>-1.7769999999999998E-2</v>
      </c>
      <c r="BN35">
        <f t="shared" si="34"/>
        <v>0.21465000000000001</v>
      </c>
      <c r="BO35">
        <f t="shared" si="35"/>
        <v>-0.11712000000000006</v>
      </c>
      <c r="BP35">
        <f t="shared" si="36"/>
        <v>9.5699999999999952E-3</v>
      </c>
      <c r="CB35">
        <f t="shared" si="37"/>
        <v>0</v>
      </c>
      <c r="CC35">
        <f t="shared" si="38"/>
        <v>1</v>
      </c>
      <c r="CD35">
        <f t="shared" si="39"/>
        <v>1</v>
      </c>
      <c r="CE35">
        <f t="shared" si="40"/>
        <v>35.235000927267137</v>
      </c>
      <c r="CL35">
        <f t="shared" si="41"/>
        <v>35.235000927267137</v>
      </c>
      <c r="CM35">
        <f t="shared" si="42"/>
        <v>0</v>
      </c>
      <c r="CT35">
        <f t="shared" si="43"/>
        <v>-2.51856428360386</v>
      </c>
      <c r="CU35">
        <f t="shared" si="55"/>
        <v>8.0575206890821802E-2</v>
      </c>
      <c r="CV35">
        <f t="shared" si="44"/>
        <v>0.42169000000000001</v>
      </c>
      <c r="CW35">
        <v>0.3</v>
      </c>
    </row>
    <row r="36" spans="1:101" x14ac:dyDescent="0.25">
      <c r="A36">
        <v>13</v>
      </c>
      <c r="B36">
        <v>31</v>
      </c>
      <c r="C36" t="str">
        <f t="shared" si="45"/>
        <v>SSTens</v>
      </c>
      <c r="D36">
        <v>0.40639999999999998</v>
      </c>
      <c r="E36">
        <f t="shared" si="10"/>
        <v>406.4</v>
      </c>
      <c r="F36">
        <v>9.5299999999999985E-3</v>
      </c>
      <c r="G36">
        <f t="shared" si="11"/>
        <v>9.5299999999999994</v>
      </c>
      <c r="H36">
        <f t="shared" si="12"/>
        <v>42.644281217208821</v>
      </c>
      <c r="I36">
        <v>50</v>
      </c>
      <c r="J36" t="s">
        <v>75</v>
      </c>
      <c r="K36">
        <f t="shared" si="46"/>
        <v>14</v>
      </c>
      <c r="L36">
        <f t="shared" si="47"/>
        <v>15</v>
      </c>
      <c r="M36">
        <f t="shared" si="48"/>
        <v>483000</v>
      </c>
      <c r="N36">
        <f t="shared" si="49"/>
        <v>565000</v>
      </c>
      <c r="O36">
        <f t="shared" si="50"/>
        <v>2.8799444073326219</v>
      </c>
      <c r="S36" t="s">
        <v>71</v>
      </c>
      <c r="T36" t="s">
        <v>72</v>
      </c>
      <c r="U36">
        <f t="shared" si="51"/>
        <v>17.5</v>
      </c>
      <c r="V36">
        <f t="shared" si="52"/>
        <v>0</v>
      </c>
      <c r="W36">
        <f t="shared" si="53"/>
        <v>37.5</v>
      </c>
      <c r="X36">
        <f t="shared" si="54"/>
        <v>1.1000000000000001</v>
      </c>
      <c r="Y36">
        <v>0.9</v>
      </c>
      <c r="Z36">
        <v>0</v>
      </c>
      <c r="AB36">
        <f t="shared" si="13"/>
        <v>52.665659244779285</v>
      </c>
      <c r="AC36">
        <f t="shared" si="14"/>
        <v>1</v>
      </c>
      <c r="AD36">
        <f t="shared" si="15"/>
        <v>1</v>
      </c>
      <c r="AK36">
        <v>0.75</v>
      </c>
      <c r="AL36">
        <f t="shared" si="16"/>
        <v>-1.0720100000000001</v>
      </c>
      <c r="AM36">
        <f t="shared" si="17"/>
        <v>0.37861949879439499</v>
      </c>
      <c r="AN36">
        <f t="shared" si="18"/>
        <v>0.18805999999999998</v>
      </c>
      <c r="AS36">
        <f t="shared" si="19"/>
        <v>2.6230000000000003E-2</v>
      </c>
      <c r="AT36">
        <f t="shared" si="20"/>
        <v>0.18940000000000001</v>
      </c>
      <c r="AU36">
        <f t="shared" si="21"/>
        <v>0.13727</v>
      </c>
      <c r="AV36">
        <f t="shared" si="22"/>
        <v>-1.5100000000000001E-3</v>
      </c>
      <c r="AW36">
        <f t="shared" si="23"/>
        <v>6.828999999999999E-2</v>
      </c>
      <c r="AY36">
        <f t="shared" si="24"/>
        <v>6.4177768834329907E-2</v>
      </c>
      <c r="BC36">
        <f t="shared" si="25"/>
        <v>0.46670999999999996</v>
      </c>
      <c r="BD36">
        <f t="shared" si="26"/>
        <v>0.21565000000000001</v>
      </c>
      <c r="BE36">
        <f t="shared" si="27"/>
        <v>2.0365100000000003</v>
      </c>
      <c r="BH36">
        <f t="shared" si="28"/>
        <v>-2.47E-3</v>
      </c>
      <c r="BI36">
        <f t="shared" si="29"/>
        <v>2.1099999999999997E-2</v>
      </c>
      <c r="BJ36">
        <f t="shared" si="30"/>
        <v>-0.32228000000000001</v>
      </c>
      <c r="BK36">
        <f t="shared" si="31"/>
        <v>6.3999999999999994E-4</v>
      </c>
      <c r="BL36">
        <f t="shared" si="32"/>
        <v>0.79181000000000001</v>
      </c>
      <c r="BM36">
        <f t="shared" si="33"/>
        <v>-2.5199999999999988E-3</v>
      </c>
      <c r="BN36">
        <f t="shared" si="34"/>
        <v>3.2649999999999998E-2</v>
      </c>
      <c r="BO36">
        <f t="shared" si="35"/>
        <v>0.25287999999999999</v>
      </c>
      <c r="BP36">
        <f t="shared" si="36"/>
        <v>7.757E-2</v>
      </c>
      <c r="CB36">
        <f t="shared" si="37"/>
        <v>0</v>
      </c>
      <c r="CC36">
        <f t="shared" si="38"/>
        <v>1</v>
      </c>
      <c r="CD36">
        <f t="shared" si="39"/>
        <v>0</v>
      </c>
      <c r="CE36">
        <f t="shared" si="40"/>
        <v>34.875583720662959</v>
      </c>
      <c r="CL36">
        <f t="shared" si="41"/>
        <v>34.875583720662959</v>
      </c>
      <c r="CM36">
        <f t="shared" si="42"/>
        <v>0</v>
      </c>
      <c r="CT36">
        <f t="shared" si="43"/>
        <v>-10.995295938748249</v>
      </c>
      <c r="CU36">
        <f t="shared" si="55"/>
        <v>1.6780451693088814E-5</v>
      </c>
      <c r="CV36">
        <f t="shared" si="44"/>
        <v>0.49719000000000002</v>
      </c>
      <c r="CW36">
        <v>0.3</v>
      </c>
    </row>
    <row r="37" spans="1:101" x14ac:dyDescent="0.25">
      <c r="A37">
        <v>14</v>
      </c>
      <c r="B37">
        <v>7</v>
      </c>
      <c r="C37" t="str">
        <f t="shared" si="45"/>
        <v>SSTens</v>
      </c>
      <c r="D37">
        <v>0.50800000000000001</v>
      </c>
      <c r="E37">
        <f t="shared" si="10"/>
        <v>508</v>
      </c>
      <c r="F37">
        <v>1.1130000000000001E-2</v>
      </c>
      <c r="G37">
        <f t="shared" si="11"/>
        <v>11.13</v>
      </c>
      <c r="H37">
        <f t="shared" si="12"/>
        <v>45.642407906558844</v>
      </c>
      <c r="I37">
        <v>100</v>
      </c>
      <c r="J37" t="s">
        <v>77</v>
      </c>
      <c r="K37">
        <f t="shared" si="46"/>
        <v>15</v>
      </c>
      <c r="L37">
        <f t="shared" si="47"/>
        <v>20</v>
      </c>
      <c r="M37">
        <f t="shared" si="48"/>
        <v>552000</v>
      </c>
      <c r="N37">
        <f t="shared" si="49"/>
        <v>625000</v>
      </c>
      <c r="O37">
        <f t="shared" si="50"/>
        <v>2.9888368774026359</v>
      </c>
      <c r="S37" t="s">
        <v>71</v>
      </c>
      <c r="T37" t="s">
        <v>72</v>
      </c>
      <c r="U37">
        <f t="shared" si="51"/>
        <v>17.5</v>
      </c>
      <c r="V37">
        <f t="shared" si="52"/>
        <v>0</v>
      </c>
      <c r="W37">
        <f t="shared" si="53"/>
        <v>37.5</v>
      </c>
      <c r="X37">
        <f t="shared" si="54"/>
        <v>1.1000000000000001</v>
      </c>
      <c r="Y37">
        <v>0.9</v>
      </c>
      <c r="Z37">
        <v>0</v>
      </c>
      <c r="AB37">
        <f t="shared" si="13"/>
        <v>65.832074055974104</v>
      </c>
      <c r="AC37">
        <f t="shared" si="14"/>
        <v>1</v>
      </c>
      <c r="AD37">
        <f t="shared" si="15"/>
        <v>1</v>
      </c>
      <c r="AK37">
        <v>0.75</v>
      </c>
      <c r="AL37">
        <f t="shared" si="16"/>
        <v>0.22447000000000017</v>
      </c>
      <c r="AM37">
        <f t="shared" si="17"/>
        <v>0.18822525017291764</v>
      </c>
      <c r="AN37">
        <f t="shared" si="18"/>
        <v>-0.13522000000000001</v>
      </c>
      <c r="AS37">
        <f t="shared" si="19"/>
        <v>9.8470000000000002E-2</v>
      </c>
      <c r="AT37">
        <f t="shared" si="20"/>
        <v>-0.33428000000000002</v>
      </c>
      <c r="AU37">
        <f t="shared" si="21"/>
        <v>-0.44736999999999993</v>
      </c>
      <c r="AV37">
        <f t="shared" si="22"/>
        <v>-1.2699999999999999E-3</v>
      </c>
      <c r="AW37">
        <f t="shared" si="23"/>
        <v>1.3569999999999999E-2</v>
      </c>
      <c r="AY37">
        <f t="shared" si="24"/>
        <v>-0.19215623985827801</v>
      </c>
      <c r="BC37">
        <f t="shared" si="25"/>
        <v>0.98846999999999996</v>
      </c>
      <c r="BD37">
        <f t="shared" si="26"/>
        <v>0.16693000000000002</v>
      </c>
      <c r="BE37">
        <f t="shared" si="27"/>
        <v>2.7087500000000002</v>
      </c>
      <c r="BH37">
        <f t="shared" si="28"/>
        <v>-7.0000000000000184E-5</v>
      </c>
      <c r="BI37">
        <f t="shared" si="29"/>
        <v>4.8459999999999996E-2</v>
      </c>
      <c r="BJ37">
        <f t="shared" si="30"/>
        <v>-0.66691999999999996</v>
      </c>
      <c r="BK37">
        <f t="shared" si="31"/>
        <v>1.5999999999999999E-4</v>
      </c>
      <c r="BL37">
        <f t="shared" si="32"/>
        <v>0.47357000000000005</v>
      </c>
      <c r="BM37">
        <f t="shared" si="33"/>
        <v>-1.7159999999999998E-2</v>
      </c>
      <c r="BN37">
        <f t="shared" si="34"/>
        <v>0.20737</v>
      </c>
      <c r="BO37">
        <f t="shared" si="35"/>
        <v>-0.10232000000000002</v>
      </c>
      <c r="BP37">
        <f t="shared" si="36"/>
        <v>1.2289999999999995E-2</v>
      </c>
      <c r="CB37">
        <f t="shared" si="37"/>
        <v>0</v>
      </c>
      <c r="CC37">
        <f t="shared" si="38"/>
        <v>1</v>
      </c>
      <c r="CD37">
        <f t="shared" si="39"/>
        <v>0</v>
      </c>
      <c r="CE37">
        <f t="shared" si="40"/>
        <v>24.805187421061582</v>
      </c>
      <c r="CL37">
        <f t="shared" si="41"/>
        <v>24.805187421061582</v>
      </c>
      <c r="CM37">
        <f t="shared" si="42"/>
        <v>0</v>
      </c>
      <c r="CT37">
        <f t="shared" si="43"/>
        <v>-0.74325381350195208</v>
      </c>
      <c r="CU37">
        <f t="shared" si="55"/>
        <v>0.47556399875824051</v>
      </c>
      <c r="CV37">
        <f t="shared" si="44"/>
        <v>0.42471000000000003</v>
      </c>
      <c r="CW37">
        <v>0.3</v>
      </c>
    </row>
    <row r="38" spans="1:101" x14ac:dyDescent="0.25">
      <c r="A38">
        <v>15</v>
      </c>
      <c r="B38">
        <v>9</v>
      </c>
      <c r="C38" t="str">
        <f t="shared" si="45"/>
        <v>SSTens</v>
      </c>
      <c r="D38">
        <v>0.60960000000000003</v>
      </c>
      <c r="E38">
        <f t="shared" si="10"/>
        <v>609.6</v>
      </c>
      <c r="F38">
        <v>9.5299999999999985E-3</v>
      </c>
      <c r="G38">
        <f t="shared" si="11"/>
        <v>9.5299999999999994</v>
      </c>
      <c r="H38">
        <f t="shared" si="12"/>
        <v>63.966421825813235</v>
      </c>
      <c r="I38">
        <v>15</v>
      </c>
      <c r="J38" t="s">
        <v>70</v>
      </c>
      <c r="K38">
        <f t="shared" si="46"/>
        <v>8</v>
      </c>
      <c r="L38">
        <f t="shared" si="47"/>
        <v>10</v>
      </c>
      <c r="M38">
        <f t="shared" si="48"/>
        <v>359000</v>
      </c>
      <c r="N38">
        <f t="shared" si="49"/>
        <v>455000</v>
      </c>
      <c r="O38">
        <f t="shared" si="50"/>
        <v>1.9969902892117808</v>
      </c>
      <c r="S38" t="s">
        <v>71</v>
      </c>
      <c r="T38" t="s">
        <v>74</v>
      </c>
      <c r="U38">
        <f t="shared" si="51"/>
        <v>18</v>
      </c>
      <c r="V38">
        <f t="shared" si="52"/>
        <v>0</v>
      </c>
      <c r="W38">
        <f t="shared" si="53"/>
        <v>75</v>
      </c>
      <c r="X38">
        <f t="shared" si="54"/>
        <v>0.72</v>
      </c>
      <c r="Y38">
        <v>0.9</v>
      </c>
      <c r="Z38">
        <v>0</v>
      </c>
      <c r="AB38">
        <f t="shared" si="13"/>
        <v>103.41620360793024</v>
      </c>
      <c r="AC38">
        <f t="shared" si="14"/>
        <v>0</v>
      </c>
      <c r="AD38">
        <f t="shared" si="15"/>
        <v>1</v>
      </c>
      <c r="AK38">
        <v>0.75</v>
      </c>
      <c r="AL38">
        <f t="shared" si="16"/>
        <v>0.11643000000000003</v>
      </c>
      <c r="AM38">
        <f t="shared" si="17"/>
        <v>-0.1018074430633997</v>
      </c>
      <c r="AN38">
        <f t="shared" si="18"/>
        <v>-0.10827999999999999</v>
      </c>
      <c r="AS38">
        <f t="shared" si="19"/>
        <v>9.2450000000000004E-2</v>
      </c>
      <c r="AT38">
        <f t="shared" si="20"/>
        <v>-0.29064000000000001</v>
      </c>
      <c r="AU38">
        <f t="shared" si="21"/>
        <v>-0.39864999999999995</v>
      </c>
      <c r="AV38">
        <f t="shared" si="22"/>
        <v>-1.2899999999999999E-3</v>
      </c>
      <c r="AW38">
        <f t="shared" si="23"/>
        <v>1.8129999999999993E-2</v>
      </c>
      <c r="AY38">
        <f t="shared" si="24"/>
        <v>-0.24721189702307916</v>
      </c>
      <c r="BC38">
        <f t="shared" si="25"/>
        <v>0.94499</v>
      </c>
      <c r="BD38">
        <f t="shared" si="26"/>
        <v>0.17099</v>
      </c>
      <c r="BE38">
        <f t="shared" si="27"/>
        <v>2.65273</v>
      </c>
      <c r="BH38">
        <f t="shared" si="28"/>
        <v>-2.6999999999999984E-4</v>
      </c>
      <c r="BI38">
        <f t="shared" si="29"/>
        <v>4.6179999999999999E-2</v>
      </c>
      <c r="BJ38">
        <f t="shared" si="30"/>
        <v>-0.63819999999999999</v>
      </c>
      <c r="BK38">
        <f t="shared" si="31"/>
        <v>1.9999999999999998E-4</v>
      </c>
      <c r="BL38">
        <f t="shared" si="32"/>
        <v>0.50009000000000015</v>
      </c>
      <c r="BM38">
        <f t="shared" si="33"/>
        <v>-1.5939999999999999E-2</v>
      </c>
      <c r="BN38">
        <f t="shared" si="34"/>
        <v>0.19280999999999998</v>
      </c>
      <c r="BO38">
        <f t="shared" si="35"/>
        <v>-7.2720000000000062E-2</v>
      </c>
      <c r="BP38">
        <f t="shared" si="36"/>
        <v>1.7729999999999996E-2</v>
      </c>
      <c r="CB38">
        <f t="shared" si="37"/>
        <v>0</v>
      </c>
      <c r="CC38">
        <f t="shared" si="38"/>
        <v>1</v>
      </c>
      <c r="CD38">
        <f t="shared" si="39"/>
        <v>1</v>
      </c>
      <c r="CE38">
        <f t="shared" si="40"/>
        <v>59.10145817348517</v>
      </c>
      <c r="CL38">
        <f t="shared" si="41"/>
        <v>59.10145817348517</v>
      </c>
      <c r="CM38">
        <f t="shared" si="42"/>
        <v>0</v>
      </c>
      <c r="CT38">
        <f t="shared" si="43"/>
        <v>-0.73581869692911095</v>
      </c>
      <c r="CU38">
        <f t="shared" si="55"/>
        <v>0.47911304998207627</v>
      </c>
      <c r="CV38">
        <f t="shared" si="44"/>
        <v>0.43074999999999997</v>
      </c>
      <c r="CW38">
        <v>0.3</v>
      </c>
    </row>
    <row r="39" spans="1:101" x14ac:dyDescent="0.25">
      <c r="A39">
        <v>16</v>
      </c>
      <c r="B39">
        <v>34</v>
      </c>
      <c r="C39" t="str">
        <f t="shared" si="45"/>
        <v>SSTens</v>
      </c>
      <c r="D39">
        <v>0.76200000000000001</v>
      </c>
      <c r="E39">
        <f t="shared" si="10"/>
        <v>762</v>
      </c>
      <c r="F39">
        <v>1.2699999999999999E-2</v>
      </c>
      <c r="G39">
        <f t="shared" si="11"/>
        <v>12.7</v>
      </c>
      <c r="H39">
        <f t="shared" si="12"/>
        <v>60</v>
      </c>
      <c r="I39">
        <v>30</v>
      </c>
      <c r="J39" t="s">
        <v>73</v>
      </c>
      <c r="K39">
        <f t="shared" si="46"/>
        <v>8</v>
      </c>
      <c r="L39">
        <f t="shared" si="47"/>
        <v>12</v>
      </c>
      <c r="M39">
        <f t="shared" si="48"/>
        <v>414000</v>
      </c>
      <c r="N39">
        <f t="shared" si="49"/>
        <v>517000</v>
      </c>
      <c r="O39">
        <f t="shared" si="50"/>
        <v>2.5466769467238102</v>
      </c>
      <c r="S39" t="s">
        <v>71</v>
      </c>
      <c r="T39" t="s">
        <v>74</v>
      </c>
      <c r="U39">
        <f t="shared" si="51"/>
        <v>18</v>
      </c>
      <c r="V39">
        <f t="shared" si="52"/>
        <v>0</v>
      </c>
      <c r="W39">
        <f t="shared" si="53"/>
        <v>75</v>
      </c>
      <c r="X39">
        <f t="shared" si="54"/>
        <v>0.72</v>
      </c>
      <c r="Y39">
        <v>0.9</v>
      </c>
      <c r="Z39">
        <v>0</v>
      </c>
      <c r="AB39">
        <f t="shared" si="13"/>
        <v>129.2702545099128</v>
      </c>
      <c r="AC39">
        <f t="shared" si="14"/>
        <v>0</v>
      </c>
      <c r="AD39">
        <f t="shared" si="15"/>
        <v>1</v>
      </c>
      <c r="AK39">
        <v>1.5</v>
      </c>
      <c r="AL39">
        <f t="shared" si="16"/>
        <v>-1.23407</v>
      </c>
      <c r="AM39">
        <f t="shared" si="17"/>
        <v>0.33045059496458912</v>
      </c>
      <c r="AN39">
        <f t="shared" si="18"/>
        <v>0.22846999999999998</v>
      </c>
      <c r="AS39">
        <f t="shared" si="19"/>
        <v>1.72E-2</v>
      </c>
      <c r="AT39">
        <f t="shared" si="20"/>
        <v>0.25485999999999998</v>
      </c>
      <c r="AU39">
        <f t="shared" si="21"/>
        <v>0.21035000000000004</v>
      </c>
      <c r="AV39">
        <f t="shared" si="22"/>
        <v>-1.5399999999999999E-3</v>
      </c>
      <c r="AW39">
        <f t="shared" si="23"/>
        <v>7.5130000000000002E-2</v>
      </c>
      <c r="AY39">
        <f t="shared" si="24"/>
        <v>-0.14809673694969461</v>
      </c>
      <c r="BC39">
        <f t="shared" si="25"/>
        <v>0.40149000000000001</v>
      </c>
      <c r="BD39">
        <f t="shared" si="26"/>
        <v>0.22173999999999999</v>
      </c>
      <c r="BE39">
        <f t="shared" si="27"/>
        <v>1.95248</v>
      </c>
      <c r="BH39">
        <f t="shared" si="28"/>
        <v>-2.7699999999999999E-3</v>
      </c>
      <c r="BI39">
        <f t="shared" si="29"/>
        <v>1.7679999999999998E-2</v>
      </c>
      <c r="BJ39">
        <f t="shared" si="30"/>
        <v>-0.2792</v>
      </c>
      <c r="BK39">
        <f t="shared" si="31"/>
        <v>6.9999999999999999E-4</v>
      </c>
      <c r="BL39">
        <f t="shared" si="32"/>
        <v>0.83159000000000005</v>
      </c>
      <c r="BM39">
        <f t="shared" si="33"/>
        <v>-6.8999999999999964E-4</v>
      </c>
      <c r="BN39">
        <f t="shared" si="34"/>
        <v>1.081E-2</v>
      </c>
      <c r="BO39">
        <f t="shared" si="35"/>
        <v>0.29727999999999999</v>
      </c>
      <c r="BP39">
        <f t="shared" si="36"/>
        <v>8.5730000000000001E-2</v>
      </c>
      <c r="CB39">
        <f t="shared" si="37"/>
        <v>0</v>
      </c>
      <c r="CC39">
        <f t="shared" si="38"/>
        <v>0</v>
      </c>
      <c r="CD39">
        <f t="shared" si="39"/>
        <v>1</v>
      </c>
      <c r="CE39">
        <f t="shared" si="40"/>
        <v>-0.13675050892386795</v>
      </c>
      <c r="CL39">
        <f t="shared" si="41"/>
        <v>0</v>
      </c>
      <c r="CM39">
        <f t="shared" si="42"/>
        <v>-0.13675050892386795</v>
      </c>
      <c r="CT39">
        <f t="shared" si="43"/>
        <v>1.233670099194631</v>
      </c>
      <c r="CU39">
        <f t="shared" si="55"/>
        <v>3.4338088576140939</v>
      </c>
      <c r="CV39">
        <f t="shared" si="44"/>
        <v>0.50624999999999998</v>
      </c>
      <c r="CW39">
        <v>0.3</v>
      </c>
    </row>
    <row r="40" spans="1:101" x14ac:dyDescent="0.25">
      <c r="A40">
        <v>17</v>
      </c>
      <c r="B40">
        <v>30</v>
      </c>
      <c r="C40" t="str">
        <f t="shared" si="45"/>
        <v>SSTens</v>
      </c>
      <c r="D40">
        <v>0.86360000000000003</v>
      </c>
      <c r="E40">
        <f t="shared" si="10"/>
        <v>863.6</v>
      </c>
      <c r="F40">
        <v>1.1130000000000001E-2</v>
      </c>
      <c r="G40">
        <f t="shared" si="11"/>
        <v>11.13</v>
      </c>
      <c r="H40">
        <f t="shared" si="12"/>
        <v>77.592093441150041</v>
      </c>
      <c r="I40">
        <v>50</v>
      </c>
      <c r="J40" t="s">
        <v>75</v>
      </c>
      <c r="K40">
        <f t="shared" si="46"/>
        <v>14</v>
      </c>
      <c r="L40">
        <f t="shared" si="47"/>
        <v>15</v>
      </c>
      <c r="M40">
        <f t="shared" si="48"/>
        <v>483000</v>
      </c>
      <c r="N40">
        <f t="shared" si="49"/>
        <v>565000</v>
      </c>
      <c r="O40">
        <f t="shared" si="50"/>
        <v>2.8799444073326219</v>
      </c>
      <c r="S40" t="s">
        <v>71</v>
      </c>
      <c r="T40" t="s">
        <v>74</v>
      </c>
      <c r="U40">
        <f t="shared" si="51"/>
        <v>18</v>
      </c>
      <c r="V40">
        <f t="shared" si="52"/>
        <v>0</v>
      </c>
      <c r="W40">
        <f t="shared" si="53"/>
        <v>75</v>
      </c>
      <c r="X40">
        <f t="shared" si="54"/>
        <v>0.72</v>
      </c>
      <c r="Y40">
        <v>0.9</v>
      </c>
      <c r="Z40">
        <v>0</v>
      </c>
      <c r="AB40">
        <f t="shared" si="13"/>
        <v>146.50628844456784</v>
      </c>
      <c r="AC40">
        <f t="shared" si="14"/>
        <v>0</v>
      </c>
      <c r="AD40">
        <f t="shared" si="15"/>
        <v>1</v>
      </c>
      <c r="AK40">
        <v>1.5</v>
      </c>
      <c r="AL40">
        <f t="shared" si="16"/>
        <v>-1.01799</v>
      </c>
      <c r="AM40">
        <f t="shared" si="17"/>
        <v>0.26090941251699395</v>
      </c>
      <c r="AN40">
        <f t="shared" si="18"/>
        <v>0.17459</v>
      </c>
      <c r="AS40">
        <f t="shared" si="19"/>
        <v>2.9240000000000002E-2</v>
      </c>
      <c r="AT40">
        <f t="shared" si="20"/>
        <v>0.16758000000000001</v>
      </c>
      <c r="AU40">
        <f t="shared" si="21"/>
        <v>0.11291000000000001</v>
      </c>
      <c r="AV40">
        <f t="shared" si="22"/>
        <v>-1.5E-3</v>
      </c>
      <c r="AW40">
        <f t="shared" si="23"/>
        <v>6.6009999999999985E-2</v>
      </c>
      <c r="AY40">
        <f t="shared" si="24"/>
        <v>-5.900749565548391E-2</v>
      </c>
      <c r="BC40">
        <f t="shared" si="25"/>
        <v>0.48845</v>
      </c>
      <c r="BD40">
        <f t="shared" si="26"/>
        <v>0.21362</v>
      </c>
      <c r="BE40">
        <f t="shared" si="27"/>
        <v>2.0645199999999999</v>
      </c>
      <c r="BH40">
        <f t="shared" si="28"/>
        <v>-2.3700000000000001E-3</v>
      </c>
      <c r="BI40">
        <f t="shared" si="29"/>
        <v>2.2239999999999999E-2</v>
      </c>
      <c r="BJ40">
        <f t="shared" si="30"/>
        <v>-0.33663999999999999</v>
      </c>
      <c r="BK40">
        <f t="shared" si="31"/>
        <v>6.2E-4</v>
      </c>
      <c r="BL40">
        <f t="shared" si="32"/>
        <v>0.77855000000000008</v>
      </c>
      <c r="BM40">
        <f t="shared" si="33"/>
        <v>-3.13E-3</v>
      </c>
      <c r="BN40">
        <f t="shared" si="34"/>
        <v>3.9930000000000007E-2</v>
      </c>
      <c r="BO40">
        <f t="shared" si="35"/>
        <v>0.23807999999999999</v>
      </c>
      <c r="BP40">
        <f t="shared" si="36"/>
        <v>7.485E-2</v>
      </c>
      <c r="CB40">
        <f t="shared" si="37"/>
        <v>0</v>
      </c>
      <c r="CC40">
        <f t="shared" si="38"/>
        <v>0</v>
      </c>
      <c r="CD40">
        <f t="shared" si="39"/>
        <v>0</v>
      </c>
      <c r="CE40">
        <f t="shared" si="40"/>
        <v>0.31412415867276039</v>
      </c>
      <c r="CL40">
        <f t="shared" si="41"/>
        <v>0</v>
      </c>
      <c r="CM40">
        <f t="shared" si="42"/>
        <v>0.31412415867276039</v>
      </c>
      <c r="CT40">
        <f t="shared" si="43"/>
        <v>1.5639121331187127</v>
      </c>
      <c r="CU40">
        <f t="shared" si="55"/>
        <v>4.7774748512413208</v>
      </c>
      <c r="CV40">
        <f t="shared" si="44"/>
        <v>0.49417</v>
      </c>
      <c r="CW40">
        <v>0.3</v>
      </c>
    </row>
    <row r="41" spans="1:101" x14ac:dyDescent="0.25">
      <c r="A41">
        <v>18</v>
      </c>
      <c r="B41">
        <v>28</v>
      </c>
      <c r="C41" t="str">
        <f t="shared" si="45"/>
        <v>SSTens</v>
      </c>
      <c r="D41">
        <v>1.0668</v>
      </c>
      <c r="E41">
        <f t="shared" si="10"/>
        <v>1066.8</v>
      </c>
      <c r="F41">
        <v>1.2699999999999999E-2</v>
      </c>
      <c r="G41">
        <f t="shared" si="11"/>
        <v>12.7</v>
      </c>
      <c r="H41">
        <f t="shared" si="12"/>
        <v>84</v>
      </c>
      <c r="I41">
        <v>100</v>
      </c>
      <c r="J41" t="s">
        <v>77</v>
      </c>
      <c r="K41">
        <f t="shared" si="46"/>
        <v>15</v>
      </c>
      <c r="L41">
        <f t="shared" si="47"/>
        <v>20</v>
      </c>
      <c r="M41">
        <f t="shared" si="48"/>
        <v>552000</v>
      </c>
      <c r="N41">
        <f t="shared" si="49"/>
        <v>625000</v>
      </c>
      <c r="O41">
        <f t="shared" si="50"/>
        <v>2.9888368774026359</v>
      </c>
      <c r="S41" t="s">
        <v>71</v>
      </c>
      <c r="T41" t="s">
        <v>76</v>
      </c>
      <c r="U41">
        <f t="shared" si="51"/>
        <v>18.5</v>
      </c>
      <c r="V41">
        <f t="shared" si="52"/>
        <v>0</v>
      </c>
      <c r="W41">
        <f t="shared" si="53"/>
        <v>125</v>
      </c>
      <c r="X41">
        <f t="shared" si="54"/>
        <v>0.4</v>
      </c>
      <c r="Y41">
        <v>0.9</v>
      </c>
      <c r="Z41">
        <v>0</v>
      </c>
      <c r="AB41">
        <f t="shared" si="13"/>
        <v>167.57255214247957</v>
      </c>
      <c r="AC41">
        <f t="shared" si="14"/>
        <v>0</v>
      </c>
      <c r="AD41">
        <f t="shared" si="15"/>
        <v>1</v>
      </c>
      <c r="AK41">
        <v>1.5</v>
      </c>
      <c r="AL41">
        <f t="shared" si="16"/>
        <v>-0.90995000000000004</v>
      </c>
      <c r="AM41">
        <f t="shared" si="17"/>
        <v>0.25024830075794013</v>
      </c>
      <c r="AN41">
        <f t="shared" si="18"/>
        <v>0.14764999999999998</v>
      </c>
      <c r="AS41">
        <f t="shared" si="19"/>
        <v>3.526E-2</v>
      </c>
      <c r="AT41">
        <f t="shared" si="20"/>
        <v>0.12393999999999999</v>
      </c>
      <c r="AU41">
        <f t="shared" si="21"/>
        <v>6.4190000000000025E-2</v>
      </c>
      <c r="AV41">
        <f t="shared" si="22"/>
        <v>-1.48E-3</v>
      </c>
      <c r="AW41">
        <f t="shared" si="23"/>
        <v>6.1449999999999998E-2</v>
      </c>
      <c r="AY41">
        <f t="shared" si="24"/>
        <v>4.3996315441468314E-2</v>
      </c>
      <c r="BC41">
        <f t="shared" si="25"/>
        <v>0.53193000000000001</v>
      </c>
      <c r="BD41">
        <f t="shared" si="26"/>
        <v>0.20956000000000002</v>
      </c>
      <c r="BE41">
        <f t="shared" si="27"/>
        <v>2.1205400000000001</v>
      </c>
      <c r="BH41">
        <f t="shared" si="28"/>
        <v>-2.1700000000000001E-3</v>
      </c>
      <c r="BI41">
        <f t="shared" si="29"/>
        <v>2.4519999999999997E-2</v>
      </c>
      <c r="BJ41">
        <f t="shared" si="30"/>
        <v>-0.36536000000000002</v>
      </c>
      <c r="BK41">
        <f t="shared" si="31"/>
        <v>5.8E-4</v>
      </c>
      <c r="BL41">
        <f t="shared" si="32"/>
        <v>0.75203000000000009</v>
      </c>
      <c r="BM41">
        <f t="shared" si="33"/>
        <v>-4.3499999999999988E-3</v>
      </c>
      <c r="BN41">
        <f t="shared" si="34"/>
        <v>5.4489999999999997E-2</v>
      </c>
      <c r="BO41">
        <f t="shared" si="35"/>
        <v>0.20848</v>
      </c>
      <c r="BP41">
        <f t="shared" si="36"/>
        <v>6.9409999999999999E-2</v>
      </c>
      <c r="CB41">
        <f t="shared" si="37"/>
        <v>0</v>
      </c>
      <c r="CC41">
        <f t="shared" si="38"/>
        <v>0</v>
      </c>
      <c r="CD41">
        <f t="shared" si="39"/>
        <v>0</v>
      </c>
      <c r="CE41">
        <f t="shared" si="40"/>
        <v>0.28012591978410695</v>
      </c>
      <c r="CL41">
        <f t="shared" si="41"/>
        <v>0</v>
      </c>
      <c r="CM41">
        <f t="shared" si="42"/>
        <v>0.28012591978410695</v>
      </c>
      <c r="CT41">
        <f t="shared" si="43"/>
        <v>1.5617087463846138</v>
      </c>
      <c r="CU41">
        <f t="shared" si="55"/>
        <v>4.7669598151312735</v>
      </c>
      <c r="CV41">
        <f t="shared" si="44"/>
        <v>0.48813000000000001</v>
      </c>
      <c r="CW41">
        <v>0.3</v>
      </c>
    </row>
    <row r="42" spans="1:101" x14ac:dyDescent="0.25">
      <c r="A42">
        <v>19</v>
      </c>
      <c r="B42">
        <v>33</v>
      </c>
      <c r="C42" t="str">
        <f t="shared" si="45"/>
        <v>SSTens</v>
      </c>
      <c r="D42">
        <v>0.60960000000000003</v>
      </c>
      <c r="E42">
        <f t="shared" si="10"/>
        <v>609.6</v>
      </c>
      <c r="F42">
        <v>1.1130000000000001E-2</v>
      </c>
      <c r="G42">
        <f t="shared" si="11"/>
        <v>11.13</v>
      </c>
      <c r="H42">
        <f t="shared" si="12"/>
        <v>54.770889487870619</v>
      </c>
      <c r="I42">
        <v>150</v>
      </c>
      <c r="J42" t="s">
        <v>100</v>
      </c>
      <c r="K42">
        <f t="shared" si="46"/>
        <v>3</v>
      </c>
      <c r="L42">
        <f t="shared" si="47"/>
        <v>9</v>
      </c>
      <c r="M42">
        <f t="shared" si="48"/>
        <v>290000</v>
      </c>
      <c r="N42">
        <f t="shared" si="49"/>
        <v>414000</v>
      </c>
      <c r="O42">
        <f t="shared" si="50"/>
        <v>1.7363704307629526</v>
      </c>
      <c r="S42" t="s">
        <v>71</v>
      </c>
      <c r="T42" t="s">
        <v>76</v>
      </c>
      <c r="U42">
        <f t="shared" si="51"/>
        <v>18.5</v>
      </c>
      <c r="V42">
        <f t="shared" si="52"/>
        <v>0</v>
      </c>
      <c r="W42">
        <f t="shared" si="53"/>
        <v>125</v>
      </c>
      <c r="X42">
        <f t="shared" si="54"/>
        <v>0.4</v>
      </c>
      <c r="Y42">
        <v>0.9</v>
      </c>
      <c r="Z42">
        <v>0</v>
      </c>
      <c r="AB42">
        <f t="shared" si="13"/>
        <v>95.755744081416907</v>
      </c>
      <c r="AC42">
        <f t="shared" si="14"/>
        <v>0</v>
      </c>
      <c r="AD42">
        <f t="shared" si="15"/>
        <v>1</v>
      </c>
      <c r="AK42">
        <v>7.5</v>
      </c>
      <c r="AL42">
        <f t="shared" si="16"/>
        <v>-1.18005</v>
      </c>
      <c r="AM42">
        <f t="shared" si="17"/>
        <v>0.35645547837724323</v>
      </c>
      <c r="AN42">
        <f t="shared" si="18"/>
        <v>0.21499999999999997</v>
      </c>
      <c r="AS42">
        <f t="shared" si="19"/>
        <v>2.0209999999999999E-2</v>
      </c>
      <c r="AT42">
        <f t="shared" si="20"/>
        <v>0.23304000000000002</v>
      </c>
      <c r="AU42">
        <f t="shared" si="21"/>
        <v>0.18598999999999999</v>
      </c>
      <c r="AV42">
        <f t="shared" si="22"/>
        <v>-1.5299999999999999E-3</v>
      </c>
      <c r="AW42">
        <f t="shared" si="23"/>
        <v>7.2849999999999998E-2</v>
      </c>
      <c r="AY42">
        <f t="shared" si="24"/>
        <v>9.3927643011048279E-2</v>
      </c>
      <c r="BC42">
        <f t="shared" si="25"/>
        <v>0.42323</v>
      </c>
      <c r="BD42">
        <f t="shared" si="26"/>
        <v>0.21971000000000002</v>
      </c>
      <c r="BE42">
        <f t="shared" si="27"/>
        <v>1.9804900000000001</v>
      </c>
      <c r="BH42">
        <f t="shared" si="28"/>
        <v>-2.6700000000000001E-3</v>
      </c>
      <c r="BI42">
        <f t="shared" si="29"/>
        <v>1.882E-2</v>
      </c>
      <c r="BJ42">
        <f t="shared" si="30"/>
        <v>-0.29355999999999999</v>
      </c>
      <c r="BK42">
        <f t="shared" si="31"/>
        <v>6.8000000000000005E-4</v>
      </c>
      <c r="BL42">
        <f t="shared" si="32"/>
        <v>0.81833</v>
      </c>
      <c r="BM42">
        <f t="shared" si="33"/>
        <v>-1.2999999999999999E-3</v>
      </c>
      <c r="BN42">
        <f t="shared" si="34"/>
        <v>1.8089999999999995E-2</v>
      </c>
      <c r="BO42">
        <f t="shared" si="35"/>
        <v>0.28247999999999995</v>
      </c>
      <c r="BP42">
        <f t="shared" si="36"/>
        <v>8.301E-2</v>
      </c>
      <c r="CB42">
        <f t="shared" si="37"/>
        <v>0</v>
      </c>
      <c r="CC42">
        <f t="shared" si="38"/>
        <v>0</v>
      </c>
      <c r="CD42">
        <f t="shared" si="39"/>
        <v>0</v>
      </c>
      <c r="CE42">
        <f t="shared" si="40"/>
        <v>0.32698466691561862</v>
      </c>
      <c r="CL42">
        <f t="shared" si="41"/>
        <v>0</v>
      </c>
      <c r="CM42">
        <f t="shared" si="42"/>
        <v>0.32698466691561862</v>
      </c>
      <c r="CT42">
        <f t="shared" si="43"/>
        <v>1.9308935225105111</v>
      </c>
      <c r="CU42">
        <f t="shared" si="55"/>
        <v>6.8956689251199821</v>
      </c>
      <c r="CV42">
        <f t="shared" si="44"/>
        <v>0.50322999999999996</v>
      </c>
      <c r="CW42">
        <v>0.3</v>
      </c>
    </row>
    <row r="43" spans="1:101" x14ac:dyDescent="0.25">
      <c r="A43">
        <v>20</v>
      </c>
      <c r="B43">
        <v>56</v>
      </c>
      <c r="C43" t="str">
        <f t="shared" si="45"/>
        <v>SSTens</v>
      </c>
      <c r="D43">
        <v>0.60960000000000003</v>
      </c>
      <c r="E43">
        <f t="shared" si="10"/>
        <v>609.6</v>
      </c>
      <c r="F43">
        <v>1.1130000000000001E-2</v>
      </c>
      <c r="G43">
        <f t="shared" si="11"/>
        <v>11.13</v>
      </c>
      <c r="H43">
        <f t="shared" si="12"/>
        <v>54.770889487870619</v>
      </c>
      <c r="I43">
        <v>200</v>
      </c>
      <c r="J43" t="s">
        <v>101</v>
      </c>
      <c r="K43">
        <f t="shared" si="46"/>
        <v>3</v>
      </c>
      <c r="L43">
        <f t="shared" si="47"/>
        <v>8</v>
      </c>
      <c r="M43">
        <f t="shared" si="48"/>
        <v>241000</v>
      </c>
      <c r="N43">
        <f t="shared" si="49"/>
        <v>344000</v>
      </c>
      <c r="O43">
        <f t="shared" si="50"/>
        <v>1.1599577949833839</v>
      </c>
      <c r="S43" t="s">
        <v>71</v>
      </c>
      <c r="T43" t="s">
        <v>76</v>
      </c>
      <c r="U43">
        <f t="shared" si="51"/>
        <v>18.5</v>
      </c>
      <c r="V43">
        <f t="shared" si="52"/>
        <v>0</v>
      </c>
      <c r="W43">
        <f t="shared" si="53"/>
        <v>125</v>
      </c>
      <c r="X43">
        <f t="shared" si="54"/>
        <v>0.4</v>
      </c>
      <c r="Y43">
        <v>0.9</v>
      </c>
      <c r="Z43">
        <v>0</v>
      </c>
      <c r="AB43">
        <f t="shared" si="13"/>
        <v>95.755744081416907</v>
      </c>
      <c r="AC43">
        <f t="shared" si="14"/>
        <v>0</v>
      </c>
      <c r="AD43">
        <f t="shared" si="15"/>
        <v>1</v>
      </c>
      <c r="AK43">
        <v>3.5</v>
      </c>
      <c r="AL43">
        <f t="shared" si="16"/>
        <v>-1.7474400000000001</v>
      </c>
      <c r="AM43">
        <f t="shared" si="17"/>
        <v>-0.1037110168730242</v>
      </c>
      <c r="AN43">
        <f t="shared" si="18"/>
        <v>0.42990999999999996</v>
      </c>
      <c r="AS43">
        <f t="shared" si="19"/>
        <v>-0.25641000000000003</v>
      </c>
      <c r="AT43">
        <f t="shared" si="20"/>
        <v>1.1132600000000001</v>
      </c>
      <c r="AU43">
        <f t="shared" si="21"/>
        <v>1.18563</v>
      </c>
      <c r="AV43">
        <f t="shared" si="22"/>
        <v>-1.5299999999999999E-3</v>
      </c>
      <c r="AW43">
        <f t="shared" si="23"/>
        <v>0.11622000000000002</v>
      </c>
      <c r="AY43">
        <f t="shared" si="24"/>
        <v>0.51497060284998142</v>
      </c>
      <c r="BC43">
        <f t="shared" si="25"/>
        <v>-0.14435000000000009</v>
      </c>
      <c r="BD43">
        <f t="shared" si="26"/>
        <v>0.28390000000000004</v>
      </c>
      <c r="BE43">
        <f t="shared" si="27"/>
        <v>1.73184</v>
      </c>
      <c r="BH43">
        <f t="shared" si="28"/>
        <v>-4.1799999999999997E-3</v>
      </c>
      <c r="BI43">
        <f t="shared" si="29"/>
        <v>1.132E-2</v>
      </c>
      <c r="BJ43">
        <f t="shared" si="30"/>
        <v>-0.21403</v>
      </c>
      <c r="BK43">
        <f t="shared" si="31"/>
        <v>1.1800000000000001E-3</v>
      </c>
      <c r="BL43">
        <f t="shared" si="32"/>
        <v>0.88968999999999998</v>
      </c>
      <c r="BM43">
        <f t="shared" si="33"/>
        <v>-2.8699999999999993E-3</v>
      </c>
      <c r="BN43">
        <f t="shared" si="34"/>
        <v>-1.1699999999999988E-2</v>
      </c>
      <c r="BO43">
        <f t="shared" si="35"/>
        <v>0.35848999999999998</v>
      </c>
      <c r="BP43">
        <f t="shared" si="36"/>
        <v>0.12916</v>
      </c>
      <c r="CB43">
        <f t="shared" si="37"/>
        <v>0</v>
      </c>
      <c r="CC43">
        <f t="shared" si="38"/>
        <v>0</v>
      </c>
      <c r="CD43">
        <f t="shared" si="39"/>
        <v>0</v>
      </c>
      <c r="CE43">
        <f t="shared" si="40"/>
        <v>0.37478522846528672</v>
      </c>
      <c r="CL43">
        <f t="shared" si="41"/>
        <v>0</v>
      </c>
      <c r="CM43">
        <f t="shared" si="42"/>
        <v>0.37478522846528672</v>
      </c>
      <c r="CT43">
        <f t="shared" si="43"/>
        <v>1.2686604747345773</v>
      </c>
      <c r="CU43">
        <f t="shared" si="55"/>
        <v>3.5560859036244468</v>
      </c>
      <c r="CV43">
        <f t="shared" si="44"/>
        <v>0.58664000000000005</v>
      </c>
      <c r="CW43">
        <v>0.3</v>
      </c>
    </row>
    <row r="44" spans="1:101" x14ac:dyDescent="0.25">
      <c r="A44">
        <v>21</v>
      </c>
      <c r="B44">
        <v>87</v>
      </c>
      <c r="C44" t="str">
        <f t="shared" si="45"/>
        <v>SSTens</v>
      </c>
      <c r="D44">
        <v>0.20319999999999999</v>
      </c>
      <c r="E44">
        <f t="shared" si="10"/>
        <v>203.2</v>
      </c>
      <c r="F44">
        <v>5.5599999999999998E-3</v>
      </c>
      <c r="G44">
        <f t="shared" si="11"/>
        <v>5.56</v>
      </c>
      <c r="H44">
        <f t="shared" si="12"/>
        <v>36.546762589928058</v>
      </c>
      <c r="I44">
        <v>15</v>
      </c>
      <c r="J44" t="s">
        <v>70</v>
      </c>
      <c r="K44">
        <f>IF(J44="Grade-B",3,IF(J44="X-42",3,IF(J44="X-52",8,IF(J44="X-60",8,IF(J44="X-70",14,IF(J44="X-80",15,8))))))</f>
        <v>8</v>
      </c>
      <c r="L44">
        <f>IF(J44="Grade-B",8,IF(J44="X-42",9,IF(J44="X-52",10,IF(J44="X-60",12,IF(J44="X-70",15,IF(J44="X-80",20,10))))))</f>
        <v>10</v>
      </c>
      <c r="M44">
        <f>IF(J44="Grade-B",241,IF(J44="X-42",290,IF(J44="X-52",359,IF(J44="X-60",414,IF(J44="X-70",483,IF(J44="X-80",552,359))))))*1000</f>
        <v>359000</v>
      </c>
      <c r="N44">
        <f>IF(J44="Grade-B",344,IF(J44="X-42",414,IF(J44="X-52",455,IF(J44="X-60",517,IF(J44="X-70",565,IF(J44="X-80",625,M44*1.2/1000))))))*1000</f>
        <v>455000</v>
      </c>
      <c r="O44">
        <f>N44/200000000*(1+K44/(1+L44)*(N44/M44)^L44)*100</f>
        <v>1.9969902892117808</v>
      </c>
      <c r="S44" t="s">
        <v>78</v>
      </c>
      <c r="T44" t="s">
        <v>79</v>
      </c>
      <c r="U44">
        <f>IF(T44="medium dense",18,IF(T44="dense",18.5,IF(T44="very dense",19,IF(T44="soft",17.5,IF(T44="medium stiff",18,IF(T44="stiff",18.5,0))))))</f>
        <v>18</v>
      </c>
      <c r="V44">
        <f>IF(T44="medium dense",37,IF(T44="dense",40,IF(T44="very dense",43,0)))</f>
        <v>37</v>
      </c>
      <c r="W44">
        <f>IF(T44="soft",37.5,IF(T44="medium stiff",75,IF(T44="stiff",125,0)))</f>
        <v>0</v>
      </c>
      <c r="X44">
        <f>IF(T44="soft",1.1,IF(T44="medium stiff",0.72,IF(T44="stiff",0.4,0)))</f>
        <v>0</v>
      </c>
      <c r="Y44">
        <v>0.9</v>
      </c>
      <c r="Z44">
        <v>1</v>
      </c>
      <c r="AB44">
        <f t="shared" si="13"/>
        <v>7.5479720641402661</v>
      </c>
      <c r="AK44">
        <v>0.75</v>
      </c>
      <c r="AM44">
        <f t="shared" ref="AM44:AM63" si="56">0.00081*AB44+0.00314*LN(O44)</f>
        <v>8.2856107139974745E-3</v>
      </c>
      <c r="AX44">
        <f t="shared" ref="AX44:AX63" si="57">-0.15507+AM44*LN(H44)+0.05203*LN(I44)</f>
        <v>1.5646389426880153E-2</v>
      </c>
      <c r="AY44">
        <f t="shared" ref="AY44:AY63" si="58">IF(I44&lt;15,AX44+0.75,IF(I44&gt;50,AX44+1.5,AX44+1))</f>
        <v>1.0156463894268801</v>
      </c>
      <c r="BC44">
        <v>-2.307229</v>
      </c>
      <c r="BD44">
        <v>0.5852366</v>
      </c>
      <c r="BE44">
        <v>0.201322</v>
      </c>
      <c r="BQ44">
        <v>1.4274935</v>
      </c>
      <c r="BR44">
        <v>-7.1050000000000002E-3</v>
      </c>
      <c r="BS44">
        <v>5.1415999999999996E-3</v>
      </c>
      <c r="BT44">
        <v>-1.4290590000000001</v>
      </c>
      <c r="BU44">
        <v>4.9200300000000002E-2</v>
      </c>
      <c r="BV44">
        <v>0.14513599999999999</v>
      </c>
      <c r="BW44">
        <v>2.0170299999999999E-2</v>
      </c>
      <c r="BX44">
        <v>-1.032025</v>
      </c>
      <c r="BZ44">
        <f t="shared" ref="BZ44:BZ63" si="59">IF(AK44&lt;EXP(AX44),1,0)</f>
        <v>1</v>
      </c>
      <c r="CA44">
        <f t="shared" ref="CA44:CA63" si="60">IF(AK44&gt;EXP(AY44),1,0)</f>
        <v>0</v>
      </c>
      <c r="CB44">
        <f t="shared" si="37"/>
        <v>1</v>
      </c>
      <c r="CE44">
        <f t="shared" si="40"/>
        <v>-0.47373050310383741</v>
      </c>
      <c r="CL44">
        <f t="shared" ref="CL44:CL63" si="61">BZ44*(LN(AK44)-AX44)*(BQ44+BR44*AB44+BS44*H44)</f>
        <v>-0.47373050310383741</v>
      </c>
      <c r="CM44">
        <f t="shared" ref="CM44:CM63" si="62">CA44*(LN(AK44)-AY44)*(BT44+BU44*AB44+BV44*I44+BW44*H44+BX44*LN(O44))</f>
        <v>0</v>
      </c>
      <c r="CT44">
        <f t="shared" ref="CT44:CT63" si="63">BC44+CE44*AK44+BD44*LN(H44)+CB44*BE44*LN(AB44)</f>
        <v>-0.14957085894174343</v>
      </c>
      <c r="CU44">
        <f>MIN(EXP(CT44),100)</f>
        <v>0.86107742082312089</v>
      </c>
      <c r="CV44">
        <v>0.72299999999999998</v>
      </c>
      <c r="CW44">
        <v>0.3</v>
      </c>
    </row>
    <row r="45" spans="1:101" x14ac:dyDescent="0.25">
      <c r="A45">
        <v>22</v>
      </c>
      <c r="B45">
        <v>86</v>
      </c>
      <c r="C45" t="str">
        <f t="shared" si="45"/>
        <v>SSTens</v>
      </c>
      <c r="D45">
        <v>0.30480000000000002</v>
      </c>
      <c r="E45">
        <f t="shared" si="10"/>
        <v>304.8</v>
      </c>
      <c r="F45">
        <v>7.1399999999999996E-3</v>
      </c>
      <c r="G45">
        <f t="shared" si="11"/>
        <v>7.14</v>
      </c>
      <c r="H45">
        <f t="shared" si="12"/>
        <v>42.689075630252105</v>
      </c>
      <c r="I45">
        <v>30</v>
      </c>
      <c r="J45" t="s">
        <v>73</v>
      </c>
      <c r="K45">
        <f t="shared" ref="K45:K63" si="64">IF(J45="Grade-B",3,IF(J45="X-42",3,IF(J45="X-52",8,IF(J45="X-60",8,IF(J45="X-70",14,IF(J45="X-80",15,8))))))</f>
        <v>8</v>
      </c>
      <c r="L45">
        <f t="shared" ref="L45:L63" si="65">IF(J45="Grade-B",8,IF(J45="X-42",9,IF(J45="X-52",10,IF(J45="X-60",12,IF(J45="X-70",15,IF(J45="X-80",20,10))))))</f>
        <v>12</v>
      </c>
      <c r="M45">
        <f t="shared" ref="M45:M63" si="66">IF(J45="Grade-B",241,IF(J45="X-42",290,IF(J45="X-52",359,IF(J45="X-60",414,IF(J45="X-70",483,IF(J45="X-80",552,359))))))*1000</f>
        <v>414000</v>
      </c>
      <c r="N45">
        <f t="shared" ref="N45:N63" si="67">IF(J45="Grade-B",344,IF(J45="X-42",414,IF(J45="X-52",455,IF(J45="X-60",517,IF(J45="X-70",565,IF(J45="X-80",625,M45*1.2/1000))))))*1000</f>
        <v>517000</v>
      </c>
      <c r="O45">
        <f t="shared" ref="O45:O63" si="68">N45/200000000*(1+K45/(1+L45)*(N45/M45)^L45)*100</f>
        <v>2.5466769467238102</v>
      </c>
      <c r="S45" t="s">
        <v>78</v>
      </c>
      <c r="T45" t="s">
        <v>79</v>
      </c>
      <c r="U45">
        <f t="shared" ref="U45:U63" si="69">IF(T45="medium dense",18,IF(T45="dense",18.5,IF(T45="very dense",19,IF(T45="soft",17.5,IF(T45="medium stiff",18,IF(T45="stiff",18.5,0))))))</f>
        <v>18</v>
      </c>
      <c r="V45">
        <f t="shared" ref="V45:V63" si="70">IF(T45="medium dense",37,IF(T45="dense",40,IF(T45="very dense",43,0)))</f>
        <v>37</v>
      </c>
      <c r="W45">
        <f t="shared" ref="W45:W63" si="71">IF(T45="soft",37.5,IF(T45="medium stiff",75,IF(T45="stiff",125,0)))</f>
        <v>0</v>
      </c>
      <c r="X45">
        <f t="shared" ref="X45:X63" si="72">IF(T45="soft",1.1,IF(T45="medium stiff",0.72,IF(T45="stiff",0.4,0)))</f>
        <v>0</v>
      </c>
      <c r="Y45">
        <v>0.9</v>
      </c>
      <c r="Z45">
        <v>2</v>
      </c>
      <c r="AB45">
        <f t="shared" si="13"/>
        <v>22.6439161924208</v>
      </c>
      <c r="AK45">
        <v>0.75</v>
      </c>
      <c r="AM45">
        <f t="shared" si="56"/>
        <v>2.1276810678546657E-2</v>
      </c>
      <c r="AX45">
        <f t="shared" si="57"/>
        <v>0.10176623528675607</v>
      </c>
      <c r="AY45">
        <f t="shared" si="58"/>
        <v>1.1017662352867561</v>
      </c>
      <c r="BC45">
        <v>-2.307229</v>
      </c>
      <c r="BD45">
        <v>0.5852366</v>
      </c>
      <c r="BE45">
        <v>0.201322</v>
      </c>
      <c r="BQ45">
        <v>1.4274935</v>
      </c>
      <c r="BR45">
        <v>-7.1050000000000002E-3</v>
      </c>
      <c r="BS45">
        <v>5.1415999999999996E-3</v>
      </c>
      <c r="BT45">
        <v>-1.4290590000000001</v>
      </c>
      <c r="BU45">
        <v>4.9200300000000002E-2</v>
      </c>
      <c r="BV45">
        <v>0.14513599999999999</v>
      </c>
      <c r="BW45">
        <v>2.0170299999999999E-2</v>
      </c>
      <c r="BX45">
        <v>-1.032025</v>
      </c>
      <c r="BZ45">
        <f t="shared" si="59"/>
        <v>1</v>
      </c>
      <c r="CA45">
        <f t="shared" si="60"/>
        <v>0</v>
      </c>
      <c r="CB45">
        <f t="shared" si="37"/>
        <v>1</v>
      </c>
      <c r="CE45">
        <f t="shared" si="40"/>
        <v>-0.57875859530607965</v>
      </c>
      <c r="CL45">
        <f t="shared" si="61"/>
        <v>-0.57875859530607965</v>
      </c>
      <c r="CM45">
        <f t="shared" si="62"/>
        <v>0</v>
      </c>
      <c r="CT45">
        <f t="shared" si="63"/>
        <v>8.374965841113402E-2</v>
      </c>
      <c r="CU45">
        <f t="shared" ref="CU45:CU63" si="73">MIN(EXP(CT45),100)</f>
        <v>1.0873566491419566</v>
      </c>
      <c r="CV45">
        <v>0.72299999999999998</v>
      </c>
      <c r="CW45">
        <v>0.3</v>
      </c>
    </row>
    <row r="46" spans="1:101" x14ac:dyDescent="0.25">
      <c r="A46">
        <v>23</v>
      </c>
      <c r="B46">
        <v>85</v>
      </c>
      <c r="C46" t="str">
        <f t="shared" si="45"/>
        <v>SSTens</v>
      </c>
      <c r="D46">
        <v>0.40639999999999998</v>
      </c>
      <c r="E46">
        <f t="shared" si="10"/>
        <v>406.4</v>
      </c>
      <c r="F46">
        <v>9.5299999999999985E-3</v>
      </c>
      <c r="G46">
        <f t="shared" si="11"/>
        <v>9.5299999999999994</v>
      </c>
      <c r="H46">
        <f t="shared" si="12"/>
        <v>42.644281217208821</v>
      </c>
      <c r="I46">
        <v>50</v>
      </c>
      <c r="J46" t="s">
        <v>75</v>
      </c>
      <c r="K46">
        <f t="shared" si="64"/>
        <v>14</v>
      </c>
      <c r="L46">
        <f t="shared" si="65"/>
        <v>15</v>
      </c>
      <c r="M46">
        <f t="shared" si="66"/>
        <v>483000</v>
      </c>
      <c r="N46">
        <f t="shared" si="67"/>
        <v>565000</v>
      </c>
      <c r="O46">
        <f t="shared" si="68"/>
        <v>2.8799444073326219</v>
      </c>
      <c r="S46" t="s">
        <v>78</v>
      </c>
      <c r="T46" t="s">
        <v>79</v>
      </c>
      <c r="U46">
        <f t="shared" si="69"/>
        <v>18</v>
      </c>
      <c r="V46">
        <f t="shared" si="70"/>
        <v>37</v>
      </c>
      <c r="W46">
        <f t="shared" si="71"/>
        <v>0</v>
      </c>
      <c r="X46">
        <f t="shared" si="72"/>
        <v>0</v>
      </c>
      <c r="Y46">
        <v>0.9</v>
      </c>
      <c r="Z46">
        <v>1</v>
      </c>
      <c r="AB46">
        <f t="shared" si="13"/>
        <v>15.095944128280532</v>
      </c>
      <c r="AK46">
        <v>0.75</v>
      </c>
      <c r="AM46">
        <f t="shared" si="56"/>
        <v>1.5549115655496644E-2</v>
      </c>
      <c r="AX46">
        <f t="shared" si="57"/>
        <v>0.10682672704917365</v>
      </c>
      <c r="AY46">
        <f t="shared" si="58"/>
        <v>1.1068267270491736</v>
      </c>
      <c r="BC46">
        <v>-2.307229</v>
      </c>
      <c r="BD46">
        <v>0.5852366</v>
      </c>
      <c r="BE46">
        <v>0.201322</v>
      </c>
      <c r="BQ46">
        <v>1.4274935</v>
      </c>
      <c r="BR46">
        <v>-7.1050000000000002E-3</v>
      </c>
      <c r="BS46">
        <v>5.1415999999999996E-3</v>
      </c>
      <c r="BT46">
        <v>-1.4290590000000001</v>
      </c>
      <c r="BU46">
        <v>4.9200300000000002E-2</v>
      </c>
      <c r="BV46">
        <v>0.14513599999999999</v>
      </c>
      <c r="BW46">
        <v>2.0170299999999999E-2</v>
      </c>
      <c r="BX46">
        <v>-1.032025</v>
      </c>
      <c r="BZ46">
        <f t="shared" si="59"/>
        <v>1</v>
      </c>
      <c r="CA46">
        <f t="shared" si="60"/>
        <v>0</v>
      </c>
      <c r="CB46">
        <f t="shared" si="37"/>
        <v>1</v>
      </c>
      <c r="CE46">
        <f t="shared" si="40"/>
        <v>-0.60734497651924468</v>
      </c>
      <c r="CL46">
        <f t="shared" si="61"/>
        <v>-0.60734497651924468</v>
      </c>
      <c r="CM46">
        <f t="shared" si="62"/>
        <v>0</v>
      </c>
      <c r="CT46">
        <f t="shared" si="63"/>
        <v>-1.9933595677024019E-2</v>
      </c>
      <c r="CU46">
        <f t="shared" si="73"/>
        <v>0.9802637648971958</v>
      </c>
      <c r="CV46">
        <v>0.72299999999999998</v>
      </c>
      <c r="CW46">
        <v>0.3</v>
      </c>
    </row>
    <row r="47" spans="1:101" x14ac:dyDescent="0.25">
      <c r="A47">
        <v>24</v>
      </c>
      <c r="B47">
        <v>87</v>
      </c>
      <c r="C47" t="str">
        <f t="shared" si="45"/>
        <v>SSTens</v>
      </c>
      <c r="D47">
        <v>0.50800000000000001</v>
      </c>
      <c r="E47">
        <f t="shared" si="10"/>
        <v>508</v>
      </c>
      <c r="F47">
        <v>1.1130000000000001E-2</v>
      </c>
      <c r="G47">
        <f t="shared" si="11"/>
        <v>11.13</v>
      </c>
      <c r="H47">
        <f t="shared" si="12"/>
        <v>45.642407906558844</v>
      </c>
      <c r="I47">
        <v>100</v>
      </c>
      <c r="J47" t="s">
        <v>77</v>
      </c>
      <c r="K47">
        <f t="shared" si="64"/>
        <v>15</v>
      </c>
      <c r="L47">
        <f t="shared" si="65"/>
        <v>20</v>
      </c>
      <c r="M47">
        <f t="shared" si="66"/>
        <v>552000</v>
      </c>
      <c r="N47">
        <f t="shared" si="67"/>
        <v>625000</v>
      </c>
      <c r="O47">
        <f t="shared" si="68"/>
        <v>2.9888368774026359</v>
      </c>
      <c r="S47" t="s">
        <v>78</v>
      </c>
      <c r="T47" t="s">
        <v>79</v>
      </c>
      <c r="U47">
        <f t="shared" si="69"/>
        <v>18</v>
      </c>
      <c r="V47">
        <f t="shared" si="70"/>
        <v>37</v>
      </c>
      <c r="W47">
        <f t="shared" si="71"/>
        <v>0</v>
      </c>
      <c r="X47">
        <f t="shared" si="72"/>
        <v>0</v>
      </c>
      <c r="Y47">
        <v>0.9</v>
      </c>
      <c r="Z47">
        <v>2</v>
      </c>
      <c r="AB47">
        <f t="shared" si="13"/>
        <v>37.739860320701332</v>
      </c>
      <c r="AK47">
        <v>0.75</v>
      </c>
      <c r="AM47">
        <f t="shared" si="56"/>
        <v>3.4007223585342139E-2</v>
      </c>
      <c r="AX47">
        <f t="shared" si="57"/>
        <v>0.21447307251904243</v>
      </c>
      <c r="AY47">
        <f t="shared" si="58"/>
        <v>1.7144730725190425</v>
      </c>
      <c r="BC47">
        <v>-2.307229</v>
      </c>
      <c r="BD47">
        <v>0.5852366</v>
      </c>
      <c r="BE47">
        <v>0.201322</v>
      </c>
      <c r="BQ47">
        <v>1.4274935</v>
      </c>
      <c r="BR47">
        <v>-7.1050000000000002E-3</v>
      </c>
      <c r="BS47">
        <v>5.1415999999999996E-3</v>
      </c>
      <c r="BT47">
        <v>-1.4290590000000001</v>
      </c>
      <c r="BU47">
        <v>4.9200300000000002E-2</v>
      </c>
      <c r="BV47">
        <v>0.14513599999999999</v>
      </c>
      <c r="BW47">
        <v>2.0170299999999999E-2</v>
      </c>
      <c r="BX47">
        <v>-1.032025</v>
      </c>
      <c r="BZ47">
        <f t="shared" si="59"/>
        <v>1</v>
      </c>
      <c r="CA47">
        <f t="shared" si="60"/>
        <v>0</v>
      </c>
      <c r="CB47">
        <f t="shared" si="37"/>
        <v>1</v>
      </c>
      <c r="CE47">
        <f t="shared" si="40"/>
        <v>-0.70001772829745168</v>
      </c>
      <c r="CL47">
        <f t="shared" si="61"/>
        <v>-0.70001772829745168</v>
      </c>
      <c r="CM47">
        <f t="shared" si="62"/>
        <v>0</v>
      </c>
      <c r="CT47">
        <f t="shared" si="63"/>
        <v>0.13479469944695044</v>
      </c>
      <c r="CU47">
        <f t="shared" si="73"/>
        <v>1.1443018344350007</v>
      </c>
      <c r="CV47">
        <v>0.72299999999999998</v>
      </c>
      <c r="CW47">
        <v>0.3</v>
      </c>
    </row>
    <row r="48" spans="1:101" x14ac:dyDescent="0.25">
      <c r="A48">
        <v>25</v>
      </c>
      <c r="B48">
        <v>85</v>
      </c>
      <c r="C48" t="str">
        <f t="shared" si="45"/>
        <v>SSTens</v>
      </c>
      <c r="D48">
        <v>0.60960000000000003</v>
      </c>
      <c r="E48">
        <f t="shared" si="10"/>
        <v>609.6</v>
      </c>
      <c r="F48">
        <v>9.5299999999999985E-3</v>
      </c>
      <c r="G48">
        <f t="shared" si="11"/>
        <v>9.5299999999999994</v>
      </c>
      <c r="H48">
        <f t="shared" si="12"/>
        <v>63.966421825813235</v>
      </c>
      <c r="I48">
        <v>15</v>
      </c>
      <c r="J48" t="s">
        <v>70</v>
      </c>
      <c r="K48">
        <f t="shared" si="64"/>
        <v>8</v>
      </c>
      <c r="L48">
        <f t="shared" si="65"/>
        <v>10</v>
      </c>
      <c r="M48">
        <f t="shared" si="66"/>
        <v>359000</v>
      </c>
      <c r="N48">
        <f t="shared" si="67"/>
        <v>455000</v>
      </c>
      <c r="O48">
        <f t="shared" si="68"/>
        <v>1.9969902892117808</v>
      </c>
      <c r="S48" t="s">
        <v>78</v>
      </c>
      <c r="T48" t="s">
        <v>80</v>
      </c>
      <c r="U48">
        <f t="shared" si="69"/>
        <v>18.5</v>
      </c>
      <c r="V48">
        <f t="shared" si="70"/>
        <v>40</v>
      </c>
      <c r="W48">
        <f t="shared" si="71"/>
        <v>0</v>
      </c>
      <c r="X48">
        <f t="shared" si="72"/>
        <v>0</v>
      </c>
      <c r="Y48">
        <v>0.9</v>
      </c>
      <c r="Z48">
        <v>1</v>
      </c>
      <c r="AB48">
        <f t="shared" si="13"/>
        <v>25.741129539100392</v>
      </c>
      <c r="AK48">
        <v>2.75</v>
      </c>
      <c r="AM48">
        <f t="shared" si="56"/>
        <v>2.3022068268715178E-2</v>
      </c>
      <c r="AX48">
        <f t="shared" si="57"/>
        <v>8.1563860325678486E-2</v>
      </c>
      <c r="AY48">
        <f t="shared" si="58"/>
        <v>1.0815638603256785</v>
      </c>
      <c r="BC48">
        <v>-2.307229</v>
      </c>
      <c r="BD48">
        <v>0.5852366</v>
      </c>
      <c r="BE48">
        <v>0.201322</v>
      </c>
      <c r="BQ48">
        <v>1.4274935</v>
      </c>
      <c r="BR48">
        <v>-7.1050000000000002E-3</v>
      </c>
      <c r="BS48">
        <v>5.1415999999999996E-3</v>
      </c>
      <c r="BT48">
        <v>-1.4290590000000001</v>
      </c>
      <c r="BU48">
        <v>4.9200300000000002E-2</v>
      </c>
      <c r="BV48">
        <v>0.14513599999999999</v>
      </c>
      <c r="BW48">
        <v>2.0170299999999999E-2</v>
      </c>
      <c r="BX48">
        <v>-1.032025</v>
      </c>
      <c r="BZ48">
        <f t="shared" si="59"/>
        <v>0</v>
      </c>
      <c r="CA48">
        <f t="shared" si="60"/>
        <v>0</v>
      </c>
      <c r="CB48">
        <f t="shared" si="37"/>
        <v>1</v>
      </c>
      <c r="CE48">
        <f t="shared" si="40"/>
        <v>0</v>
      </c>
      <c r="CL48">
        <f t="shared" si="61"/>
        <v>0</v>
      </c>
      <c r="CM48">
        <f t="shared" si="62"/>
        <v>0</v>
      </c>
      <c r="CT48">
        <f t="shared" si="63"/>
        <v>0.78030645715329561</v>
      </c>
      <c r="CU48">
        <f t="shared" si="73"/>
        <v>2.1821408957267043</v>
      </c>
      <c r="CV48">
        <v>0.72299999999999998</v>
      </c>
      <c r="CW48">
        <v>0.3</v>
      </c>
    </row>
    <row r="49" spans="1:101" x14ac:dyDescent="0.25">
      <c r="A49">
        <v>26</v>
      </c>
      <c r="B49">
        <v>85</v>
      </c>
      <c r="C49" t="str">
        <f t="shared" si="45"/>
        <v>SSTens</v>
      </c>
      <c r="D49">
        <v>0.76200000000000001</v>
      </c>
      <c r="E49">
        <f t="shared" si="10"/>
        <v>762</v>
      </c>
      <c r="F49">
        <v>1.2699999999999999E-2</v>
      </c>
      <c r="G49">
        <f t="shared" si="11"/>
        <v>12.7</v>
      </c>
      <c r="H49">
        <f t="shared" si="12"/>
        <v>60</v>
      </c>
      <c r="I49">
        <v>30</v>
      </c>
      <c r="J49" t="s">
        <v>73</v>
      </c>
      <c r="K49">
        <f t="shared" si="64"/>
        <v>8</v>
      </c>
      <c r="L49">
        <f t="shared" si="65"/>
        <v>12</v>
      </c>
      <c r="M49">
        <f t="shared" si="66"/>
        <v>414000</v>
      </c>
      <c r="N49">
        <f t="shared" si="67"/>
        <v>517000</v>
      </c>
      <c r="O49">
        <f t="shared" si="68"/>
        <v>2.5466769467238102</v>
      </c>
      <c r="S49" t="s">
        <v>78</v>
      </c>
      <c r="T49" t="s">
        <v>80</v>
      </c>
      <c r="U49">
        <f t="shared" si="69"/>
        <v>18.5</v>
      </c>
      <c r="V49">
        <f t="shared" si="70"/>
        <v>40</v>
      </c>
      <c r="W49">
        <f t="shared" si="71"/>
        <v>0</v>
      </c>
      <c r="X49">
        <f t="shared" si="72"/>
        <v>0</v>
      </c>
      <c r="Y49">
        <v>0.9</v>
      </c>
      <c r="Z49">
        <v>2</v>
      </c>
      <c r="AB49">
        <f t="shared" si="13"/>
        <v>64.352823847750969</v>
      </c>
      <c r="AK49">
        <v>3.5</v>
      </c>
      <c r="AM49">
        <f t="shared" si="56"/>
        <v>5.5061025879364095E-2</v>
      </c>
      <c r="AX49">
        <f t="shared" si="57"/>
        <v>0.24733311166742666</v>
      </c>
      <c r="AY49">
        <f t="shared" si="58"/>
        <v>1.2473331116674267</v>
      </c>
      <c r="BC49">
        <v>-2.307229</v>
      </c>
      <c r="BD49">
        <v>0.5852366</v>
      </c>
      <c r="BE49">
        <v>0.201322</v>
      </c>
      <c r="BQ49">
        <v>1.4274935</v>
      </c>
      <c r="BR49">
        <v>-7.1050000000000002E-3</v>
      </c>
      <c r="BS49">
        <v>5.1415999999999996E-3</v>
      </c>
      <c r="BT49">
        <v>-1.4290590000000001</v>
      </c>
      <c r="BU49">
        <v>4.9200300000000002E-2</v>
      </c>
      <c r="BV49">
        <v>0.14513599999999999</v>
      </c>
      <c r="BW49">
        <v>2.0170299999999999E-2</v>
      </c>
      <c r="BX49">
        <v>-1.032025</v>
      </c>
      <c r="BZ49">
        <f t="shared" si="59"/>
        <v>0</v>
      </c>
      <c r="CA49">
        <f t="shared" si="60"/>
        <v>1</v>
      </c>
      <c r="CB49">
        <f t="shared" si="37"/>
        <v>1</v>
      </c>
      <c r="CE49">
        <f t="shared" si="40"/>
        <v>3.440732629929924E-2</v>
      </c>
      <c r="CL49">
        <f t="shared" si="61"/>
        <v>0</v>
      </c>
      <c r="CM49">
        <f t="shared" si="62"/>
        <v>3.440732629929924E-2</v>
      </c>
      <c r="CT49">
        <f t="shared" si="63"/>
        <v>1.0477384074527265</v>
      </c>
      <c r="CU49">
        <f t="shared" si="73"/>
        <v>2.8511955782437828</v>
      </c>
      <c r="CV49">
        <v>0.72299999999999998</v>
      </c>
      <c r="CW49">
        <v>0.3</v>
      </c>
    </row>
    <row r="50" spans="1:101" x14ac:dyDescent="0.25">
      <c r="A50">
        <v>27</v>
      </c>
      <c r="B50">
        <v>89</v>
      </c>
      <c r="C50" t="str">
        <f t="shared" si="45"/>
        <v>SSTens</v>
      </c>
      <c r="D50">
        <v>0.86360000000000003</v>
      </c>
      <c r="E50">
        <f t="shared" si="10"/>
        <v>863.6</v>
      </c>
      <c r="F50">
        <v>1.1130000000000001E-2</v>
      </c>
      <c r="G50">
        <f t="shared" si="11"/>
        <v>11.13</v>
      </c>
      <c r="H50">
        <f t="shared" si="12"/>
        <v>77.592093441150041</v>
      </c>
      <c r="I50">
        <v>50</v>
      </c>
      <c r="J50" t="s">
        <v>75</v>
      </c>
      <c r="K50">
        <f t="shared" si="64"/>
        <v>14</v>
      </c>
      <c r="L50">
        <f t="shared" si="65"/>
        <v>15</v>
      </c>
      <c r="M50">
        <f t="shared" si="66"/>
        <v>483000</v>
      </c>
      <c r="N50">
        <f t="shared" si="67"/>
        <v>565000</v>
      </c>
      <c r="O50">
        <f t="shared" si="68"/>
        <v>2.8799444073326219</v>
      </c>
      <c r="S50" t="s">
        <v>78</v>
      </c>
      <c r="T50" t="s">
        <v>80</v>
      </c>
      <c r="U50">
        <f t="shared" si="69"/>
        <v>18.5</v>
      </c>
      <c r="V50">
        <f t="shared" si="70"/>
        <v>40</v>
      </c>
      <c r="W50">
        <f t="shared" si="71"/>
        <v>0</v>
      </c>
      <c r="X50">
        <f t="shared" si="72"/>
        <v>0</v>
      </c>
      <c r="Y50">
        <v>0.9</v>
      </c>
      <c r="Z50">
        <v>1</v>
      </c>
      <c r="AB50">
        <f t="shared" si="13"/>
        <v>36.46660018039222</v>
      </c>
      <c r="AK50">
        <v>1.5</v>
      </c>
      <c r="AM50">
        <f t="shared" si="56"/>
        <v>3.2859347057707114E-2</v>
      </c>
      <c r="AX50">
        <f t="shared" si="57"/>
        <v>0.19145887314252977</v>
      </c>
      <c r="AY50">
        <f t="shared" si="58"/>
        <v>1.1914588731425297</v>
      </c>
      <c r="BC50">
        <v>-2.307229</v>
      </c>
      <c r="BD50">
        <v>0.5852366</v>
      </c>
      <c r="BE50">
        <v>0.201322</v>
      </c>
      <c r="BQ50">
        <v>1.4274935</v>
      </c>
      <c r="BR50">
        <v>-7.1050000000000002E-3</v>
      </c>
      <c r="BS50">
        <v>5.1415999999999996E-3</v>
      </c>
      <c r="BT50">
        <v>-1.4290590000000001</v>
      </c>
      <c r="BU50">
        <v>4.9200300000000002E-2</v>
      </c>
      <c r="BV50">
        <v>0.14513599999999999</v>
      </c>
      <c r="BW50">
        <v>2.0170299999999999E-2</v>
      </c>
      <c r="BX50">
        <v>-1.032025</v>
      </c>
      <c r="BZ50">
        <f t="shared" si="59"/>
        <v>0</v>
      </c>
      <c r="CA50">
        <f t="shared" si="60"/>
        <v>0</v>
      </c>
      <c r="CB50">
        <f t="shared" si="37"/>
        <v>1</v>
      </c>
      <c r="CE50">
        <f t="shared" si="40"/>
        <v>0</v>
      </c>
      <c r="CL50">
        <f t="shared" si="61"/>
        <v>0</v>
      </c>
      <c r="CM50">
        <f t="shared" si="62"/>
        <v>0</v>
      </c>
      <c r="CT50">
        <f t="shared" si="63"/>
        <v>0.963441685919739</v>
      </c>
      <c r="CU50">
        <f t="shared" si="73"/>
        <v>2.6207005981990892</v>
      </c>
      <c r="CV50">
        <v>0.72299999999999998</v>
      </c>
      <c r="CW50">
        <v>0.3</v>
      </c>
    </row>
    <row r="51" spans="1:101" x14ac:dyDescent="0.25">
      <c r="A51">
        <v>28</v>
      </c>
      <c r="B51">
        <v>89</v>
      </c>
      <c r="C51" t="str">
        <f t="shared" si="45"/>
        <v>SSTens</v>
      </c>
      <c r="D51">
        <v>1.0668</v>
      </c>
      <c r="E51">
        <f t="shared" si="10"/>
        <v>1066.8</v>
      </c>
      <c r="F51">
        <v>1.2699999999999999E-2</v>
      </c>
      <c r="G51">
        <f t="shared" si="11"/>
        <v>12.7</v>
      </c>
      <c r="H51">
        <f t="shared" si="12"/>
        <v>84</v>
      </c>
      <c r="I51">
        <v>100</v>
      </c>
      <c r="J51" t="s">
        <v>77</v>
      </c>
      <c r="K51">
        <f t="shared" si="64"/>
        <v>15</v>
      </c>
      <c r="L51">
        <f t="shared" si="65"/>
        <v>20</v>
      </c>
      <c r="M51">
        <f t="shared" si="66"/>
        <v>552000</v>
      </c>
      <c r="N51">
        <f t="shared" si="67"/>
        <v>625000</v>
      </c>
      <c r="O51">
        <f t="shared" si="68"/>
        <v>2.9888368774026359</v>
      </c>
      <c r="S51" t="s">
        <v>78</v>
      </c>
      <c r="T51" t="s">
        <v>81</v>
      </c>
      <c r="U51">
        <f t="shared" si="69"/>
        <v>19</v>
      </c>
      <c r="V51">
        <f t="shared" si="70"/>
        <v>43</v>
      </c>
      <c r="W51">
        <f t="shared" si="71"/>
        <v>0</v>
      </c>
      <c r="X51">
        <f t="shared" si="72"/>
        <v>0</v>
      </c>
      <c r="Y51">
        <v>0.9</v>
      </c>
      <c r="Z51">
        <v>2</v>
      </c>
      <c r="AB51">
        <f t="shared" si="13"/>
        <v>102.03070645435936</v>
      </c>
      <c r="AK51">
        <v>1.5</v>
      </c>
      <c r="AM51">
        <f t="shared" si="56"/>
        <v>8.6082808953605136E-2</v>
      </c>
      <c r="AX51">
        <f t="shared" si="57"/>
        <v>0.46595416078021362</v>
      </c>
      <c r="AY51">
        <f t="shared" si="58"/>
        <v>1.9659541607802136</v>
      </c>
      <c r="BC51">
        <v>-2.307229</v>
      </c>
      <c r="BD51">
        <v>0.5852366</v>
      </c>
      <c r="BE51">
        <v>0.201322</v>
      </c>
      <c r="BQ51">
        <v>1.4274935</v>
      </c>
      <c r="BR51">
        <v>-7.1050000000000002E-3</v>
      </c>
      <c r="BS51">
        <v>5.1415999999999996E-3</v>
      </c>
      <c r="BT51">
        <v>-1.4290590000000001</v>
      </c>
      <c r="BU51">
        <v>4.9200300000000002E-2</v>
      </c>
      <c r="BV51">
        <v>0.14513599999999999</v>
      </c>
      <c r="BW51">
        <v>2.0170299999999999E-2</v>
      </c>
      <c r="BX51">
        <v>-1.032025</v>
      </c>
      <c r="BZ51">
        <f t="shared" si="59"/>
        <v>1</v>
      </c>
      <c r="CA51">
        <f t="shared" si="60"/>
        <v>0</v>
      </c>
      <c r="CB51">
        <f t="shared" si="37"/>
        <v>1</v>
      </c>
      <c r="CE51">
        <f t="shared" si="40"/>
        <v>-6.8622394401109219E-2</v>
      </c>
      <c r="CL51">
        <f t="shared" si="61"/>
        <v>-6.8622394401109219E-2</v>
      </c>
      <c r="CM51">
        <f t="shared" si="62"/>
        <v>0</v>
      </c>
      <c r="CT51">
        <f t="shared" si="63"/>
        <v>1.1140829412852633</v>
      </c>
      <c r="CU51">
        <f t="shared" si="73"/>
        <v>3.0467728280542432</v>
      </c>
      <c r="CV51">
        <v>0.72299999999999998</v>
      </c>
      <c r="CW51">
        <v>0.3</v>
      </c>
    </row>
    <row r="52" spans="1:101" x14ac:dyDescent="0.25">
      <c r="A52">
        <v>29</v>
      </c>
      <c r="B52">
        <v>88</v>
      </c>
      <c r="C52" t="str">
        <f t="shared" si="45"/>
        <v>SSTens</v>
      </c>
      <c r="D52">
        <v>0.60960000000000003</v>
      </c>
      <c r="E52">
        <f t="shared" si="10"/>
        <v>609.6</v>
      </c>
      <c r="F52">
        <v>1.1130000000000001E-2</v>
      </c>
      <c r="G52">
        <f t="shared" si="11"/>
        <v>11.13</v>
      </c>
      <c r="H52">
        <f t="shared" si="12"/>
        <v>54.770889487870619</v>
      </c>
      <c r="I52">
        <v>150</v>
      </c>
      <c r="J52" t="s">
        <v>100</v>
      </c>
      <c r="K52">
        <f t="shared" si="64"/>
        <v>3</v>
      </c>
      <c r="L52">
        <f t="shared" si="65"/>
        <v>9</v>
      </c>
      <c r="M52">
        <f t="shared" si="66"/>
        <v>290000</v>
      </c>
      <c r="N52">
        <f t="shared" si="67"/>
        <v>414000</v>
      </c>
      <c r="O52">
        <f t="shared" si="68"/>
        <v>1.7363704307629526</v>
      </c>
      <c r="S52" t="s">
        <v>78</v>
      </c>
      <c r="T52" t="s">
        <v>81</v>
      </c>
      <c r="U52">
        <f t="shared" si="69"/>
        <v>19</v>
      </c>
      <c r="V52">
        <f t="shared" si="70"/>
        <v>43</v>
      </c>
      <c r="W52">
        <f t="shared" si="71"/>
        <v>0</v>
      </c>
      <c r="X52">
        <f t="shared" si="72"/>
        <v>0</v>
      </c>
      <c r="Y52">
        <v>0.9</v>
      </c>
      <c r="Z52">
        <v>1</v>
      </c>
      <c r="AB52">
        <f t="shared" si="13"/>
        <v>29.151630415531248</v>
      </c>
      <c r="AK52">
        <v>1.5</v>
      </c>
      <c r="AM52">
        <f t="shared" si="56"/>
        <v>2.5345463138869703E-2</v>
      </c>
      <c r="AX52">
        <f t="shared" si="57"/>
        <v>0.20709526914689702</v>
      </c>
      <c r="AY52">
        <f t="shared" si="58"/>
        <v>1.707095269146897</v>
      </c>
      <c r="BC52">
        <v>-2.307229</v>
      </c>
      <c r="BD52">
        <v>0.5852366</v>
      </c>
      <c r="BE52">
        <v>0.201322</v>
      </c>
      <c r="BQ52">
        <v>1.4274935</v>
      </c>
      <c r="BR52">
        <v>-7.1050000000000002E-3</v>
      </c>
      <c r="BS52">
        <v>5.1415999999999996E-3</v>
      </c>
      <c r="BT52">
        <v>-1.4290590000000001</v>
      </c>
      <c r="BU52">
        <v>4.9200300000000002E-2</v>
      </c>
      <c r="BV52">
        <v>0.14513599999999999</v>
      </c>
      <c r="BW52">
        <v>2.0170299999999999E-2</v>
      </c>
      <c r="BX52">
        <v>-1.032025</v>
      </c>
      <c r="BZ52">
        <f t="shared" si="59"/>
        <v>0</v>
      </c>
      <c r="CA52">
        <f t="shared" si="60"/>
        <v>0</v>
      </c>
      <c r="CB52">
        <f t="shared" si="37"/>
        <v>1</v>
      </c>
      <c r="CE52">
        <f t="shared" si="40"/>
        <v>0</v>
      </c>
      <c r="CL52">
        <f t="shared" si="61"/>
        <v>0</v>
      </c>
      <c r="CM52">
        <f t="shared" si="62"/>
        <v>0</v>
      </c>
      <c r="CT52">
        <f t="shared" si="63"/>
        <v>0.71452669621160059</v>
      </c>
      <c r="CU52">
        <f t="shared" si="73"/>
        <v>2.0432193898872777</v>
      </c>
      <c r="CV52">
        <v>0.72299999999999998</v>
      </c>
      <c r="CW52">
        <v>0.3</v>
      </c>
    </row>
    <row r="53" spans="1:101" x14ac:dyDescent="0.25">
      <c r="A53">
        <v>30</v>
      </c>
      <c r="B53">
        <v>89</v>
      </c>
      <c r="C53" t="str">
        <f t="shared" si="45"/>
        <v>SSTens</v>
      </c>
      <c r="D53">
        <v>0.60960000000000003</v>
      </c>
      <c r="E53">
        <f t="shared" si="10"/>
        <v>609.6</v>
      </c>
      <c r="F53">
        <v>1.1130000000000001E-2</v>
      </c>
      <c r="G53">
        <f t="shared" si="11"/>
        <v>11.13</v>
      </c>
      <c r="H53">
        <f t="shared" si="12"/>
        <v>54.770889487870619</v>
      </c>
      <c r="I53">
        <v>200</v>
      </c>
      <c r="J53" t="s">
        <v>101</v>
      </c>
      <c r="K53">
        <f t="shared" si="64"/>
        <v>3</v>
      </c>
      <c r="L53">
        <f t="shared" si="65"/>
        <v>8</v>
      </c>
      <c r="M53">
        <f t="shared" si="66"/>
        <v>241000</v>
      </c>
      <c r="N53">
        <f t="shared" si="67"/>
        <v>344000</v>
      </c>
      <c r="O53">
        <f t="shared" si="68"/>
        <v>1.1599577949833839</v>
      </c>
      <c r="S53" t="s">
        <v>78</v>
      </c>
      <c r="T53" t="s">
        <v>81</v>
      </c>
      <c r="U53">
        <f t="shared" si="69"/>
        <v>19</v>
      </c>
      <c r="V53">
        <f t="shared" si="70"/>
        <v>43</v>
      </c>
      <c r="W53">
        <f t="shared" si="71"/>
        <v>0</v>
      </c>
      <c r="X53">
        <f t="shared" si="72"/>
        <v>0</v>
      </c>
      <c r="Y53">
        <v>0.9</v>
      </c>
      <c r="Z53">
        <v>2</v>
      </c>
      <c r="AB53">
        <f t="shared" si="13"/>
        <v>58.303260831062495</v>
      </c>
      <c r="AK53">
        <v>2.75</v>
      </c>
      <c r="AM53">
        <f t="shared" si="56"/>
        <v>4.7691565842539682E-2</v>
      </c>
      <c r="AX53">
        <f t="shared" si="57"/>
        <v>0.31151836593386051</v>
      </c>
      <c r="AY53">
        <f t="shared" si="58"/>
        <v>1.8115183659338605</v>
      </c>
      <c r="BC53">
        <v>-2.307229</v>
      </c>
      <c r="BD53">
        <v>0.5852366</v>
      </c>
      <c r="BE53">
        <v>0.201322</v>
      </c>
      <c r="BQ53">
        <v>1.4274935</v>
      </c>
      <c r="BR53">
        <v>-7.1050000000000002E-3</v>
      </c>
      <c r="BS53">
        <v>5.1415999999999996E-3</v>
      </c>
      <c r="BT53">
        <v>-1.4290590000000001</v>
      </c>
      <c r="BU53">
        <v>4.9200300000000002E-2</v>
      </c>
      <c r="BV53">
        <v>0.14513599999999999</v>
      </c>
      <c r="BW53">
        <v>2.0170299999999999E-2</v>
      </c>
      <c r="BX53">
        <v>-1.032025</v>
      </c>
      <c r="BZ53">
        <f t="shared" si="59"/>
        <v>0</v>
      </c>
      <c r="CA53">
        <f t="shared" si="60"/>
        <v>0</v>
      </c>
      <c r="CB53">
        <f t="shared" si="37"/>
        <v>1</v>
      </c>
      <c r="CE53">
        <f t="shared" si="40"/>
        <v>0</v>
      </c>
      <c r="CL53">
        <f t="shared" si="61"/>
        <v>0</v>
      </c>
      <c r="CM53">
        <f t="shared" si="62"/>
        <v>0</v>
      </c>
      <c r="CT53">
        <f t="shared" si="63"/>
        <v>0.85407247289628985</v>
      </c>
      <c r="CU53">
        <f t="shared" si="73"/>
        <v>2.3491944282446702</v>
      </c>
      <c r="CV53">
        <v>0.72299999999999998</v>
      </c>
      <c r="CW53">
        <v>0.3</v>
      </c>
    </row>
    <row r="54" spans="1:101" x14ac:dyDescent="0.25">
      <c r="A54">
        <v>31</v>
      </c>
      <c r="B54">
        <v>85</v>
      </c>
      <c r="C54" t="str">
        <f t="shared" si="45"/>
        <v>SSTens</v>
      </c>
      <c r="D54">
        <v>0.20319999999999999</v>
      </c>
      <c r="E54">
        <f t="shared" si="10"/>
        <v>203.2</v>
      </c>
      <c r="F54">
        <v>5.5599999999999998E-3</v>
      </c>
      <c r="G54">
        <f t="shared" si="11"/>
        <v>5.56</v>
      </c>
      <c r="H54">
        <f t="shared" si="12"/>
        <v>36.546762589928058</v>
      </c>
      <c r="I54">
        <v>15</v>
      </c>
      <c r="J54" t="s">
        <v>70</v>
      </c>
      <c r="K54">
        <f t="shared" si="64"/>
        <v>8</v>
      </c>
      <c r="L54">
        <f t="shared" si="65"/>
        <v>10</v>
      </c>
      <c r="M54">
        <f t="shared" si="66"/>
        <v>359000</v>
      </c>
      <c r="N54">
        <f t="shared" si="67"/>
        <v>455000</v>
      </c>
      <c r="O54">
        <f t="shared" si="68"/>
        <v>1.9969902892117808</v>
      </c>
      <c r="S54" t="s">
        <v>71</v>
      </c>
      <c r="T54" t="s">
        <v>72</v>
      </c>
      <c r="U54">
        <f t="shared" si="69"/>
        <v>17.5</v>
      </c>
      <c r="V54">
        <f t="shared" si="70"/>
        <v>0</v>
      </c>
      <c r="W54">
        <f t="shared" si="71"/>
        <v>37.5</v>
      </c>
      <c r="X54">
        <f t="shared" si="72"/>
        <v>1.1000000000000001</v>
      </c>
      <c r="Y54">
        <v>0.9</v>
      </c>
      <c r="Z54">
        <v>0</v>
      </c>
      <c r="AB54">
        <f t="shared" si="13"/>
        <v>26.332829622389642</v>
      </c>
      <c r="AK54">
        <v>0.75</v>
      </c>
      <c r="AM54">
        <f t="shared" si="56"/>
        <v>2.350134533617947E-2</v>
      </c>
      <c r="AX54">
        <f t="shared" si="57"/>
        <v>7.0401619555061065E-2</v>
      </c>
      <c r="AY54">
        <f t="shared" si="58"/>
        <v>1.070401619555061</v>
      </c>
      <c r="BC54">
        <v>-2.307229</v>
      </c>
      <c r="BD54">
        <v>0.5852366</v>
      </c>
      <c r="BE54">
        <v>0.201322</v>
      </c>
      <c r="BQ54">
        <v>1.4274935</v>
      </c>
      <c r="BR54">
        <v>-7.1050000000000002E-3</v>
      </c>
      <c r="BS54">
        <v>5.1415999999999996E-3</v>
      </c>
      <c r="BT54">
        <v>-1.4290590000000001</v>
      </c>
      <c r="BU54">
        <v>4.9200300000000002E-2</v>
      </c>
      <c r="BV54">
        <v>0.14513599999999999</v>
      </c>
      <c r="BW54">
        <v>2.0170299999999999E-2</v>
      </c>
      <c r="BX54">
        <v>-1.032025</v>
      </c>
      <c r="BZ54">
        <f t="shared" si="59"/>
        <v>1</v>
      </c>
      <c r="CA54">
        <f t="shared" si="60"/>
        <v>0</v>
      </c>
      <c r="CB54">
        <f t="shared" si="37"/>
        <v>0</v>
      </c>
      <c r="CE54">
        <f t="shared" si="40"/>
        <v>-0.51145365159113909</v>
      </c>
      <c r="CL54">
        <f t="shared" si="61"/>
        <v>-0.51145365159113909</v>
      </c>
      <c r="CM54">
        <f t="shared" si="62"/>
        <v>0</v>
      </c>
      <c r="CT54">
        <f t="shared" si="63"/>
        <v>-0.58479113632895929</v>
      </c>
      <c r="CU54">
        <f t="shared" si="73"/>
        <v>0.55722223314007857</v>
      </c>
      <c r="CV54">
        <v>0.72299999999999998</v>
      </c>
      <c r="CW54">
        <v>0.3</v>
      </c>
    </row>
    <row r="55" spans="1:101" x14ac:dyDescent="0.25">
      <c r="A55">
        <v>32</v>
      </c>
      <c r="B55">
        <v>89</v>
      </c>
      <c r="C55" t="str">
        <f t="shared" si="45"/>
        <v>SSTens</v>
      </c>
      <c r="D55">
        <v>0.30480000000000002</v>
      </c>
      <c r="E55">
        <f t="shared" si="10"/>
        <v>304.8</v>
      </c>
      <c r="F55">
        <v>7.1399999999999996E-3</v>
      </c>
      <c r="G55">
        <f t="shared" si="11"/>
        <v>7.14</v>
      </c>
      <c r="H55">
        <f t="shared" si="12"/>
        <v>42.689075630252105</v>
      </c>
      <c r="I55">
        <v>30</v>
      </c>
      <c r="J55" t="s">
        <v>73</v>
      </c>
      <c r="K55">
        <f t="shared" si="64"/>
        <v>8</v>
      </c>
      <c r="L55">
        <f t="shared" si="65"/>
        <v>12</v>
      </c>
      <c r="M55">
        <f t="shared" si="66"/>
        <v>414000</v>
      </c>
      <c r="N55">
        <f t="shared" si="67"/>
        <v>517000</v>
      </c>
      <c r="O55">
        <f t="shared" si="68"/>
        <v>2.5466769467238102</v>
      </c>
      <c r="S55" t="s">
        <v>71</v>
      </c>
      <c r="T55" t="s">
        <v>72</v>
      </c>
      <c r="U55">
        <f t="shared" si="69"/>
        <v>17.5</v>
      </c>
      <c r="V55">
        <f t="shared" si="70"/>
        <v>0</v>
      </c>
      <c r="W55">
        <f t="shared" si="71"/>
        <v>37.5</v>
      </c>
      <c r="X55">
        <f t="shared" si="72"/>
        <v>1.1000000000000001</v>
      </c>
      <c r="Y55">
        <v>0.9</v>
      </c>
      <c r="Z55">
        <v>0</v>
      </c>
      <c r="AB55">
        <f t="shared" si="13"/>
        <v>39.499244433584465</v>
      </c>
      <c r="AK55">
        <v>0.75</v>
      </c>
      <c r="AM55">
        <f t="shared" si="56"/>
        <v>3.4929626553889231E-2</v>
      </c>
      <c r="AX55">
        <f t="shared" si="57"/>
        <v>0.15301812852026347</v>
      </c>
      <c r="AY55">
        <f t="shared" si="58"/>
        <v>1.1530181285202634</v>
      </c>
      <c r="BC55">
        <v>-2.307229</v>
      </c>
      <c r="BD55">
        <v>0.5852366</v>
      </c>
      <c r="BE55">
        <v>0.201322</v>
      </c>
      <c r="BQ55">
        <v>1.4274935</v>
      </c>
      <c r="BR55">
        <v>-7.1050000000000002E-3</v>
      </c>
      <c r="BS55">
        <v>5.1415999999999996E-3</v>
      </c>
      <c r="BT55">
        <v>-1.4290590000000001</v>
      </c>
      <c r="BU55">
        <v>4.9200300000000002E-2</v>
      </c>
      <c r="BV55">
        <v>0.14513599999999999</v>
      </c>
      <c r="BW55">
        <v>2.0170299999999999E-2</v>
      </c>
      <c r="BX55">
        <v>-1.032025</v>
      </c>
      <c r="BZ55">
        <f t="shared" si="59"/>
        <v>1</v>
      </c>
      <c r="CA55">
        <f t="shared" si="60"/>
        <v>0</v>
      </c>
      <c r="CB55">
        <f t="shared" si="37"/>
        <v>0</v>
      </c>
      <c r="CE55">
        <f t="shared" si="40"/>
        <v>-0.60214698226649055</v>
      </c>
      <c r="CL55">
        <f t="shared" si="61"/>
        <v>-0.60214698226649055</v>
      </c>
      <c r="CM55">
        <f t="shared" si="62"/>
        <v>0</v>
      </c>
      <c r="CT55">
        <f t="shared" si="63"/>
        <v>-0.56189437101015471</v>
      </c>
      <c r="CU55">
        <f t="shared" si="73"/>
        <v>0.57012800624291049</v>
      </c>
      <c r="CV55">
        <v>0.72299999999999998</v>
      </c>
      <c r="CW55">
        <v>0.3</v>
      </c>
    </row>
    <row r="56" spans="1:101" x14ac:dyDescent="0.25">
      <c r="A56">
        <v>33</v>
      </c>
      <c r="B56">
        <v>87</v>
      </c>
      <c r="C56" t="str">
        <f t="shared" si="45"/>
        <v>SSTens</v>
      </c>
      <c r="D56">
        <v>0.40639999999999998</v>
      </c>
      <c r="E56">
        <f t="shared" si="10"/>
        <v>406.4</v>
      </c>
      <c r="F56">
        <v>9.5299999999999985E-3</v>
      </c>
      <c r="G56">
        <f t="shared" si="11"/>
        <v>9.5299999999999994</v>
      </c>
      <c r="H56">
        <f t="shared" si="12"/>
        <v>42.644281217208821</v>
      </c>
      <c r="I56">
        <v>50</v>
      </c>
      <c r="J56" t="s">
        <v>75</v>
      </c>
      <c r="K56">
        <f t="shared" si="64"/>
        <v>14</v>
      </c>
      <c r="L56">
        <f t="shared" si="65"/>
        <v>15</v>
      </c>
      <c r="M56">
        <f t="shared" si="66"/>
        <v>483000</v>
      </c>
      <c r="N56">
        <f t="shared" si="67"/>
        <v>565000</v>
      </c>
      <c r="O56">
        <f t="shared" si="68"/>
        <v>2.8799444073326219</v>
      </c>
      <c r="S56" t="s">
        <v>71</v>
      </c>
      <c r="T56" t="s">
        <v>72</v>
      </c>
      <c r="U56">
        <f t="shared" si="69"/>
        <v>17.5</v>
      </c>
      <c r="V56">
        <f t="shared" si="70"/>
        <v>0</v>
      </c>
      <c r="W56">
        <f t="shared" si="71"/>
        <v>37.5</v>
      </c>
      <c r="X56">
        <f t="shared" si="72"/>
        <v>1.1000000000000001</v>
      </c>
      <c r="Y56">
        <v>0.9</v>
      </c>
      <c r="Z56">
        <v>0</v>
      </c>
      <c r="AB56">
        <f t="shared" si="13"/>
        <v>52.665659244779285</v>
      </c>
      <c r="AK56">
        <v>0.75</v>
      </c>
      <c r="AM56">
        <f t="shared" si="56"/>
        <v>4.5980584899860635E-2</v>
      </c>
      <c r="AX56">
        <f t="shared" si="57"/>
        <v>0.22103278039106702</v>
      </c>
      <c r="AY56">
        <f t="shared" si="58"/>
        <v>1.221032780391067</v>
      </c>
      <c r="BC56">
        <v>-2.307229</v>
      </c>
      <c r="BD56">
        <v>0.5852366</v>
      </c>
      <c r="BE56">
        <v>0.201322</v>
      </c>
      <c r="BQ56">
        <v>1.4274935</v>
      </c>
      <c r="BR56">
        <v>-7.1050000000000002E-3</v>
      </c>
      <c r="BS56">
        <v>5.1415999999999996E-3</v>
      </c>
      <c r="BT56">
        <v>-1.4290590000000001</v>
      </c>
      <c r="BU56">
        <v>4.9200300000000002E-2</v>
      </c>
      <c r="BV56">
        <v>0.14513599999999999</v>
      </c>
      <c r="BW56">
        <v>2.0170299999999999E-2</v>
      </c>
      <c r="BX56">
        <v>-1.032025</v>
      </c>
      <c r="BZ56">
        <f t="shared" si="59"/>
        <v>1</v>
      </c>
      <c r="CA56">
        <f t="shared" si="60"/>
        <v>0</v>
      </c>
      <c r="CB56">
        <f t="shared" si="37"/>
        <v>0</v>
      </c>
      <c r="CE56">
        <f t="shared" si="40"/>
        <v>-0.6473721201748025</v>
      </c>
      <c r="CL56">
        <f t="shared" si="61"/>
        <v>-0.6473721201748025</v>
      </c>
      <c r="CM56">
        <f t="shared" si="62"/>
        <v>0</v>
      </c>
      <c r="CT56">
        <f t="shared" si="63"/>
        <v>-0.59642764612512122</v>
      </c>
      <c r="CU56">
        <f t="shared" si="73"/>
        <v>0.55077569153060479</v>
      </c>
      <c r="CV56">
        <v>0.72299999999999998</v>
      </c>
      <c r="CW56">
        <v>0.3</v>
      </c>
    </row>
    <row r="57" spans="1:101" x14ac:dyDescent="0.25">
      <c r="A57">
        <v>34</v>
      </c>
      <c r="B57">
        <v>85</v>
      </c>
      <c r="C57" t="str">
        <f t="shared" si="45"/>
        <v>SSTens</v>
      </c>
      <c r="D57">
        <v>0.50800000000000001</v>
      </c>
      <c r="E57">
        <f t="shared" si="10"/>
        <v>508</v>
      </c>
      <c r="F57">
        <v>1.1130000000000001E-2</v>
      </c>
      <c r="G57">
        <f t="shared" si="11"/>
        <v>11.13</v>
      </c>
      <c r="H57">
        <f t="shared" si="12"/>
        <v>45.642407906558844</v>
      </c>
      <c r="I57">
        <v>100</v>
      </c>
      <c r="J57" t="s">
        <v>77</v>
      </c>
      <c r="K57">
        <f t="shared" si="64"/>
        <v>15</v>
      </c>
      <c r="L57">
        <f t="shared" si="65"/>
        <v>20</v>
      </c>
      <c r="M57">
        <f t="shared" si="66"/>
        <v>552000</v>
      </c>
      <c r="N57">
        <f t="shared" si="67"/>
        <v>625000</v>
      </c>
      <c r="O57">
        <f t="shared" si="68"/>
        <v>2.9888368774026359</v>
      </c>
      <c r="S57" t="s">
        <v>71</v>
      </c>
      <c r="T57" t="s">
        <v>72</v>
      </c>
      <c r="U57">
        <f t="shared" si="69"/>
        <v>17.5</v>
      </c>
      <c r="V57">
        <f t="shared" si="70"/>
        <v>0</v>
      </c>
      <c r="W57">
        <f t="shared" si="71"/>
        <v>37.5</v>
      </c>
      <c r="X57">
        <f t="shared" si="72"/>
        <v>1.1000000000000001</v>
      </c>
      <c r="Y57">
        <v>0.9</v>
      </c>
      <c r="Z57">
        <v>0</v>
      </c>
      <c r="AB57">
        <f t="shared" si="13"/>
        <v>65.832074055974104</v>
      </c>
      <c r="AK57">
        <v>0.75</v>
      </c>
      <c r="AM57">
        <f t="shared" si="56"/>
        <v>5.6761916710913081E-2</v>
      </c>
      <c r="AX57">
        <f t="shared" si="57"/>
        <v>0.30141505236031529</v>
      </c>
      <c r="AY57">
        <f t="shared" si="58"/>
        <v>1.8014150523603152</v>
      </c>
      <c r="BC57">
        <v>-2.307229</v>
      </c>
      <c r="BD57">
        <v>0.5852366</v>
      </c>
      <c r="BE57">
        <v>0.201322</v>
      </c>
      <c r="BQ57">
        <v>1.4274935</v>
      </c>
      <c r="BR57">
        <v>-7.1050000000000002E-3</v>
      </c>
      <c r="BS57">
        <v>5.1415999999999996E-3</v>
      </c>
      <c r="BT57">
        <v>-1.4290590000000001</v>
      </c>
      <c r="BU57">
        <v>4.9200300000000002E-2</v>
      </c>
      <c r="BV57">
        <v>0.14513599999999999</v>
      </c>
      <c r="BW57">
        <v>2.0170299999999999E-2</v>
      </c>
      <c r="BX57">
        <v>-1.032025</v>
      </c>
      <c r="BZ57">
        <f t="shared" si="59"/>
        <v>1</v>
      </c>
      <c r="CA57">
        <f t="shared" si="60"/>
        <v>0</v>
      </c>
      <c r="CB57">
        <f t="shared" si="37"/>
        <v>0</v>
      </c>
      <c r="CE57">
        <f t="shared" si="40"/>
        <v>-0.70363623213972026</v>
      </c>
      <c r="CL57">
        <f t="shared" si="61"/>
        <v>-0.70363623213972026</v>
      </c>
      <c r="CM57">
        <f t="shared" si="62"/>
        <v>0</v>
      </c>
      <c r="CT57">
        <f t="shared" si="63"/>
        <v>-0.59886235386354869</v>
      </c>
      <c r="CU57">
        <f t="shared" si="73"/>
        <v>0.54943634481282166</v>
      </c>
      <c r="CV57">
        <v>0.72299999999999998</v>
      </c>
      <c r="CW57">
        <v>0.3</v>
      </c>
    </row>
    <row r="58" spans="1:101" x14ac:dyDescent="0.25">
      <c r="A58">
        <v>35</v>
      </c>
      <c r="B58">
        <v>85</v>
      </c>
      <c r="C58" t="str">
        <f t="shared" si="45"/>
        <v>SSTens</v>
      </c>
      <c r="D58">
        <v>0.60960000000000003</v>
      </c>
      <c r="E58">
        <f t="shared" si="10"/>
        <v>609.6</v>
      </c>
      <c r="F58">
        <v>9.5299999999999985E-3</v>
      </c>
      <c r="G58">
        <f t="shared" si="11"/>
        <v>9.5299999999999994</v>
      </c>
      <c r="H58">
        <f t="shared" si="12"/>
        <v>63.966421825813235</v>
      </c>
      <c r="I58">
        <v>15</v>
      </c>
      <c r="J58" t="s">
        <v>70</v>
      </c>
      <c r="K58">
        <f t="shared" si="64"/>
        <v>8</v>
      </c>
      <c r="L58">
        <f t="shared" si="65"/>
        <v>10</v>
      </c>
      <c r="M58">
        <f t="shared" si="66"/>
        <v>359000</v>
      </c>
      <c r="N58">
        <f t="shared" si="67"/>
        <v>455000</v>
      </c>
      <c r="O58">
        <f t="shared" si="68"/>
        <v>1.9969902892117808</v>
      </c>
      <c r="S58" t="s">
        <v>71</v>
      </c>
      <c r="T58" t="s">
        <v>74</v>
      </c>
      <c r="U58">
        <f t="shared" si="69"/>
        <v>18</v>
      </c>
      <c r="V58">
        <f t="shared" si="70"/>
        <v>0</v>
      </c>
      <c r="W58">
        <f t="shared" si="71"/>
        <v>75</v>
      </c>
      <c r="X58">
        <f t="shared" si="72"/>
        <v>0.72</v>
      </c>
      <c r="Y58">
        <v>0.9</v>
      </c>
      <c r="Z58">
        <v>0</v>
      </c>
      <c r="AB58">
        <f t="shared" si="13"/>
        <v>103.41620360793024</v>
      </c>
      <c r="AK58">
        <v>0.75</v>
      </c>
      <c r="AM58">
        <f t="shared" si="56"/>
        <v>8.5938878264467361E-2</v>
      </c>
      <c r="AX58">
        <f t="shared" si="57"/>
        <v>0.34319449854464201</v>
      </c>
      <c r="AY58">
        <f t="shared" si="58"/>
        <v>1.343194498544642</v>
      </c>
      <c r="BC58">
        <v>-2.307229</v>
      </c>
      <c r="BD58">
        <v>0.5852366</v>
      </c>
      <c r="BE58">
        <v>0.201322</v>
      </c>
      <c r="BQ58">
        <v>1.4274935</v>
      </c>
      <c r="BR58">
        <v>-7.1050000000000002E-3</v>
      </c>
      <c r="BS58">
        <v>5.1415999999999996E-3</v>
      </c>
      <c r="BT58">
        <v>-1.4290590000000001</v>
      </c>
      <c r="BU58">
        <v>4.9200300000000002E-2</v>
      </c>
      <c r="BV58">
        <v>0.14513599999999999</v>
      </c>
      <c r="BW58">
        <v>2.0170299999999999E-2</v>
      </c>
      <c r="BX58">
        <v>-1.032025</v>
      </c>
      <c r="BZ58">
        <f t="shared" si="59"/>
        <v>1</v>
      </c>
      <c r="CA58">
        <f t="shared" si="60"/>
        <v>0</v>
      </c>
      <c r="CB58">
        <f t="shared" si="37"/>
        <v>0</v>
      </c>
      <c r="CE58">
        <f t="shared" si="40"/>
        <v>-0.64451052521418639</v>
      </c>
      <c r="CL58">
        <f t="shared" si="61"/>
        <v>-0.64451052521418639</v>
      </c>
      <c r="CM58">
        <f t="shared" si="62"/>
        <v>0</v>
      </c>
      <c r="CT58">
        <f t="shared" si="63"/>
        <v>-0.35698842861680458</v>
      </c>
      <c r="CU58">
        <f t="shared" si="73"/>
        <v>0.69978059511718083</v>
      </c>
      <c r="CV58">
        <v>0.72299999999999998</v>
      </c>
      <c r="CW58">
        <v>0.3</v>
      </c>
    </row>
    <row r="59" spans="1:101" x14ac:dyDescent="0.25">
      <c r="A59">
        <v>36</v>
      </c>
      <c r="B59">
        <v>89</v>
      </c>
      <c r="C59" t="str">
        <f t="shared" si="45"/>
        <v>SSTens</v>
      </c>
      <c r="D59">
        <v>0.76200000000000001</v>
      </c>
      <c r="E59">
        <f t="shared" si="10"/>
        <v>762</v>
      </c>
      <c r="F59">
        <v>1.2699999999999999E-2</v>
      </c>
      <c r="G59">
        <f t="shared" si="11"/>
        <v>12.7</v>
      </c>
      <c r="H59">
        <f t="shared" si="12"/>
        <v>60</v>
      </c>
      <c r="I59">
        <v>30</v>
      </c>
      <c r="J59" t="s">
        <v>73</v>
      </c>
      <c r="K59">
        <f t="shared" si="64"/>
        <v>8</v>
      </c>
      <c r="L59">
        <f t="shared" si="65"/>
        <v>12</v>
      </c>
      <c r="M59">
        <f t="shared" si="66"/>
        <v>414000</v>
      </c>
      <c r="N59">
        <f t="shared" si="67"/>
        <v>517000</v>
      </c>
      <c r="O59">
        <f t="shared" si="68"/>
        <v>2.5466769467238102</v>
      </c>
      <c r="S59" t="s">
        <v>71</v>
      </c>
      <c r="T59" t="s">
        <v>74</v>
      </c>
      <c r="U59">
        <f t="shared" si="69"/>
        <v>18</v>
      </c>
      <c r="V59">
        <f t="shared" si="70"/>
        <v>0</v>
      </c>
      <c r="W59">
        <f t="shared" si="71"/>
        <v>75</v>
      </c>
      <c r="X59">
        <f t="shared" si="72"/>
        <v>0.72</v>
      </c>
      <c r="Y59">
        <v>0.9</v>
      </c>
      <c r="Z59">
        <v>0</v>
      </c>
      <c r="AB59">
        <f t="shared" si="13"/>
        <v>129.2702545099128</v>
      </c>
      <c r="AK59">
        <v>1.5</v>
      </c>
      <c r="AM59">
        <f t="shared" si="56"/>
        <v>0.10764414471571518</v>
      </c>
      <c r="AX59">
        <f t="shared" si="57"/>
        <v>0.46262651833971924</v>
      </c>
      <c r="AY59">
        <f t="shared" si="58"/>
        <v>1.4626265183397194</v>
      </c>
      <c r="BC59">
        <v>-2.307229</v>
      </c>
      <c r="BD59">
        <v>0.5852366</v>
      </c>
      <c r="BE59">
        <v>0.201322</v>
      </c>
      <c r="BQ59">
        <v>1.4274935</v>
      </c>
      <c r="BR59">
        <v>-7.1050000000000002E-3</v>
      </c>
      <c r="BS59">
        <v>5.1415999999999996E-3</v>
      </c>
      <c r="BT59">
        <v>-1.4290590000000001</v>
      </c>
      <c r="BU59">
        <v>4.9200300000000002E-2</v>
      </c>
      <c r="BV59">
        <v>0.14513599999999999</v>
      </c>
      <c r="BW59">
        <v>2.0170299999999999E-2</v>
      </c>
      <c r="BX59">
        <v>-1.032025</v>
      </c>
      <c r="BZ59">
        <f t="shared" si="59"/>
        <v>1</v>
      </c>
      <c r="CA59">
        <f t="shared" si="60"/>
        <v>0</v>
      </c>
      <c r="CB59">
        <f t="shared" si="37"/>
        <v>0</v>
      </c>
      <c r="CE59">
        <f t="shared" si="40"/>
        <v>-4.6730844270599627E-2</v>
      </c>
      <c r="CL59">
        <f t="shared" si="61"/>
        <v>-4.6730844270599627E-2</v>
      </c>
      <c r="CM59">
        <f t="shared" si="62"/>
        <v>0</v>
      </c>
      <c r="CT59">
        <f t="shared" si="63"/>
        <v>1.8835024417450885E-2</v>
      </c>
      <c r="CU59">
        <f t="shared" si="73"/>
        <v>1.0190135223999457</v>
      </c>
      <c r="CV59">
        <v>0.72299999999999998</v>
      </c>
      <c r="CW59">
        <v>0.3</v>
      </c>
    </row>
    <row r="60" spans="1:101" x14ac:dyDescent="0.25">
      <c r="A60">
        <v>37</v>
      </c>
      <c r="B60">
        <v>87</v>
      </c>
      <c r="C60" t="str">
        <f t="shared" si="45"/>
        <v>SSTens</v>
      </c>
      <c r="D60">
        <v>0.86360000000000003</v>
      </c>
      <c r="E60">
        <f t="shared" si="10"/>
        <v>863.6</v>
      </c>
      <c r="F60">
        <v>1.1130000000000001E-2</v>
      </c>
      <c r="G60">
        <f t="shared" si="11"/>
        <v>11.13</v>
      </c>
      <c r="H60">
        <f t="shared" si="12"/>
        <v>77.592093441150041</v>
      </c>
      <c r="I60">
        <v>50</v>
      </c>
      <c r="J60" t="s">
        <v>75</v>
      </c>
      <c r="K60">
        <f t="shared" si="64"/>
        <v>14</v>
      </c>
      <c r="L60">
        <f t="shared" si="65"/>
        <v>15</v>
      </c>
      <c r="M60">
        <f t="shared" si="66"/>
        <v>483000</v>
      </c>
      <c r="N60">
        <f t="shared" si="67"/>
        <v>565000</v>
      </c>
      <c r="O60">
        <f t="shared" si="68"/>
        <v>2.8799444073326219</v>
      </c>
      <c r="S60" t="s">
        <v>71</v>
      </c>
      <c r="T60" t="s">
        <v>74</v>
      </c>
      <c r="U60">
        <f t="shared" si="69"/>
        <v>18</v>
      </c>
      <c r="V60">
        <f t="shared" si="70"/>
        <v>0</v>
      </c>
      <c r="W60">
        <f t="shared" si="71"/>
        <v>75</v>
      </c>
      <c r="X60">
        <f t="shared" si="72"/>
        <v>0.72</v>
      </c>
      <c r="Y60">
        <v>0.9</v>
      </c>
      <c r="Z60">
        <v>0</v>
      </c>
      <c r="AB60">
        <f t="shared" si="13"/>
        <v>146.50628844456784</v>
      </c>
      <c r="AK60">
        <v>1.5</v>
      </c>
      <c r="AM60">
        <f t="shared" si="56"/>
        <v>0.12199149455168937</v>
      </c>
      <c r="AX60">
        <f t="shared" si="57"/>
        <v>0.57931434087634726</v>
      </c>
      <c r="AY60">
        <f t="shared" si="58"/>
        <v>1.5793143408763473</v>
      </c>
      <c r="BC60">
        <v>-2.307229</v>
      </c>
      <c r="BD60">
        <v>0.5852366</v>
      </c>
      <c r="BE60">
        <v>0.201322</v>
      </c>
      <c r="BQ60">
        <v>1.4274935</v>
      </c>
      <c r="BR60">
        <v>-7.1050000000000002E-3</v>
      </c>
      <c r="BS60">
        <v>5.1415999999999996E-3</v>
      </c>
      <c r="BT60">
        <v>-1.4290590000000001</v>
      </c>
      <c r="BU60">
        <v>4.9200300000000002E-2</v>
      </c>
      <c r="BV60">
        <v>0.14513599999999999</v>
      </c>
      <c r="BW60">
        <v>2.0170299999999999E-2</v>
      </c>
      <c r="BX60">
        <v>-1.032025</v>
      </c>
      <c r="BZ60">
        <f t="shared" si="59"/>
        <v>1</v>
      </c>
      <c r="CA60">
        <f t="shared" si="60"/>
        <v>0</v>
      </c>
      <c r="CB60">
        <f t="shared" si="37"/>
        <v>0</v>
      </c>
      <c r="CE60">
        <f t="shared" si="40"/>
        <v>-0.13656097636803749</v>
      </c>
      <c r="CL60">
        <f t="shared" si="61"/>
        <v>-0.13656097636803749</v>
      </c>
      <c r="CM60">
        <f t="shared" si="62"/>
        <v>0</v>
      </c>
      <c r="CT60">
        <f t="shared" si="63"/>
        <v>3.4566429204756499E-2</v>
      </c>
      <c r="CU60">
        <f t="shared" si="73"/>
        <v>1.0351707916646211</v>
      </c>
      <c r="CV60">
        <v>0.72299999999999998</v>
      </c>
      <c r="CW60">
        <v>0.3</v>
      </c>
    </row>
    <row r="61" spans="1:101" x14ac:dyDescent="0.25">
      <c r="A61">
        <v>38</v>
      </c>
      <c r="B61">
        <v>89</v>
      </c>
      <c r="C61" t="str">
        <f t="shared" si="45"/>
        <v>SSTens</v>
      </c>
      <c r="D61">
        <v>1.0668</v>
      </c>
      <c r="E61">
        <f t="shared" si="10"/>
        <v>1066.8</v>
      </c>
      <c r="F61">
        <v>1.2699999999999999E-2</v>
      </c>
      <c r="G61">
        <f t="shared" si="11"/>
        <v>12.7</v>
      </c>
      <c r="H61">
        <f t="shared" si="12"/>
        <v>84</v>
      </c>
      <c r="I61">
        <v>100</v>
      </c>
      <c r="J61" t="s">
        <v>77</v>
      </c>
      <c r="K61">
        <f t="shared" si="64"/>
        <v>15</v>
      </c>
      <c r="L61">
        <f t="shared" si="65"/>
        <v>20</v>
      </c>
      <c r="M61">
        <f t="shared" si="66"/>
        <v>552000</v>
      </c>
      <c r="N61">
        <f t="shared" si="67"/>
        <v>625000</v>
      </c>
      <c r="O61">
        <f t="shared" si="68"/>
        <v>2.9888368774026359</v>
      </c>
      <c r="S61" t="s">
        <v>71</v>
      </c>
      <c r="T61" t="s">
        <v>76</v>
      </c>
      <c r="U61">
        <f t="shared" si="69"/>
        <v>18.5</v>
      </c>
      <c r="V61">
        <f t="shared" si="70"/>
        <v>0</v>
      </c>
      <c r="W61">
        <f t="shared" si="71"/>
        <v>125</v>
      </c>
      <c r="X61">
        <f t="shared" si="72"/>
        <v>0.4</v>
      </c>
      <c r="Y61">
        <v>0.9</v>
      </c>
      <c r="Z61">
        <v>0</v>
      </c>
      <c r="AB61">
        <f t="shared" si="13"/>
        <v>167.57255214247957</v>
      </c>
      <c r="AK61">
        <v>1.5</v>
      </c>
      <c r="AM61">
        <f t="shared" si="56"/>
        <v>0.13917170396098252</v>
      </c>
      <c r="AX61">
        <f t="shared" si="57"/>
        <v>0.70118132861093019</v>
      </c>
      <c r="AY61">
        <f t="shared" si="58"/>
        <v>2.2011813286109301</v>
      </c>
      <c r="BC61">
        <v>-2.307229</v>
      </c>
      <c r="BD61">
        <v>0.5852366</v>
      </c>
      <c r="BE61">
        <v>0.201322</v>
      </c>
      <c r="BQ61">
        <v>1.4274935</v>
      </c>
      <c r="BR61">
        <v>-7.1050000000000002E-3</v>
      </c>
      <c r="BS61">
        <v>5.1415999999999996E-3</v>
      </c>
      <c r="BT61">
        <v>-1.4290590000000001</v>
      </c>
      <c r="BU61">
        <v>4.9200300000000002E-2</v>
      </c>
      <c r="BV61">
        <v>0.14513599999999999</v>
      </c>
      <c r="BW61">
        <v>2.0170299999999999E-2</v>
      </c>
      <c r="BX61">
        <v>-1.032025</v>
      </c>
      <c r="BZ61">
        <f t="shared" si="59"/>
        <v>1</v>
      </c>
      <c r="CA61">
        <f t="shared" si="60"/>
        <v>0</v>
      </c>
      <c r="CB61">
        <f t="shared" si="37"/>
        <v>0</v>
      </c>
      <c r="CE61">
        <f t="shared" si="40"/>
        <v>-0.19777054799268215</v>
      </c>
      <c r="CL61">
        <f t="shared" si="61"/>
        <v>-0.19777054799268215</v>
      </c>
      <c r="CM61">
        <f t="shared" si="62"/>
        <v>0</v>
      </c>
      <c r="CT61">
        <f t="shared" si="63"/>
        <v>-1.0808663411078889E-2</v>
      </c>
      <c r="CU61">
        <f t="shared" si="73"/>
        <v>0.98924954030109691</v>
      </c>
      <c r="CV61">
        <v>0.72299999999999998</v>
      </c>
      <c r="CW61">
        <v>0.3</v>
      </c>
    </row>
    <row r="62" spans="1:101" x14ac:dyDescent="0.25">
      <c r="A62">
        <v>39</v>
      </c>
      <c r="B62">
        <v>85</v>
      </c>
      <c r="C62" t="str">
        <f t="shared" si="45"/>
        <v>SSTens</v>
      </c>
      <c r="D62">
        <v>0.60960000000000003</v>
      </c>
      <c r="E62">
        <f t="shared" si="10"/>
        <v>609.6</v>
      </c>
      <c r="F62">
        <v>1.1130000000000001E-2</v>
      </c>
      <c r="G62">
        <f t="shared" si="11"/>
        <v>11.13</v>
      </c>
      <c r="H62">
        <f t="shared" si="12"/>
        <v>54.770889487870619</v>
      </c>
      <c r="I62">
        <v>150</v>
      </c>
      <c r="J62" t="s">
        <v>100</v>
      </c>
      <c r="K62">
        <f t="shared" si="64"/>
        <v>3</v>
      </c>
      <c r="L62">
        <f t="shared" si="65"/>
        <v>9</v>
      </c>
      <c r="M62">
        <f t="shared" si="66"/>
        <v>290000</v>
      </c>
      <c r="N62">
        <f t="shared" si="67"/>
        <v>414000</v>
      </c>
      <c r="O62">
        <f t="shared" si="68"/>
        <v>1.7363704307629526</v>
      </c>
      <c r="S62" t="s">
        <v>71</v>
      </c>
      <c r="T62" t="s">
        <v>76</v>
      </c>
      <c r="U62">
        <f t="shared" si="69"/>
        <v>18.5</v>
      </c>
      <c r="V62">
        <f t="shared" si="70"/>
        <v>0</v>
      </c>
      <c r="W62">
        <f t="shared" si="71"/>
        <v>125</v>
      </c>
      <c r="X62">
        <f t="shared" si="72"/>
        <v>0.4</v>
      </c>
      <c r="Y62">
        <v>0.9</v>
      </c>
      <c r="Z62">
        <v>0</v>
      </c>
      <c r="AB62">
        <f t="shared" si="13"/>
        <v>95.755744081416907</v>
      </c>
      <c r="AK62">
        <v>7.5</v>
      </c>
      <c r="AM62">
        <f t="shared" si="56"/>
        <v>7.9294795208237082E-2</v>
      </c>
      <c r="AX62">
        <f t="shared" si="57"/>
        <v>0.42306301468311602</v>
      </c>
      <c r="AY62">
        <f t="shared" si="58"/>
        <v>1.923063014683116</v>
      </c>
      <c r="BC62">
        <v>-2.307229</v>
      </c>
      <c r="BD62">
        <v>0.5852366</v>
      </c>
      <c r="BE62">
        <v>0.201322</v>
      </c>
      <c r="BQ62">
        <v>1.4274935</v>
      </c>
      <c r="BR62">
        <v>-7.1050000000000002E-3</v>
      </c>
      <c r="BS62">
        <v>5.1415999999999996E-3</v>
      </c>
      <c r="BT62">
        <v>-1.4290590000000001</v>
      </c>
      <c r="BU62">
        <v>4.9200300000000002E-2</v>
      </c>
      <c r="BV62">
        <v>0.14513599999999999</v>
      </c>
      <c r="BW62">
        <v>2.0170299999999999E-2</v>
      </c>
      <c r="BX62">
        <v>-1.032025</v>
      </c>
      <c r="BZ62">
        <f t="shared" si="59"/>
        <v>0</v>
      </c>
      <c r="CA62">
        <f t="shared" si="60"/>
        <v>1</v>
      </c>
      <c r="CB62">
        <f t="shared" si="37"/>
        <v>0</v>
      </c>
      <c r="CE62">
        <f t="shared" si="40"/>
        <v>2.3499863959925666</v>
      </c>
      <c r="CL62">
        <f t="shared" si="61"/>
        <v>0</v>
      </c>
      <c r="CM62">
        <f t="shared" si="62"/>
        <v>2.3499863959925666</v>
      </c>
      <c r="CT62">
        <f t="shared" si="63"/>
        <v>17.660464038190291</v>
      </c>
      <c r="CU62">
        <f t="shared" si="73"/>
        <v>100</v>
      </c>
      <c r="CV62">
        <v>0.72299999999999998</v>
      </c>
      <c r="CW62">
        <v>0.3</v>
      </c>
    </row>
    <row r="63" spans="1:101" x14ac:dyDescent="0.25">
      <c r="A63">
        <v>40</v>
      </c>
      <c r="B63">
        <v>87</v>
      </c>
      <c r="C63" t="str">
        <f t="shared" si="45"/>
        <v>SSTens</v>
      </c>
      <c r="D63">
        <v>0.60960000000000003</v>
      </c>
      <c r="E63">
        <f t="shared" si="10"/>
        <v>609.6</v>
      </c>
      <c r="F63">
        <v>1.1130000000000001E-2</v>
      </c>
      <c r="G63">
        <f t="shared" si="11"/>
        <v>11.13</v>
      </c>
      <c r="H63">
        <f t="shared" si="12"/>
        <v>54.770889487870619</v>
      </c>
      <c r="I63">
        <v>200</v>
      </c>
      <c r="J63" t="s">
        <v>101</v>
      </c>
      <c r="K63">
        <f t="shared" si="64"/>
        <v>3</v>
      </c>
      <c r="L63">
        <f t="shared" si="65"/>
        <v>8</v>
      </c>
      <c r="M63">
        <f t="shared" si="66"/>
        <v>241000</v>
      </c>
      <c r="N63">
        <f t="shared" si="67"/>
        <v>344000</v>
      </c>
      <c r="O63">
        <f t="shared" si="68"/>
        <v>1.1599577949833839</v>
      </c>
      <c r="S63" t="s">
        <v>71</v>
      </c>
      <c r="T63" t="s">
        <v>76</v>
      </c>
      <c r="U63">
        <f t="shared" si="69"/>
        <v>18.5</v>
      </c>
      <c r="V63">
        <f t="shared" si="70"/>
        <v>0</v>
      </c>
      <c r="W63">
        <f t="shared" si="71"/>
        <v>125</v>
      </c>
      <c r="X63">
        <f t="shared" si="72"/>
        <v>0.4</v>
      </c>
      <c r="Y63">
        <v>0.9</v>
      </c>
      <c r="Z63">
        <v>0</v>
      </c>
      <c r="AB63">
        <f t="shared" si="13"/>
        <v>95.755744081416907</v>
      </c>
      <c r="AK63">
        <v>3.5</v>
      </c>
      <c r="AM63">
        <f t="shared" si="56"/>
        <v>7.8028077275326749E-2</v>
      </c>
      <c r="AX63">
        <f t="shared" si="57"/>
        <v>0.43296023982302467</v>
      </c>
      <c r="AY63">
        <f t="shared" si="58"/>
        <v>1.9329602398230246</v>
      </c>
      <c r="BC63">
        <v>-2.307229</v>
      </c>
      <c r="BD63">
        <v>0.5852366</v>
      </c>
      <c r="BE63">
        <v>0.201322</v>
      </c>
      <c r="BQ63">
        <v>1.4274935</v>
      </c>
      <c r="BR63">
        <v>-7.1050000000000002E-3</v>
      </c>
      <c r="BS63">
        <v>5.1415999999999996E-3</v>
      </c>
      <c r="BT63">
        <v>-1.4290590000000001</v>
      </c>
      <c r="BU63">
        <v>4.9200300000000002E-2</v>
      </c>
      <c r="BV63">
        <v>0.14513599999999999</v>
      </c>
      <c r="BW63">
        <v>2.0170299999999999E-2</v>
      </c>
      <c r="BX63">
        <v>-1.032025</v>
      </c>
      <c r="BZ63">
        <f t="shared" si="59"/>
        <v>0</v>
      </c>
      <c r="CA63">
        <f t="shared" si="60"/>
        <v>0</v>
      </c>
      <c r="CB63">
        <f t="shared" si="37"/>
        <v>0</v>
      </c>
      <c r="CE63">
        <f t="shared" si="40"/>
        <v>0</v>
      </c>
      <c r="CL63">
        <f t="shared" si="61"/>
        <v>0</v>
      </c>
      <c r="CM63">
        <f t="shared" si="62"/>
        <v>0</v>
      </c>
      <c r="CT63">
        <f t="shared" si="63"/>
        <v>3.5566068246042359E-2</v>
      </c>
      <c r="CU63">
        <f t="shared" si="73"/>
        <v>1.0362061061865622</v>
      </c>
      <c r="CV63">
        <v>0.72299999999999998</v>
      </c>
      <c r="CW63">
        <v>0.3</v>
      </c>
    </row>
    <row r="65" spans="1:114" x14ac:dyDescent="0.25">
      <c r="D65" t="s">
        <v>1</v>
      </c>
      <c r="E65" t="s">
        <v>2</v>
      </c>
      <c r="F65" t="s">
        <v>3</v>
      </c>
      <c r="G65" t="s">
        <v>4</v>
      </c>
      <c r="H65" t="s">
        <v>5</v>
      </c>
      <c r="I65" t="s">
        <v>6</v>
      </c>
      <c r="R65" t="s">
        <v>15</v>
      </c>
      <c r="S65" t="s">
        <v>16</v>
      </c>
      <c r="T65" t="s">
        <v>17</v>
      </c>
      <c r="U65" t="s">
        <v>18</v>
      </c>
      <c r="V65" t="s">
        <v>19</v>
      </c>
      <c r="W65" t="s">
        <v>20</v>
      </c>
      <c r="X65" t="s">
        <v>21</v>
      </c>
      <c r="Y65" t="s">
        <v>22</v>
      </c>
      <c r="Z65" t="s">
        <v>23</v>
      </c>
      <c r="AB65" t="s">
        <v>25</v>
      </c>
      <c r="AJ65" t="s">
        <v>31</v>
      </c>
      <c r="AK65" t="s">
        <v>58</v>
      </c>
      <c r="AZ65" t="s">
        <v>102</v>
      </c>
      <c r="BA65" t="s">
        <v>103</v>
      </c>
      <c r="BB65" t="s">
        <v>104</v>
      </c>
      <c r="BC65" t="s">
        <v>40</v>
      </c>
      <c r="BD65" t="s">
        <v>41</v>
      </c>
      <c r="BE65" t="s">
        <v>42</v>
      </c>
      <c r="BF65" t="s">
        <v>43</v>
      </c>
      <c r="CE65" t="s">
        <v>57</v>
      </c>
      <c r="CG65" t="s">
        <v>59</v>
      </c>
      <c r="CH65" t="s">
        <v>105</v>
      </c>
      <c r="CI65" t="s">
        <v>106</v>
      </c>
      <c r="CJ65" t="s">
        <v>86</v>
      </c>
      <c r="CK65" t="s">
        <v>107</v>
      </c>
      <c r="CT65" t="s">
        <v>66</v>
      </c>
      <c r="CU65" t="s">
        <v>67</v>
      </c>
      <c r="CV65" t="s">
        <v>68</v>
      </c>
      <c r="CW65" t="s">
        <v>69</v>
      </c>
    </row>
    <row r="66" spans="1:114" x14ac:dyDescent="0.25">
      <c r="A66">
        <v>41</v>
      </c>
      <c r="B66">
        <v>176</v>
      </c>
      <c r="C66" t="str">
        <f t="shared" ref="C66:C85" si="74">IF(AND(B66&gt;=0,B66&lt;=5),"Normal",IF(AND(B66&gt;5,B66&lt;90),"SSTens",IF(AND(B66&gt;=90,B66&lt;175),"SSComp",IF(AND(B66&gt;=175,B66&lt;=180),"Reverse"))))</f>
        <v>Reverse</v>
      </c>
      <c r="D66">
        <v>0.20319999999999999</v>
      </c>
      <c r="E66">
        <f>D66*1000</f>
        <v>203.2</v>
      </c>
      <c r="F66">
        <v>1.11252E-2</v>
      </c>
      <c r="G66">
        <f>F66*1000</f>
        <v>11.1252</v>
      </c>
      <c r="H66">
        <f>D66/F66</f>
        <v>18.264840182648403</v>
      </c>
      <c r="I66">
        <v>30</v>
      </c>
      <c r="R66">
        <v>75</v>
      </c>
      <c r="S66" t="s">
        <v>78</v>
      </c>
      <c r="T66" t="s">
        <v>79</v>
      </c>
      <c r="U66">
        <f t="shared" ref="U66:U85" si="75">IF(T66="medium dense",18,IF(T66="dense",18.5,IF(T66="very dense",19,IF(T66="soft",17.5,IF(T66="medium stiff",18,IF(T66="stiff",18.5,0))))))</f>
        <v>18</v>
      </c>
      <c r="V66">
        <f t="shared" ref="V66:V85" si="76">IF(T66="medium dense",37,IF(T66="dense",40,IF(T66="very dense",43,0)))</f>
        <v>37</v>
      </c>
      <c r="W66">
        <f t="shared" ref="W66:W85" si="77">IF(T66="soft",37.5,IF(T66="medium stiff",75,IF(T66="stiff",125,0)))</f>
        <v>0</v>
      </c>
      <c r="X66">
        <f t="shared" ref="X66:X85" si="78">IF(T66="soft",1.1,IF(T66="medium stiff",0.72,IF(T66="stiff",0.4,0)))</f>
        <v>0</v>
      </c>
      <c r="Y66">
        <v>0.9</v>
      </c>
      <c r="Z66">
        <v>1</v>
      </c>
      <c r="AB66">
        <f t="shared" ref="AB66:AB85" si="79">IF(S66="sand", PI() * D66 * Z66*U66 * TAN(RADIANS(Y66*V66)), PI() * D66 * X66 * W66)</f>
        <v>7.5479720641402661</v>
      </c>
      <c r="AJ66">
        <f t="shared" ref="AJ66:AJ85" si="80">LN(AB66)</f>
        <v>2.0212789264051603</v>
      </c>
      <c r="AK66">
        <v>0.1</v>
      </c>
      <c r="AZ66">
        <f t="shared" ref="AZ66:AZ85" si="81">IF(AND(R66&lt;=90,R66&gt;60),60-R66,0)</f>
        <v>-15</v>
      </c>
      <c r="BA66">
        <f t="shared" ref="BA66:BA85" si="82">IF(D66&lt;0.5,1,0)</f>
        <v>1</v>
      </c>
      <c r="BB66">
        <f t="shared" ref="BB66:BB85" si="83">LN(H66)</f>
        <v>2.9049779102855271</v>
      </c>
      <c r="BC66">
        <f t="shared" ref="BC66:BC85" si="84">-4.11127 + 0.6064 * D66 + 0.002805 * I66 + 0.038944*AZ66</f>
        <v>-4.4880595200000002</v>
      </c>
      <c r="BD66">
        <f t="shared" ref="BD66:BD85" si="85">0.42882 + 0.09845 * D66 + 0.0006 * I66 + 0.01203*AZ66</f>
        <v>0.28637503999999997</v>
      </c>
      <c r="BE66">
        <f t="shared" ref="BE66:BE85" si="86">2.64335 + (-0.36353*D66) + 0.00086 * I66 + (-0.05422*AZ66)</f>
        <v>3.4085807039999998</v>
      </c>
      <c r="BF66">
        <f t="shared" ref="BF66:BF85" si="87">-4.57877 + (-0.04142 * (BB66*BB66)) + (0.9346 * BB66) + (0.4714 * AJ66) + (0.00007*(180-R66)) + (-5.2467 * BA66 * (D66-0.5)) + (-0.28986 * (1-BA66))</f>
        <v>0.30408470123424092</v>
      </c>
      <c r="CE66">
        <f t="shared" ref="CE66:CE85" si="88">2.29445 + (-0.04675*D66) + (-0.00104 * I66) + (-0.09201 * AZ66)</f>
        <v>3.6339003999999999</v>
      </c>
      <c r="CG66">
        <f t="shared" ref="CG66:CG85" si="89">LN(AK66)</f>
        <v>-2.3025850929940455</v>
      </c>
      <c r="CH66">
        <f t="shared" ref="CH66:CH85" si="90">CG66-BC66</f>
        <v>2.1854744270059547</v>
      </c>
      <c r="CI66">
        <f t="shared" ref="CI66:CI85" si="91">CH66/CE66</f>
        <v>0.60141285848284531</v>
      </c>
      <c r="CJ66">
        <f t="shared" ref="CJ66:CJ73" si="92">IF(ISNUMBER(ATANH(CI66)),ATANH(CI66),100)</f>
        <v>0.69535770349394732</v>
      </c>
      <c r="CK66">
        <f t="shared" ref="CK66:CK85" si="93">CJ66/BD66</f>
        <v>2.4281365565027855</v>
      </c>
      <c r="CT66">
        <f t="shared" ref="CT66:CT85" si="94">CK66-BE66+BF66</f>
        <v>-0.6763594462629734</v>
      </c>
      <c r="CU66">
        <f>(MIN(5,EXP(CT66)))</f>
        <v>0.50846472008565746</v>
      </c>
      <c r="CV66">
        <f t="shared" ref="CV66:CV85" si="95">$DE$76</f>
        <v>0.57229738456854751</v>
      </c>
      <c r="CW66">
        <v>0.3</v>
      </c>
      <c r="CZ66" t="s">
        <v>108</v>
      </c>
    </row>
    <row r="67" spans="1:114" x14ac:dyDescent="0.25">
      <c r="A67">
        <v>42</v>
      </c>
      <c r="B67">
        <v>180</v>
      </c>
      <c r="C67" t="str">
        <f t="shared" si="74"/>
        <v>Reverse</v>
      </c>
      <c r="D67">
        <v>0.30480000000000002</v>
      </c>
      <c r="E67">
        <f t="shared" ref="E67:G85" si="96">D67*1000</f>
        <v>304.8</v>
      </c>
      <c r="F67">
        <v>7.1399999999999996E-3</v>
      </c>
      <c r="G67">
        <f t="shared" si="96"/>
        <v>7.14</v>
      </c>
      <c r="H67">
        <f t="shared" ref="H67:H85" si="97">D67/F67</f>
        <v>42.689075630252105</v>
      </c>
      <c r="I67">
        <v>30</v>
      </c>
      <c r="R67">
        <v>65</v>
      </c>
      <c r="S67" t="s">
        <v>78</v>
      </c>
      <c r="T67" t="s">
        <v>80</v>
      </c>
      <c r="U67">
        <f t="shared" si="75"/>
        <v>18.5</v>
      </c>
      <c r="V67">
        <f t="shared" si="76"/>
        <v>40</v>
      </c>
      <c r="W67">
        <f t="shared" si="77"/>
        <v>0</v>
      </c>
      <c r="X67">
        <f t="shared" si="78"/>
        <v>0</v>
      </c>
      <c r="Y67">
        <v>0.9</v>
      </c>
      <c r="Z67">
        <v>1.2</v>
      </c>
      <c r="AB67">
        <f t="shared" si="79"/>
        <v>15.444677723460234</v>
      </c>
      <c r="AJ67">
        <f t="shared" si="80"/>
        <v>2.7372644600771081</v>
      </c>
      <c r="AK67">
        <v>0.1</v>
      </c>
      <c r="AZ67">
        <f t="shared" si="81"/>
        <v>-5</v>
      </c>
      <c r="BA67">
        <f t="shared" si="82"/>
        <v>1</v>
      </c>
      <c r="BB67">
        <f t="shared" si="83"/>
        <v>3.7539430474609983</v>
      </c>
      <c r="BC67">
        <f t="shared" si="84"/>
        <v>-4.0370092800000004</v>
      </c>
      <c r="BD67">
        <f t="shared" si="85"/>
        <v>0.41667756</v>
      </c>
      <c r="BE67">
        <f t="shared" si="86"/>
        <v>2.8294460559999997</v>
      </c>
      <c r="BF67">
        <f t="shared" si="87"/>
        <v>0.66852317696108277</v>
      </c>
      <c r="CE67">
        <f t="shared" si="88"/>
        <v>2.7090505999999994</v>
      </c>
      <c r="CG67">
        <f t="shared" si="89"/>
        <v>-2.3025850929940455</v>
      </c>
      <c r="CH67">
        <f t="shared" si="90"/>
        <v>1.7344241870059549</v>
      </c>
      <c r="CI67">
        <f t="shared" si="91"/>
        <v>0.64023321934479749</v>
      </c>
      <c r="CJ67">
        <f t="shared" si="92"/>
        <v>0.75856886381101818</v>
      </c>
      <c r="CK67">
        <f t="shared" si="93"/>
        <v>1.8205176775322822</v>
      </c>
      <c r="CT67">
        <f t="shared" si="94"/>
        <v>-0.34040520150663467</v>
      </c>
      <c r="CU67">
        <f t="shared" ref="CU67:CU85" si="98">EXP(CT67)</f>
        <v>0.71148197077972275</v>
      </c>
      <c r="CV67">
        <f t="shared" si="95"/>
        <v>0.57229738456854751</v>
      </c>
      <c r="CW67">
        <v>0.3</v>
      </c>
    </row>
    <row r="68" spans="1:114" x14ac:dyDescent="0.25">
      <c r="A68">
        <v>43</v>
      </c>
      <c r="B68">
        <v>176</v>
      </c>
      <c r="C68" t="str">
        <f t="shared" si="74"/>
        <v>Reverse</v>
      </c>
      <c r="D68">
        <v>0.40639999999999998</v>
      </c>
      <c r="E68">
        <f t="shared" si="96"/>
        <v>406.4</v>
      </c>
      <c r="F68">
        <v>9.5299999999999985E-3</v>
      </c>
      <c r="G68">
        <f t="shared" si="96"/>
        <v>9.5299999999999994</v>
      </c>
      <c r="H68">
        <f t="shared" si="97"/>
        <v>42.644281217208821</v>
      </c>
      <c r="I68">
        <v>50</v>
      </c>
      <c r="R68">
        <v>58</v>
      </c>
      <c r="S68" t="s">
        <v>78</v>
      </c>
      <c r="T68" t="s">
        <v>81</v>
      </c>
      <c r="U68">
        <f t="shared" si="75"/>
        <v>19</v>
      </c>
      <c r="V68">
        <f t="shared" si="76"/>
        <v>43</v>
      </c>
      <c r="W68">
        <f t="shared" si="77"/>
        <v>0</v>
      </c>
      <c r="X68">
        <f t="shared" si="78"/>
        <v>0</v>
      </c>
      <c r="Y68">
        <v>0.9</v>
      </c>
      <c r="Z68">
        <v>1.5</v>
      </c>
      <c r="AB68">
        <f t="shared" si="79"/>
        <v>29.151630415531248</v>
      </c>
      <c r="AJ68">
        <f t="shared" si="80"/>
        <v>3.3725108431545396</v>
      </c>
      <c r="AK68">
        <v>0.15</v>
      </c>
      <c r="AZ68">
        <f t="shared" si="81"/>
        <v>0</v>
      </c>
      <c r="BA68">
        <f t="shared" si="82"/>
        <v>1</v>
      </c>
      <c r="BB68">
        <f t="shared" si="83"/>
        <v>3.7528931785981614</v>
      </c>
      <c r="BC68">
        <f t="shared" si="84"/>
        <v>-3.7245790400000001</v>
      </c>
      <c r="BD68">
        <f t="shared" si="85"/>
        <v>0.49883007999999995</v>
      </c>
      <c r="BE68">
        <f t="shared" si="86"/>
        <v>2.538611408</v>
      </c>
      <c r="BF68">
        <f t="shared" si="87"/>
        <v>0.43474883354399235</v>
      </c>
      <c r="CE68">
        <f t="shared" si="88"/>
        <v>2.2234507999999997</v>
      </c>
      <c r="CG68">
        <f t="shared" si="89"/>
        <v>-1.8971199848858813</v>
      </c>
      <c r="CH68">
        <f t="shared" si="90"/>
        <v>1.8274590551141188</v>
      </c>
      <c r="CI68">
        <f t="shared" si="91"/>
        <v>0.82190217796324483</v>
      </c>
      <c r="CJ68">
        <f t="shared" si="92"/>
        <v>1.1626517128318059</v>
      </c>
      <c r="CK68">
        <f t="shared" si="93"/>
        <v>2.3307570241790674</v>
      </c>
      <c r="CT68">
        <f t="shared" si="94"/>
        <v>0.22689444972305978</v>
      </c>
      <c r="CU68">
        <f t="shared" si="98"/>
        <v>1.2546974272899019</v>
      </c>
      <c r="CV68">
        <f t="shared" si="95"/>
        <v>0.57229738456854751</v>
      </c>
      <c r="CW68">
        <v>0.3</v>
      </c>
    </row>
    <row r="69" spans="1:114" x14ac:dyDescent="0.25">
      <c r="A69">
        <v>44</v>
      </c>
      <c r="B69">
        <v>176</v>
      </c>
      <c r="C69" t="str">
        <f t="shared" si="74"/>
        <v>Reverse</v>
      </c>
      <c r="D69">
        <v>0.50800000000000001</v>
      </c>
      <c r="E69">
        <f t="shared" si="96"/>
        <v>508</v>
      </c>
      <c r="F69">
        <v>1.1130000000000001E-2</v>
      </c>
      <c r="G69">
        <f t="shared" si="96"/>
        <v>11.13</v>
      </c>
      <c r="H69">
        <f t="shared" si="97"/>
        <v>45.642407906558844</v>
      </c>
      <c r="I69">
        <v>100</v>
      </c>
      <c r="R69">
        <v>51</v>
      </c>
      <c r="S69" t="s">
        <v>78</v>
      </c>
      <c r="T69" t="s">
        <v>79</v>
      </c>
      <c r="U69">
        <f t="shared" si="75"/>
        <v>18</v>
      </c>
      <c r="V69">
        <f t="shared" si="76"/>
        <v>37</v>
      </c>
      <c r="W69">
        <f t="shared" si="77"/>
        <v>0</v>
      </c>
      <c r="X69">
        <f t="shared" si="78"/>
        <v>0</v>
      </c>
      <c r="Y69">
        <v>0.9</v>
      </c>
      <c r="Z69">
        <v>1</v>
      </c>
      <c r="AB69">
        <f t="shared" si="79"/>
        <v>18.869930160350666</v>
      </c>
      <c r="AJ69">
        <f t="shared" si="80"/>
        <v>2.9375696582793154</v>
      </c>
      <c r="AK69">
        <v>0.2</v>
      </c>
      <c r="AZ69">
        <f t="shared" si="81"/>
        <v>0</v>
      </c>
      <c r="BA69">
        <f t="shared" si="82"/>
        <v>0</v>
      </c>
      <c r="BB69">
        <f t="shared" si="83"/>
        <v>3.8208372822910284</v>
      </c>
      <c r="BC69">
        <f t="shared" si="84"/>
        <v>-3.5227188000000003</v>
      </c>
      <c r="BD69">
        <f t="shared" si="85"/>
        <v>0.53883259999999999</v>
      </c>
      <c r="BE69">
        <f t="shared" si="86"/>
        <v>2.5446767599999998</v>
      </c>
      <c r="BF69">
        <f t="shared" si="87"/>
        <v>-0.50855733307133744</v>
      </c>
      <c r="CE69">
        <f t="shared" si="88"/>
        <v>2.1667009999999998</v>
      </c>
      <c r="CG69">
        <f t="shared" si="89"/>
        <v>-1.6094379124341003</v>
      </c>
      <c r="CH69">
        <f t="shared" si="90"/>
        <v>1.9132808875659</v>
      </c>
      <c r="CI69">
        <f t="shared" si="91"/>
        <v>0.88303872457062615</v>
      </c>
      <c r="CJ69">
        <f t="shared" si="92"/>
        <v>1.3893995965142862</v>
      </c>
      <c r="CK69">
        <f t="shared" si="93"/>
        <v>2.5785366299557344</v>
      </c>
      <c r="CT69">
        <f t="shared" si="94"/>
        <v>-0.47469746311560279</v>
      </c>
      <c r="CU69">
        <f t="shared" si="98"/>
        <v>0.62207322809545029</v>
      </c>
      <c r="CV69">
        <f t="shared" si="95"/>
        <v>0.57229738456854751</v>
      </c>
      <c r="CW69">
        <v>0.3</v>
      </c>
    </row>
    <row r="70" spans="1:114" x14ac:dyDescent="0.25">
      <c r="A70">
        <v>45</v>
      </c>
      <c r="B70">
        <v>176</v>
      </c>
      <c r="C70" t="str">
        <f t="shared" si="74"/>
        <v>Reverse</v>
      </c>
      <c r="D70">
        <v>0.60960000000000003</v>
      </c>
      <c r="E70">
        <f t="shared" si="96"/>
        <v>609.6</v>
      </c>
      <c r="F70">
        <v>9.5299999999999985E-3</v>
      </c>
      <c r="G70">
        <f t="shared" si="96"/>
        <v>9.5299999999999994</v>
      </c>
      <c r="H70">
        <f t="shared" si="97"/>
        <v>63.966421825813235</v>
      </c>
      <c r="I70">
        <v>15</v>
      </c>
      <c r="R70">
        <v>44</v>
      </c>
      <c r="S70" t="s">
        <v>78</v>
      </c>
      <c r="T70" t="s">
        <v>80</v>
      </c>
      <c r="U70">
        <f t="shared" si="75"/>
        <v>18.5</v>
      </c>
      <c r="V70">
        <f t="shared" si="76"/>
        <v>40</v>
      </c>
      <c r="W70">
        <f t="shared" si="77"/>
        <v>0</v>
      </c>
      <c r="X70">
        <f t="shared" si="78"/>
        <v>0</v>
      </c>
      <c r="Y70">
        <v>0.9</v>
      </c>
      <c r="Z70">
        <v>1.2</v>
      </c>
      <c r="AB70">
        <f t="shared" si="79"/>
        <v>30.889355446920469</v>
      </c>
      <c r="AJ70">
        <f t="shared" si="80"/>
        <v>3.4304116406370531</v>
      </c>
      <c r="AK70">
        <v>0.2</v>
      </c>
      <c r="AZ70">
        <f t="shared" si="81"/>
        <v>0</v>
      </c>
      <c r="BA70">
        <f t="shared" si="82"/>
        <v>0</v>
      </c>
      <c r="BB70">
        <f t="shared" si="83"/>
        <v>4.158358286706326</v>
      </c>
      <c r="BC70">
        <f t="shared" si="84"/>
        <v>-3.6995335599999999</v>
      </c>
      <c r="BD70">
        <f t="shared" si="85"/>
        <v>0.49783511999999996</v>
      </c>
      <c r="BE70">
        <f t="shared" si="86"/>
        <v>2.4346421120000001</v>
      </c>
      <c r="BF70">
        <f t="shared" si="87"/>
        <v>-7.1844603442407146E-2</v>
      </c>
      <c r="CE70">
        <f t="shared" si="88"/>
        <v>2.2503511999999999</v>
      </c>
      <c r="CG70">
        <f t="shared" si="89"/>
        <v>-1.6094379124341003</v>
      </c>
      <c r="CH70">
        <f t="shared" si="90"/>
        <v>2.0900956475658994</v>
      </c>
      <c r="CI70">
        <f t="shared" si="91"/>
        <v>0.92878642567697856</v>
      </c>
      <c r="CJ70">
        <f t="shared" si="92"/>
        <v>1.6494814191438925</v>
      </c>
      <c r="CK70">
        <f t="shared" si="93"/>
        <v>3.3133086696332161</v>
      </c>
      <c r="CT70">
        <f t="shared" si="94"/>
        <v>0.80682195419080882</v>
      </c>
      <c r="CU70">
        <f t="shared" si="98"/>
        <v>2.2407753720113077</v>
      </c>
      <c r="CV70">
        <f t="shared" si="95"/>
        <v>0.57229738456854751</v>
      </c>
      <c r="CW70">
        <v>0.3</v>
      </c>
    </row>
    <row r="71" spans="1:114" x14ac:dyDescent="0.25">
      <c r="A71">
        <v>46</v>
      </c>
      <c r="B71">
        <v>178</v>
      </c>
      <c r="C71" t="str">
        <f t="shared" si="74"/>
        <v>Reverse</v>
      </c>
      <c r="D71">
        <v>0.76200000000000001</v>
      </c>
      <c r="E71">
        <f t="shared" si="96"/>
        <v>762</v>
      </c>
      <c r="F71">
        <v>1.2699999999999999E-2</v>
      </c>
      <c r="G71">
        <f t="shared" si="96"/>
        <v>12.7</v>
      </c>
      <c r="H71">
        <f t="shared" si="97"/>
        <v>60</v>
      </c>
      <c r="I71">
        <v>30</v>
      </c>
      <c r="R71">
        <v>37</v>
      </c>
      <c r="S71" t="s">
        <v>78</v>
      </c>
      <c r="T71" t="s">
        <v>81</v>
      </c>
      <c r="U71">
        <f t="shared" si="75"/>
        <v>19</v>
      </c>
      <c r="V71">
        <f t="shared" si="76"/>
        <v>43</v>
      </c>
      <c r="W71">
        <f t="shared" si="77"/>
        <v>0</v>
      </c>
      <c r="X71">
        <f t="shared" si="78"/>
        <v>0</v>
      </c>
      <c r="Y71">
        <v>0.9</v>
      </c>
      <c r="Z71">
        <v>1.5</v>
      </c>
      <c r="AB71">
        <f t="shared" si="79"/>
        <v>54.659307029121074</v>
      </c>
      <c r="AJ71">
        <f t="shared" si="80"/>
        <v>4.0011195025769135</v>
      </c>
      <c r="AK71">
        <v>0.25</v>
      </c>
      <c r="AZ71">
        <f t="shared" si="81"/>
        <v>0</v>
      </c>
      <c r="BA71">
        <f t="shared" si="82"/>
        <v>0</v>
      </c>
      <c r="BB71">
        <f t="shared" si="83"/>
        <v>4.0943445622221004</v>
      </c>
      <c r="BC71">
        <f t="shared" si="84"/>
        <v>-3.5650431999999999</v>
      </c>
      <c r="BD71">
        <f t="shared" si="85"/>
        <v>0.52183889999999999</v>
      </c>
      <c r="BE71">
        <f t="shared" si="86"/>
        <v>2.3921401399999995</v>
      </c>
      <c r="BF71">
        <f t="shared" si="87"/>
        <v>0.15973147209986455</v>
      </c>
      <c r="CE71">
        <f t="shared" si="88"/>
        <v>2.2276265</v>
      </c>
      <c r="CG71">
        <f t="shared" si="89"/>
        <v>-1.3862943611198906</v>
      </c>
      <c r="CH71">
        <f t="shared" si="90"/>
        <v>2.1787488388801091</v>
      </c>
      <c r="CI71">
        <f t="shared" si="91"/>
        <v>0.97805841279052352</v>
      </c>
      <c r="CJ71">
        <f t="shared" si="92"/>
        <v>2.2507436237850884</v>
      </c>
      <c r="CK71">
        <f t="shared" si="93"/>
        <v>4.3131005062771068</v>
      </c>
      <c r="CT71">
        <f t="shared" si="94"/>
        <v>2.0806918383769717</v>
      </c>
      <c r="CU71">
        <f t="shared" si="98"/>
        <v>8.0100086291512458</v>
      </c>
      <c r="CV71">
        <f t="shared" si="95"/>
        <v>0.57229738456854751</v>
      </c>
      <c r="CW71">
        <v>0.3</v>
      </c>
    </row>
    <row r="72" spans="1:114" x14ac:dyDescent="0.25">
      <c r="A72">
        <v>47</v>
      </c>
      <c r="B72">
        <v>178</v>
      </c>
      <c r="C72" t="str">
        <f t="shared" si="74"/>
        <v>Reverse</v>
      </c>
      <c r="D72">
        <v>0.86360000000000003</v>
      </c>
      <c r="E72">
        <f t="shared" si="96"/>
        <v>863.6</v>
      </c>
      <c r="F72">
        <v>1.1130000000000001E-2</v>
      </c>
      <c r="G72">
        <f t="shared" si="96"/>
        <v>11.13</v>
      </c>
      <c r="H72">
        <f t="shared" si="97"/>
        <v>77.592093441150041</v>
      </c>
      <c r="I72">
        <v>50</v>
      </c>
      <c r="R72">
        <v>30</v>
      </c>
      <c r="S72" t="s">
        <v>78</v>
      </c>
      <c r="T72" t="s">
        <v>79</v>
      </c>
      <c r="U72">
        <f t="shared" si="75"/>
        <v>18</v>
      </c>
      <c r="V72">
        <f t="shared" si="76"/>
        <v>37</v>
      </c>
      <c r="W72">
        <f t="shared" si="77"/>
        <v>0</v>
      </c>
      <c r="X72">
        <f t="shared" si="78"/>
        <v>0</v>
      </c>
      <c r="Y72">
        <v>0.9</v>
      </c>
      <c r="Z72">
        <v>1</v>
      </c>
      <c r="AB72">
        <f t="shared" si="79"/>
        <v>32.078881272596128</v>
      </c>
      <c r="AJ72">
        <f t="shared" si="80"/>
        <v>3.4681979093414856</v>
      </c>
      <c r="AK72">
        <v>0.28000000000000003</v>
      </c>
      <c r="AZ72">
        <f t="shared" si="81"/>
        <v>0</v>
      </c>
      <c r="BA72">
        <f t="shared" si="82"/>
        <v>0</v>
      </c>
      <c r="BB72">
        <f t="shared" si="83"/>
        <v>4.3514655333531991</v>
      </c>
      <c r="BC72">
        <f t="shared" si="84"/>
        <v>-3.4473329600000002</v>
      </c>
      <c r="BD72">
        <f t="shared" si="85"/>
        <v>0.54384142000000002</v>
      </c>
      <c r="BE72">
        <f t="shared" si="86"/>
        <v>2.3724054919999999</v>
      </c>
      <c r="BF72">
        <f t="shared" si="87"/>
        <v>5.9360032168138954E-2</v>
      </c>
      <c r="CE72">
        <f t="shared" si="88"/>
        <v>2.2020766999999997</v>
      </c>
      <c r="CG72">
        <f t="shared" si="89"/>
        <v>-1.2729656758128873</v>
      </c>
      <c r="CH72">
        <f t="shared" si="90"/>
        <v>2.1743672841871131</v>
      </c>
      <c r="CI72">
        <f t="shared" si="91"/>
        <v>0.98741668906769386</v>
      </c>
      <c r="CJ72">
        <f t="shared" si="92"/>
        <v>2.5311097606942257</v>
      </c>
      <c r="CK72">
        <f t="shared" si="93"/>
        <v>4.6541320090960072</v>
      </c>
      <c r="CT72">
        <f t="shared" si="94"/>
        <v>2.3410865492641464</v>
      </c>
      <c r="CU72">
        <f t="shared" si="98"/>
        <v>10.392522417888488</v>
      </c>
      <c r="CV72">
        <f t="shared" si="95"/>
        <v>0.57229738456854751</v>
      </c>
      <c r="CW72">
        <v>0.3</v>
      </c>
      <c r="DB72" t="s">
        <v>109</v>
      </c>
      <c r="DC72">
        <v>-0.28299999999999997</v>
      </c>
      <c r="DE72" t="s">
        <v>110</v>
      </c>
      <c r="DF72" t="s">
        <v>111</v>
      </c>
      <c r="DG72" t="s">
        <v>112</v>
      </c>
      <c r="DH72" t="s">
        <v>113</v>
      </c>
      <c r="DI72" t="s">
        <v>114</v>
      </c>
      <c r="DJ72" t="s">
        <v>115</v>
      </c>
    </row>
    <row r="73" spans="1:114" x14ac:dyDescent="0.25">
      <c r="A73">
        <v>48</v>
      </c>
      <c r="B73">
        <v>179</v>
      </c>
      <c r="C73" t="str">
        <f t="shared" si="74"/>
        <v>Reverse</v>
      </c>
      <c r="D73">
        <v>1.0668</v>
      </c>
      <c r="E73">
        <f t="shared" si="96"/>
        <v>1066.8</v>
      </c>
      <c r="F73">
        <v>1.2699999999999999E-2</v>
      </c>
      <c r="G73">
        <f t="shared" si="96"/>
        <v>12.7</v>
      </c>
      <c r="H73">
        <f t="shared" si="97"/>
        <v>84</v>
      </c>
      <c r="I73">
        <v>100</v>
      </c>
      <c r="R73">
        <v>23</v>
      </c>
      <c r="S73" t="s">
        <v>78</v>
      </c>
      <c r="T73" t="s">
        <v>80</v>
      </c>
      <c r="U73">
        <f t="shared" si="75"/>
        <v>18.5</v>
      </c>
      <c r="V73">
        <f t="shared" si="76"/>
        <v>40</v>
      </c>
      <c r="W73">
        <f t="shared" si="77"/>
        <v>0</v>
      </c>
      <c r="X73">
        <f t="shared" si="78"/>
        <v>0</v>
      </c>
      <c r="Y73">
        <v>0.9</v>
      </c>
      <c r="Z73">
        <v>1.2</v>
      </c>
      <c r="AB73">
        <f t="shared" si="79"/>
        <v>54.056372032110822</v>
      </c>
      <c r="AJ73">
        <f t="shared" si="80"/>
        <v>3.9900274285724762</v>
      </c>
      <c r="AK73">
        <v>0.18</v>
      </c>
      <c r="AZ73">
        <f t="shared" si="81"/>
        <v>0</v>
      </c>
      <c r="BA73">
        <f t="shared" si="82"/>
        <v>0</v>
      </c>
      <c r="BB73">
        <f t="shared" si="83"/>
        <v>4.4308167988433134</v>
      </c>
      <c r="BC73">
        <f t="shared" si="84"/>
        <v>-3.1838624800000002</v>
      </c>
      <c r="BD73">
        <f t="shared" si="85"/>
        <v>0.59384645999999996</v>
      </c>
      <c r="BE73">
        <f t="shared" si="86"/>
        <v>2.3415361959999998</v>
      </c>
      <c r="BF73">
        <f t="shared" si="87"/>
        <v>0.35113717457456706</v>
      </c>
      <c r="CE73">
        <f t="shared" si="88"/>
        <v>2.1405770999999998</v>
      </c>
      <c r="CG73">
        <f t="shared" si="89"/>
        <v>-1.7147984280919266</v>
      </c>
      <c r="CH73">
        <f t="shared" si="90"/>
        <v>1.4690640519080735</v>
      </c>
      <c r="CI73">
        <f t="shared" si="91"/>
        <v>0.68629345418488952</v>
      </c>
      <c r="CJ73">
        <f t="shared" si="92"/>
        <v>0.8409150977233486</v>
      </c>
      <c r="CK73">
        <f t="shared" si="93"/>
        <v>1.416048009654463</v>
      </c>
      <c r="CT73">
        <f t="shared" si="94"/>
        <v>-0.57435101177096981</v>
      </c>
      <c r="CU73">
        <f t="shared" si="98"/>
        <v>0.56307017617049704</v>
      </c>
      <c r="CV73">
        <f t="shared" si="95"/>
        <v>0.57229738456854751</v>
      </c>
      <c r="CW73">
        <v>0.3</v>
      </c>
      <c r="DB73" t="s">
        <v>116</v>
      </c>
      <c r="DC73">
        <v>-0.625</v>
      </c>
      <c r="DE73">
        <v>-0.28299999999999997</v>
      </c>
      <c r="DF73">
        <v>-0.625</v>
      </c>
      <c r="DG73">
        <v>0.46</v>
      </c>
      <c r="DH73">
        <v>0.70899999999999996</v>
      </c>
      <c r="DI73">
        <v>0.68799999999999994</v>
      </c>
      <c r="DJ73">
        <v>0.312</v>
      </c>
    </row>
    <row r="74" spans="1:114" x14ac:dyDescent="0.25">
      <c r="A74">
        <v>49</v>
      </c>
      <c r="B74">
        <v>175</v>
      </c>
      <c r="C74" t="str">
        <f t="shared" si="74"/>
        <v>Reverse</v>
      </c>
      <c r="D74">
        <v>0.60960000000000003</v>
      </c>
      <c r="E74">
        <f t="shared" si="96"/>
        <v>609.6</v>
      </c>
      <c r="F74">
        <v>1.1130000000000001E-2</v>
      </c>
      <c r="G74">
        <f t="shared" si="96"/>
        <v>11.13</v>
      </c>
      <c r="H74">
        <f t="shared" si="97"/>
        <v>54.770889487870619</v>
      </c>
      <c r="I74">
        <v>150</v>
      </c>
      <c r="R74">
        <v>16</v>
      </c>
      <c r="S74" t="s">
        <v>78</v>
      </c>
      <c r="T74" t="s">
        <v>81</v>
      </c>
      <c r="U74">
        <f t="shared" si="75"/>
        <v>19</v>
      </c>
      <c r="V74">
        <f t="shared" si="76"/>
        <v>43</v>
      </c>
      <c r="W74">
        <f t="shared" si="77"/>
        <v>0</v>
      </c>
      <c r="X74">
        <f t="shared" si="78"/>
        <v>0</v>
      </c>
      <c r="Y74">
        <v>0.9</v>
      </c>
      <c r="Z74">
        <v>1.5</v>
      </c>
      <c r="AB74">
        <f t="shared" si="79"/>
        <v>43.727445623296873</v>
      </c>
      <c r="AJ74">
        <f t="shared" si="80"/>
        <v>3.7779759512627038</v>
      </c>
      <c r="AK74">
        <v>0.4</v>
      </c>
      <c r="AZ74">
        <f t="shared" si="81"/>
        <v>0</v>
      </c>
      <c r="BA74">
        <f t="shared" si="82"/>
        <v>0</v>
      </c>
      <c r="BB74">
        <f t="shared" si="83"/>
        <v>4.0031588390849828</v>
      </c>
      <c r="BC74">
        <f t="shared" si="84"/>
        <v>-3.32085856</v>
      </c>
      <c r="BD74">
        <f t="shared" si="85"/>
        <v>0.57883511999999993</v>
      </c>
      <c r="BE74">
        <f t="shared" si="86"/>
        <v>2.550742112</v>
      </c>
      <c r="BF74">
        <f t="shared" si="87"/>
        <v>1.3729882151536921E-3</v>
      </c>
      <c r="CE74">
        <f t="shared" si="88"/>
        <v>2.1099511999999998</v>
      </c>
      <c r="CG74">
        <f t="shared" si="89"/>
        <v>-0.916290731874155</v>
      </c>
      <c r="CH74">
        <f t="shared" si="90"/>
        <v>2.4045678281258449</v>
      </c>
      <c r="CI74">
        <f t="shared" si="91"/>
        <v>1.13963196311168</v>
      </c>
      <c r="CJ74">
        <f>IF(CI74&gt;=1,5,ATANH(CI74))</f>
        <v>5</v>
      </c>
      <c r="CK74">
        <f t="shared" si="93"/>
        <v>8.6380384106617445</v>
      </c>
      <c r="CT74">
        <f t="shared" si="94"/>
        <v>6.0886692868768986</v>
      </c>
      <c r="CU74">
        <f t="shared" si="98"/>
        <v>440.83439654198293</v>
      </c>
      <c r="CV74">
        <f t="shared" si="95"/>
        <v>0.57229738456854751</v>
      </c>
      <c r="CW74">
        <v>0.3</v>
      </c>
      <c r="DB74" t="s">
        <v>117</v>
      </c>
      <c r="DC74">
        <v>0.46</v>
      </c>
      <c r="DE74">
        <f>DE73*DI73+DF73*DJ73</f>
        <v>-0.38970399999999994</v>
      </c>
    </row>
    <row r="75" spans="1:114" x14ac:dyDescent="0.25">
      <c r="A75">
        <v>50</v>
      </c>
      <c r="B75">
        <v>177</v>
      </c>
      <c r="C75" t="str">
        <f t="shared" si="74"/>
        <v>Reverse</v>
      </c>
      <c r="D75">
        <v>0.60960000000000003</v>
      </c>
      <c r="E75">
        <f t="shared" si="96"/>
        <v>609.6</v>
      </c>
      <c r="F75">
        <v>1.1130000000000001E-2</v>
      </c>
      <c r="G75">
        <f t="shared" si="96"/>
        <v>11.13</v>
      </c>
      <c r="H75">
        <f t="shared" si="97"/>
        <v>54.770889487870619</v>
      </c>
      <c r="I75">
        <v>200</v>
      </c>
      <c r="R75">
        <v>15</v>
      </c>
      <c r="S75" t="s">
        <v>78</v>
      </c>
      <c r="T75" t="s">
        <v>79</v>
      </c>
      <c r="U75">
        <f t="shared" si="75"/>
        <v>18</v>
      </c>
      <c r="V75">
        <f t="shared" si="76"/>
        <v>37</v>
      </c>
      <c r="W75">
        <f t="shared" si="77"/>
        <v>0</v>
      </c>
      <c r="X75">
        <f t="shared" si="78"/>
        <v>0</v>
      </c>
      <c r="Y75">
        <v>0.9</v>
      </c>
      <c r="Z75">
        <v>1.2</v>
      </c>
      <c r="AB75">
        <f t="shared" si="79"/>
        <v>27.172699430904952</v>
      </c>
      <c r="AJ75">
        <f t="shared" si="80"/>
        <v>3.3022127718672243</v>
      </c>
      <c r="AK75">
        <v>1.2</v>
      </c>
      <c r="AZ75">
        <f t="shared" si="81"/>
        <v>0</v>
      </c>
      <c r="BA75">
        <f t="shared" si="82"/>
        <v>0</v>
      </c>
      <c r="BB75">
        <f t="shared" si="83"/>
        <v>4.0031588390849828</v>
      </c>
      <c r="BC75">
        <f t="shared" si="84"/>
        <v>-3.18060856</v>
      </c>
      <c r="BD75">
        <f t="shared" si="85"/>
        <v>0.60883511999999995</v>
      </c>
      <c r="BE75">
        <f t="shared" si="86"/>
        <v>2.5937421120000002</v>
      </c>
      <c r="BF75">
        <f t="shared" si="87"/>
        <v>-0.22283177455187525</v>
      </c>
      <c r="CE75">
        <f t="shared" si="88"/>
        <v>2.0579511999999998</v>
      </c>
      <c r="CG75">
        <f t="shared" si="89"/>
        <v>0.18232155679395459</v>
      </c>
      <c r="CH75">
        <f t="shared" si="90"/>
        <v>3.3629301167939545</v>
      </c>
      <c r="CI75">
        <f t="shared" si="91"/>
        <v>1.6341155790253699</v>
      </c>
      <c r="CJ75">
        <f>IF(CI75&gt;=1,5,ATANH(CI75))</f>
        <v>5</v>
      </c>
      <c r="CK75">
        <f t="shared" si="93"/>
        <v>8.2124040413437385</v>
      </c>
      <c r="CT75">
        <f t="shared" si="94"/>
        <v>5.395830154791863</v>
      </c>
      <c r="CU75">
        <f t="shared" si="98"/>
        <v>220.48510791195636</v>
      </c>
      <c r="CV75">
        <f t="shared" si="95"/>
        <v>0.57229738456854751</v>
      </c>
      <c r="CW75">
        <v>0.3</v>
      </c>
      <c r="DB75" t="s">
        <v>118</v>
      </c>
      <c r="DC75">
        <v>0.70899999999999996</v>
      </c>
      <c r="DE75">
        <f>DI73*DG73^2+DJ73*DH73^2+DI73*DJ73*(DE73-DF73)^2</f>
        <v>0.32752429638399994</v>
      </c>
    </row>
    <row r="76" spans="1:114" x14ac:dyDescent="0.25">
      <c r="A76">
        <v>51</v>
      </c>
      <c r="B76">
        <v>176</v>
      </c>
      <c r="C76" t="str">
        <f t="shared" si="74"/>
        <v>Reverse</v>
      </c>
      <c r="D76">
        <v>0.20319999999999999</v>
      </c>
      <c r="E76">
        <f t="shared" si="96"/>
        <v>203.2</v>
      </c>
      <c r="F76">
        <v>5.5599999999999998E-3</v>
      </c>
      <c r="G76">
        <f t="shared" si="96"/>
        <v>5.56</v>
      </c>
      <c r="H76">
        <f t="shared" si="97"/>
        <v>36.546762589928058</v>
      </c>
      <c r="I76">
        <v>15</v>
      </c>
      <c r="R76">
        <v>72</v>
      </c>
      <c r="S76" t="s">
        <v>71</v>
      </c>
      <c r="T76" t="s">
        <v>72</v>
      </c>
      <c r="U76">
        <f t="shared" si="75"/>
        <v>17.5</v>
      </c>
      <c r="V76">
        <f t="shared" si="76"/>
        <v>0</v>
      </c>
      <c r="W76">
        <f t="shared" si="77"/>
        <v>37.5</v>
      </c>
      <c r="X76">
        <f t="shared" si="78"/>
        <v>1.1000000000000001</v>
      </c>
      <c r="Y76">
        <v>0.9</v>
      </c>
      <c r="Z76">
        <v>0</v>
      </c>
      <c r="AB76">
        <f t="shared" si="79"/>
        <v>26.332829622389646</v>
      </c>
      <c r="AJ76">
        <f t="shared" si="80"/>
        <v>3.2708164353522799</v>
      </c>
      <c r="AK76">
        <v>0.05</v>
      </c>
      <c r="AZ76">
        <f t="shared" si="81"/>
        <v>-12</v>
      </c>
      <c r="BA76">
        <f t="shared" si="82"/>
        <v>1</v>
      </c>
      <c r="BB76">
        <f t="shared" si="83"/>
        <v>3.598592607441836</v>
      </c>
      <c r="BC76">
        <f t="shared" si="84"/>
        <v>-4.4133025200000002</v>
      </c>
      <c r="BD76">
        <f t="shared" si="85"/>
        <v>0.31346503999999997</v>
      </c>
      <c r="BE76">
        <f t="shared" si="86"/>
        <v>3.2330207040000003</v>
      </c>
      <c r="BF76">
        <f t="shared" si="87"/>
        <v>1.3547345147356484</v>
      </c>
      <c r="CE76">
        <f t="shared" si="88"/>
        <v>3.3734704</v>
      </c>
      <c r="CG76">
        <f t="shared" si="89"/>
        <v>-2.9957322735539909</v>
      </c>
      <c r="CH76">
        <f t="shared" si="90"/>
        <v>1.4175702464460094</v>
      </c>
      <c r="CI76">
        <f t="shared" si="91"/>
        <v>0.4202112597300422</v>
      </c>
      <c r="CJ76">
        <f t="shared" ref="CJ76:CJ83" si="99">IF(ISNUMBER(ATANH(CI76)),ATANH(CI76),100)</f>
        <v>0.44794855885624785</v>
      </c>
      <c r="CK76">
        <f t="shared" si="93"/>
        <v>1.4290223843024021</v>
      </c>
      <c r="CT76">
        <f t="shared" si="94"/>
        <v>-0.44926380496194973</v>
      </c>
      <c r="CU76">
        <f t="shared" si="98"/>
        <v>0.63809774313738099</v>
      </c>
      <c r="CV76">
        <f t="shared" si="95"/>
        <v>0.57229738456854751</v>
      </c>
      <c r="CW76">
        <v>0.3</v>
      </c>
      <c r="DB76" t="s">
        <v>119</v>
      </c>
      <c r="DC76">
        <v>0.68799999999999994</v>
      </c>
      <c r="DE76">
        <f>SQRT(DE75)</f>
        <v>0.57229738456854751</v>
      </c>
    </row>
    <row r="77" spans="1:114" x14ac:dyDescent="0.25">
      <c r="A77">
        <v>52</v>
      </c>
      <c r="B77">
        <v>175</v>
      </c>
      <c r="C77" t="str">
        <f t="shared" si="74"/>
        <v>Reverse</v>
      </c>
      <c r="D77">
        <v>0.30480000000000002</v>
      </c>
      <c r="E77">
        <f t="shared" si="96"/>
        <v>304.8</v>
      </c>
      <c r="F77">
        <v>7.1399999999999996E-3</v>
      </c>
      <c r="G77">
        <f t="shared" si="96"/>
        <v>7.14</v>
      </c>
      <c r="H77">
        <f t="shared" si="97"/>
        <v>42.689075630252105</v>
      </c>
      <c r="I77">
        <v>30</v>
      </c>
      <c r="R77">
        <v>65</v>
      </c>
      <c r="S77" t="s">
        <v>71</v>
      </c>
      <c r="T77" t="s">
        <v>74</v>
      </c>
      <c r="U77">
        <f t="shared" si="75"/>
        <v>18</v>
      </c>
      <c r="V77">
        <f t="shared" si="76"/>
        <v>0</v>
      </c>
      <c r="W77">
        <f t="shared" si="77"/>
        <v>75</v>
      </c>
      <c r="X77">
        <f t="shared" si="78"/>
        <v>0.72</v>
      </c>
      <c r="Y77">
        <v>0.9</v>
      </c>
      <c r="Z77">
        <v>0</v>
      </c>
      <c r="AB77">
        <f t="shared" si="79"/>
        <v>51.708101803965121</v>
      </c>
      <c r="AJ77">
        <f t="shared" si="80"/>
        <v>3.9456144772440287</v>
      </c>
      <c r="AK77">
        <v>0.1</v>
      </c>
      <c r="AZ77">
        <f t="shared" si="81"/>
        <v>-5</v>
      </c>
      <c r="BA77">
        <f t="shared" si="82"/>
        <v>1</v>
      </c>
      <c r="BB77">
        <f t="shared" si="83"/>
        <v>3.7539430474609983</v>
      </c>
      <c r="BC77">
        <f t="shared" si="84"/>
        <v>-4.0370092800000004</v>
      </c>
      <c r="BD77">
        <f t="shared" si="85"/>
        <v>0.41667756</v>
      </c>
      <c r="BE77">
        <f t="shared" si="86"/>
        <v>2.8294460559999997</v>
      </c>
      <c r="BF77">
        <f t="shared" si="87"/>
        <v>1.238139375053569</v>
      </c>
      <c r="CE77">
        <f t="shared" si="88"/>
        <v>2.7090505999999994</v>
      </c>
      <c r="CG77">
        <f t="shared" si="89"/>
        <v>-2.3025850929940455</v>
      </c>
      <c r="CH77">
        <f t="shared" si="90"/>
        <v>1.7344241870059549</v>
      </c>
      <c r="CI77">
        <f t="shared" si="91"/>
        <v>0.64023321934479749</v>
      </c>
      <c r="CJ77">
        <f t="shared" si="99"/>
        <v>0.75856886381101818</v>
      </c>
      <c r="CK77">
        <f t="shared" si="93"/>
        <v>1.8205176775322822</v>
      </c>
      <c r="CT77">
        <f t="shared" si="94"/>
        <v>0.22921099658585153</v>
      </c>
      <c r="CU77">
        <f t="shared" si="98"/>
        <v>1.257607361877443</v>
      </c>
      <c r="CV77">
        <f t="shared" si="95"/>
        <v>0.57229738456854751</v>
      </c>
      <c r="CW77">
        <v>0.3</v>
      </c>
      <c r="DB77" t="s">
        <v>120</v>
      </c>
      <c r="DC77">
        <v>0.312</v>
      </c>
    </row>
    <row r="78" spans="1:114" x14ac:dyDescent="0.25">
      <c r="A78">
        <v>53</v>
      </c>
      <c r="B78">
        <v>177</v>
      </c>
      <c r="C78" t="str">
        <f t="shared" si="74"/>
        <v>Reverse</v>
      </c>
      <c r="D78">
        <v>0.40639999999999998</v>
      </c>
      <c r="E78">
        <f t="shared" si="96"/>
        <v>406.4</v>
      </c>
      <c r="F78">
        <v>9.5299999999999985E-3</v>
      </c>
      <c r="G78">
        <f t="shared" si="96"/>
        <v>9.5299999999999994</v>
      </c>
      <c r="H78">
        <f t="shared" si="97"/>
        <v>42.644281217208821</v>
      </c>
      <c r="I78">
        <v>50</v>
      </c>
      <c r="R78">
        <v>58</v>
      </c>
      <c r="S78" t="s">
        <v>71</v>
      </c>
      <c r="T78" t="s">
        <v>76</v>
      </c>
      <c r="U78">
        <f t="shared" si="75"/>
        <v>18.5</v>
      </c>
      <c r="V78">
        <f t="shared" si="76"/>
        <v>0</v>
      </c>
      <c r="W78">
        <f t="shared" si="77"/>
        <v>125</v>
      </c>
      <c r="X78">
        <f t="shared" si="78"/>
        <v>0.4</v>
      </c>
      <c r="Y78">
        <v>0.9</v>
      </c>
      <c r="Z78">
        <v>0</v>
      </c>
      <c r="AB78">
        <f t="shared" si="79"/>
        <v>63.837162720944598</v>
      </c>
      <c r="AJ78">
        <f t="shared" si="80"/>
        <v>4.1563355085596809</v>
      </c>
      <c r="AK78">
        <v>0.15</v>
      </c>
      <c r="AZ78">
        <f t="shared" si="81"/>
        <v>0</v>
      </c>
      <c r="BA78">
        <f t="shared" si="82"/>
        <v>1</v>
      </c>
      <c r="BB78">
        <f t="shared" si="83"/>
        <v>3.7528931785981614</v>
      </c>
      <c r="BC78">
        <f t="shared" si="84"/>
        <v>-3.7245790400000001</v>
      </c>
      <c r="BD78">
        <f t="shared" si="85"/>
        <v>0.49883007999999995</v>
      </c>
      <c r="BE78">
        <f t="shared" si="86"/>
        <v>2.538611408</v>
      </c>
      <c r="BF78">
        <f t="shared" si="87"/>
        <v>0.80424378081597592</v>
      </c>
      <c r="CE78">
        <f t="shared" si="88"/>
        <v>2.2234507999999997</v>
      </c>
      <c r="CG78">
        <f t="shared" si="89"/>
        <v>-1.8971199848858813</v>
      </c>
      <c r="CH78">
        <f t="shared" si="90"/>
        <v>1.8274590551141188</v>
      </c>
      <c r="CI78">
        <f t="shared" si="91"/>
        <v>0.82190217796324483</v>
      </c>
      <c r="CJ78">
        <f t="shared" si="99"/>
        <v>1.1626517128318059</v>
      </c>
      <c r="CK78">
        <f t="shared" si="93"/>
        <v>2.3307570241790674</v>
      </c>
      <c r="CT78">
        <f t="shared" si="94"/>
        <v>0.59638939699504334</v>
      </c>
      <c r="CU78">
        <f t="shared" si="98"/>
        <v>1.8155517154769825</v>
      </c>
      <c r="CV78">
        <f t="shared" si="95"/>
        <v>0.57229738456854751</v>
      </c>
      <c r="CW78">
        <v>0.3</v>
      </c>
    </row>
    <row r="79" spans="1:114" x14ac:dyDescent="0.25">
      <c r="A79">
        <v>54</v>
      </c>
      <c r="B79">
        <v>180</v>
      </c>
      <c r="C79" t="str">
        <f t="shared" si="74"/>
        <v>Reverse</v>
      </c>
      <c r="D79">
        <v>0.50800000000000001</v>
      </c>
      <c r="E79">
        <f t="shared" si="96"/>
        <v>508</v>
      </c>
      <c r="F79">
        <v>1.1130000000000001E-2</v>
      </c>
      <c r="G79">
        <f t="shared" si="96"/>
        <v>11.13</v>
      </c>
      <c r="H79">
        <f t="shared" si="97"/>
        <v>45.642407906558844</v>
      </c>
      <c r="I79">
        <v>100</v>
      </c>
      <c r="R79">
        <v>51</v>
      </c>
      <c r="S79" t="s">
        <v>71</v>
      </c>
      <c r="T79" t="s">
        <v>72</v>
      </c>
      <c r="U79">
        <f t="shared" si="75"/>
        <v>17.5</v>
      </c>
      <c r="V79">
        <f t="shared" si="76"/>
        <v>0</v>
      </c>
      <c r="W79">
        <f t="shared" si="77"/>
        <v>37.5</v>
      </c>
      <c r="X79">
        <f t="shared" si="78"/>
        <v>1.1000000000000001</v>
      </c>
      <c r="Y79">
        <v>0.9</v>
      </c>
      <c r="Z79">
        <v>0</v>
      </c>
      <c r="AB79">
        <f t="shared" si="79"/>
        <v>65.832074055974118</v>
      </c>
      <c r="AJ79">
        <f t="shared" si="80"/>
        <v>4.1871071672264346</v>
      </c>
      <c r="AK79">
        <v>0.2</v>
      </c>
      <c r="AZ79">
        <f t="shared" si="81"/>
        <v>0</v>
      </c>
      <c r="BA79">
        <f t="shared" si="82"/>
        <v>0</v>
      </c>
      <c r="BB79">
        <f t="shared" si="83"/>
        <v>3.8208372822910284</v>
      </c>
      <c r="BC79">
        <f t="shared" si="84"/>
        <v>-3.5227188000000003</v>
      </c>
      <c r="BD79">
        <f t="shared" si="85"/>
        <v>0.53883259999999999</v>
      </c>
      <c r="BE79">
        <f t="shared" si="86"/>
        <v>2.5446767599999998</v>
      </c>
      <c r="BF79">
        <f t="shared" si="87"/>
        <v>8.0474648646334468E-2</v>
      </c>
      <c r="CE79">
        <f t="shared" si="88"/>
        <v>2.1667009999999998</v>
      </c>
      <c r="CG79">
        <f t="shared" si="89"/>
        <v>-1.6094379124341003</v>
      </c>
      <c r="CH79">
        <f t="shared" si="90"/>
        <v>1.9132808875659</v>
      </c>
      <c r="CI79">
        <f t="shared" si="91"/>
        <v>0.88303872457062615</v>
      </c>
      <c r="CJ79">
        <f t="shared" si="99"/>
        <v>1.3893995965142862</v>
      </c>
      <c r="CK79">
        <f t="shared" si="93"/>
        <v>2.5785366299557344</v>
      </c>
      <c r="CT79">
        <f t="shared" si="94"/>
        <v>0.11433451860206911</v>
      </c>
      <c r="CU79">
        <f t="shared" si="98"/>
        <v>1.1211271000328198</v>
      </c>
      <c r="CV79">
        <f t="shared" si="95"/>
        <v>0.57229738456854751</v>
      </c>
      <c r="CW79">
        <v>0.3</v>
      </c>
    </row>
    <row r="80" spans="1:114" x14ac:dyDescent="0.25">
      <c r="A80">
        <v>55</v>
      </c>
      <c r="B80">
        <v>176</v>
      </c>
      <c r="C80" t="str">
        <f t="shared" si="74"/>
        <v>Reverse</v>
      </c>
      <c r="D80">
        <v>0.60960000000000003</v>
      </c>
      <c r="E80">
        <f t="shared" si="96"/>
        <v>609.6</v>
      </c>
      <c r="F80">
        <v>9.5299999999999985E-3</v>
      </c>
      <c r="G80">
        <f t="shared" si="96"/>
        <v>9.5299999999999994</v>
      </c>
      <c r="H80">
        <f t="shared" si="97"/>
        <v>63.966421825813235</v>
      </c>
      <c r="I80">
        <v>15</v>
      </c>
      <c r="R80">
        <v>44</v>
      </c>
      <c r="S80" t="s">
        <v>71</v>
      </c>
      <c r="T80" t="s">
        <v>74</v>
      </c>
      <c r="U80">
        <f t="shared" si="75"/>
        <v>18</v>
      </c>
      <c r="V80">
        <f t="shared" si="76"/>
        <v>0</v>
      </c>
      <c r="W80">
        <f t="shared" si="77"/>
        <v>75</v>
      </c>
      <c r="X80">
        <f t="shared" si="78"/>
        <v>0.72</v>
      </c>
      <c r="Y80">
        <v>0.9</v>
      </c>
      <c r="Z80">
        <v>0</v>
      </c>
      <c r="AB80">
        <f t="shared" si="79"/>
        <v>103.41620360793024</v>
      </c>
      <c r="AJ80">
        <f t="shared" si="80"/>
        <v>4.6387616578039736</v>
      </c>
      <c r="AK80">
        <v>0.2</v>
      </c>
      <c r="AZ80">
        <f t="shared" si="81"/>
        <v>0</v>
      </c>
      <c r="BA80">
        <f t="shared" si="82"/>
        <v>0</v>
      </c>
      <c r="BB80">
        <f t="shared" si="83"/>
        <v>4.158358286706326</v>
      </c>
      <c r="BC80">
        <f t="shared" si="84"/>
        <v>-3.6995335599999999</v>
      </c>
      <c r="BD80">
        <f t="shared" si="85"/>
        <v>0.49783511999999996</v>
      </c>
      <c r="BE80">
        <f t="shared" si="86"/>
        <v>2.4346421120000001</v>
      </c>
      <c r="BF80">
        <f t="shared" si="87"/>
        <v>0.49777159465007936</v>
      </c>
      <c r="CE80">
        <f t="shared" si="88"/>
        <v>2.2503511999999999</v>
      </c>
      <c r="CG80">
        <f t="shared" si="89"/>
        <v>-1.6094379124341003</v>
      </c>
      <c r="CH80">
        <f t="shared" si="90"/>
        <v>2.0900956475658994</v>
      </c>
      <c r="CI80">
        <f t="shared" si="91"/>
        <v>0.92878642567697856</v>
      </c>
      <c r="CJ80">
        <f t="shared" si="99"/>
        <v>1.6494814191438925</v>
      </c>
      <c r="CK80">
        <f t="shared" si="93"/>
        <v>3.3133086696332161</v>
      </c>
      <c r="CT80">
        <f t="shared" si="94"/>
        <v>1.3764381522832954</v>
      </c>
      <c r="CU80">
        <f t="shared" si="98"/>
        <v>3.9607688176086686</v>
      </c>
      <c r="CV80">
        <f t="shared" si="95"/>
        <v>0.57229738456854751</v>
      </c>
      <c r="CW80">
        <v>0.3</v>
      </c>
    </row>
    <row r="81" spans="1:101" x14ac:dyDescent="0.25">
      <c r="A81">
        <v>56</v>
      </c>
      <c r="B81">
        <v>179</v>
      </c>
      <c r="C81" t="str">
        <f t="shared" si="74"/>
        <v>Reverse</v>
      </c>
      <c r="D81">
        <v>0.76200000000000001</v>
      </c>
      <c r="E81">
        <f t="shared" si="96"/>
        <v>762</v>
      </c>
      <c r="F81">
        <v>1.2699999999999999E-2</v>
      </c>
      <c r="G81">
        <f t="shared" si="96"/>
        <v>12.7</v>
      </c>
      <c r="H81">
        <f t="shared" si="97"/>
        <v>60</v>
      </c>
      <c r="I81">
        <v>30</v>
      </c>
      <c r="R81">
        <v>37</v>
      </c>
      <c r="S81" t="s">
        <v>71</v>
      </c>
      <c r="T81" t="s">
        <v>76</v>
      </c>
      <c r="U81">
        <f t="shared" si="75"/>
        <v>18.5</v>
      </c>
      <c r="V81">
        <f t="shared" si="76"/>
        <v>0</v>
      </c>
      <c r="W81">
        <f t="shared" si="77"/>
        <v>125</v>
      </c>
      <c r="X81">
        <f t="shared" si="78"/>
        <v>0.4</v>
      </c>
      <c r="Y81">
        <v>0.9</v>
      </c>
      <c r="Z81">
        <v>0</v>
      </c>
      <c r="AB81">
        <f t="shared" si="79"/>
        <v>119.69468010177111</v>
      </c>
      <c r="AJ81">
        <f t="shared" si="80"/>
        <v>4.7849441679820552</v>
      </c>
      <c r="AK81">
        <v>0.25</v>
      </c>
      <c r="AZ81">
        <f t="shared" si="81"/>
        <v>0</v>
      </c>
      <c r="BA81">
        <f t="shared" si="82"/>
        <v>0</v>
      </c>
      <c r="BB81">
        <f t="shared" si="83"/>
        <v>4.0943445622221004</v>
      </c>
      <c r="BC81">
        <f t="shared" si="84"/>
        <v>-3.5650431999999999</v>
      </c>
      <c r="BD81">
        <f t="shared" si="85"/>
        <v>0.52183889999999999</v>
      </c>
      <c r="BE81">
        <f t="shared" si="86"/>
        <v>2.3921401399999995</v>
      </c>
      <c r="BF81">
        <f t="shared" si="87"/>
        <v>0.529226419371848</v>
      </c>
      <c r="CE81">
        <f t="shared" si="88"/>
        <v>2.2276265</v>
      </c>
      <c r="CG81">
        <f t="shared" si="89"/>
        <v>-1.3862943611198906</v>
      </c>
      <c r="CH81">
        <f t="shared" si="90"/>
        <v>2.1787488388801091</v>
      </c>
      <c r="CI81">
        <f t="shared" si="91"/>
        <v>0.97805841279052352</v>
      </c>
      <c r="CJ81">
        <f t="shared" si="99"/>
        <v>2.2507436237850884</v>
      </c>
      <c r="CK81">
        <f t="shared" si="93"/>
        <v>4.3131005062771068</v>
      </c>
      <c r="CT81">
        <f t="shared" si="94"/>
        <v>2.4501867856489552</v>
      </c>
      <c r="CU81">
        <f t="shared" si="98"/>
        <v>11.590511458250456</v>
      </c>
      <c r="CV81">
        <f t="shared" si="95"/>
        <v>0.57229738456854751</v>
      </c>
      <c r="CW81">
        <v>0.3</v>
      </c>
    </row>
    <row r="82" spans="1:101" x14ac:dyDescent="0.25">
      <c r="A82">
        <v>57</v>
      </c>
      <c r="B82">
        <v>177</v>
      </c>
      <c r="C82" t="str">
        <f t="shared" si="74"/>
        <v>Reverse</v>
      </c>
      <c r="D82">
        <v>0.86360000000000003</v>
      </c>
      <c r="E82">
        <f t="shared" si="96"/>
        <v>863.6</v>
      </c>
      <c r="F82">
        <v>1.1130000000000001E-2</v>
      </c>
      <c r="G82">
        <f t="shared" si="96"/>
        <v>11.13</v>
      </c>
      <c r="H82">
        <f t="shared" si="97"/>
        <v>77.592093441150041</v>
      </c>
      <c r="I82">
        <v>50</v>
      </c>
      <c r="R82">
        <v>30</v>
      </c>
      <c r="S82" t="s">
        <v>71</v>
      </c>
      <c r="T82" t="s">
        <v>72</v>
      </c>
      <c r="U82">
        <f t="shared" si="75"/>
        <v>17.5</v>
      </c>
      <c r="V82">
        <f t="shared" si="76"/>
        <v>0</v>
      </c>
      <c r="W82">
        <f t="shared" si="77"/>
        <v>37.5</v>
      </c>
      <c r="X82">
        <f t="shared" si="78"/>
        <v>1.1000000000000001</v>
      </c>
      <c r="Y82">
        <v>0.9</v>
      </c>
      <c r="Z82">
        <v>0</v>
      </c>
      <c r="AB82">
        <f t="shared" si="79"/>
        <v>111.91452589515602</v>
      </c>
      <c r="AJ82">
        <f t="shared" si="80"/>
        <v>4.7177354182886058</v>
      </c>
      <c r="AK82">
        <v>0.28000000000000003</v>
      </c>
      <c r="AZ82">
        <f t="shared" si="81"/>
        <v>0</v>
      </c>
      <c r="BA82">
        <f t="shared" si="82"/>
        <v>0</v>
      </c>
      <c r="BB82">
        <f t="shared" si="83"/>
        <v>4.3514655333531991</v>
      </c>
      <c r="BC82">
        <f t="shared" si="84"/>
        <v>-3.4473329600000002</v>
      </c>
      <c r="BD82">
        <f t="shared" si="85"/>
        <v>0.54384142000000002</v>
      </c>
      <c r="BE82">
        <f t="shared" si="86"/>
        <v>2.3724054919999999</v>
      </c>
      <c r="BF82">
        <f t="shared" si="87"/>
        <v>0.64839201388581147</v>
      </c>
      <c r="CE82">
        <f t="shared" si="88"/>
        <v>2.2020766999999997</v>
      </c>
      <c r="CG82">
        <f t="shared" si="89"/>
        <v>-1.2729656758128873</v>
      </c>
      <c r="CH82">
        <f t="shared" si="90"/>
        <v>2.1743672841871131</v>
      </c>
      <c r="CI82">
        <f t="shared" si="91"/>
        <v>0.98741668906769386</v>
      </c>
      <c r="CJ82">
        <f t="shared" si="99"/>
        <v>2.5311097606942257</v>
      </c>
      <c r="CK82">
        <f t="shared" si="93"/>
        <v>4.6541320090960072</v>
      </c>
      <c r="CT82">
        <f t="shared" si="94"/>
        <v>2.9301185309818187</v>
      </c>
      <c r="CU82">
        <f t="shared" si="98"/>
        <v>18.729850432665824</v>
      </c>
      <c r="CV82">
        <f t="shared" si="95"/>
        <v>0.57229738456854751</v>
      </c>
      <c r="CW82">
        <v>0.3</v>
      </c>
    </row>
    <row r="83" spans="1:101" x14ac:dyDescent="0.25">
      <c r="A83">
        <v>58</v>
      </c>
      <c r="B83">
        <v>179</v>
      </c>
      <c r="C83" t="str">
        <f t="shared" si="74"/>
        <v>Reverse</v>
      </c>
      <c r="D83">
        <v>1.0668</v>
      </c>
      <c r="E83">
        <f t="shared" si="96"/>
        <v>1066.8</v>
      </c>
      <c r="F83">
        <v>1.2699999999999999E-2</v>
      </c>
      <c r="G83">
        <f t="shared" si="96"/>
        <v>12.7</v>
      </c>
      <c r="H83">
        <f t="shared" si="97"/>
        <v>84</v>
      </c>
      <c r="I83">
        <v>100</v>
      </c>
      <c r="R83">
        <v>23</v>
      </c>
      <c r="S83" t="s">
        <v>71</v>
      </c>
      <c r="T83" t="s">
        <v>74</v>
      </c>
      <c r="U83">
        <f t="shared" si="75"/>
        <v>18</v>
      </c>
      <c r="V83">
        <f t="shared" si="76"/>
        <v>0</v>
      </c>
      <c r="W83">
        <f t="shared" si="77"/>
        <v>75</v>
      </c>
      <c r="X83">
        <f t="shared" si="78"/>
        <v>0.72</v>
      </c>
      <c r="Y83">
        <v>0.9</v>
      </c>
      <c r="Z83">
        <v>0</v>
      </c>
      <c r="AB83">
        <f t="shared" si="79"/>
        <v>180.97835631387795</v>
      </c>
      <c r="AJ83">
        <f t="shared" si="80"/>
        <v>5.1983774457393972</v>
      </c>
      <c r="AK83">
        <v>0.18</v>
      </c>
      <c r="AZ83">
        <f t="shared" si="81"/>
        <v>0</v>
      </c>
      <c r="BA83">
        <f t="shared" si="82"/>
        <v>0</v>
      </c>
      <c r="BB83">
        <f t="shared" si="83"/>
        <v>4.4308167988433134</v>
      </c>
      <c r="BC83">
        <f t="shared" si="84"/>
        <v>-3.1838624800000002</v>
      </c>
      <c r="BD83">
        <f t="shared" si="85"/>
        <v>0.59384645999999996</v>
      </c>
      <c r="BE83">
        <f t="shared" si="86"/>
        <v>2.3415361959999998</v>
      </c>
      <c r="BF83">
        <f t="shared" si="87"/>
        <v>0.92075337266705359</v>
      </c>
      <c r="CE83">
        <f t="shared" si="88"/>
        <v>2.1405770999999998</v>
      </c>
      <c r="CG83">
        <f t="shared" si="89"/>
        <v>-1.7147984280919266</v>
      </c>
      <c r="CH83">
        <f t="shared" si="90"/>
        <v>1.4690640519080735</v>
      </c>
      <c r="CI83">
        <f t="shared" si="91"/>
        <v>0.68629345418488952</v>
      </c>
      <c r="CJ83">
        <f t="shared" si="99"/>
        <v>0.8409150977233486</v>
      </c>
      <c r="CK83">
        <f t="shared" si="93"/>
        <v>1.416048009654463</v>
      </c>
      <c r="CT83">
        <f t="shared" si="94"/>
        <v>-4.7348136784832739E-3</v>
      </c>
      <c r="CU83">
        <f t="shared" si="98"/>
        <v>0.99527637788151735</v>
      </c>
      <c r="CV83">
        <f t="shared" si="95"/>
        <v>0.57229738456854751</v>
      </c>
      <c r="CW83">
        <v>0.3</v>
      </c>
    </row>
    <row r="84" spans="1:101" x14ac:dyDescent="0.25">
      <c r="A84">
        <v>59</v>
      </c>
      <c r="B84">
        <v>175</v>
      </c>
      <c r="C84" t="str">
        <f t="shared" si="74"/>
        <v>Reverse</v>
      </c>
      <c r="D84">
        <v>0.60960000000000003</v>
      </c>
      <c r="E84">
        <f t="shared" si="96"/>
        <v>609.6</v>
      </c>
      <c r="F84">
        <v>1.1130000000000001E-2</v>
      </c>
      <c r="G84">
        <f t="shared" si="96"/>
        <v>11.13</v>
      </c>
      <c r="H84">
        <f t="shared" si="97"/>
        <v>54.770889487870619</v>
      </c>
      <c r="I84">
        <v>150</v>
      </c>
      <c r="R84">
        <v>16</v>
      </c>
      <c r="S84" t="s">
        <v>71</v>
      </c>
      <c r="T84" t="s">
        <v>76</v>
      </c>
      <c r="U84">
        <f t="shared" si="75"/>
        <v>18.5</v>
      </c>
      <c r="V84">
        <f t="shared" si="76"/>
        <v>0</v>
      </c>
      <c r="W84">
        <f t="shared" si="77"/>
        <v>125</v>
      </c>
      <c r="X84">
        <f t="shared" si="78"/>
        <v>0.4</v>
      </c>
      <c r="Y84">
        <v>0.9</v>
      </c>
      <c r="Z84">
        <v>0</v>
      </c>
      <c r="AB84">
        <f t="shared" si="79"/>
        <v>95.755744081416907</v>
      </c>
      <c r="AJ84">
        <f t="shared" si="80"/>
        <v>4.5618006166678455</v>
      </c>
      <c r="AK84">
        <v>0.4</v>
      </c>
      <c r="AZ84">
        <f t="shared" si="81"/>
        <v>0</v>
      </c>
      <c r="BA84">
        <f t="shared" si="82"/>
        <v>0</v>
      </c>
      <c r="BB84">
        <f t="shared" si="83"/>
        <v>4.0031588390849828</v>
      </c>
      <c r="BC84">
        <f t="shared" si="84"/>
        <v>-3.32085856</v>
      </c>
      <c r="BD84">
        <f t="shared" si="85"/>
        <v>0.57883511999999993</v>
      </c>
      <c r="BE84">
        <f t="shared" si="86"/>
        <v>2.550742112</v>
      </c>
      <c r="BF84">
        <f t="shared" si="87"/>
        <v>0.37086793548713748</v>
      </c>
      <c r="CE84">
        <f t="shared" si="88"/>
        <v>2.1099511999999998</v>
      </c>
      <c r="CG84">
        <f t="shared" si="89"/>
        <v>-0.916290731874155</v>
      </c>
      <c r="CH84">
        <f t="shared" si="90"/>
        <v>2.4045678281258449</v>
      </c>
      <c r="CI84">
        <f t="shared" si="91"/>
        <v>1.13963196311168</v>
      </c>
      <c r="CJ84">
        <f>IF(CI84&gt;=1,5,ATANH(CI84))</f>
        <v>5</v>
      </c>
      <c r="CK84">
        <f t="shared" si="93"/>
        <v>8.6380384106617445</v>
      </c>
      <c r="CT84">
        <f t="shared" si="94"/>
        <v>6.4581642341488816</v>
      </c>
      <c r="CU84">
        <f t="shared" si="98"/>
        <v>637.88896627595602</v>
      </c>
      <c r="CV84">
        <f t="shared" si="95"/>
        <v>0.57229738456854751</v>
      </c>
      <c r="CW84">
        <v>0.3</v>
      </c>
    </row>
    <row r="85" spans="1:101" x14ac:dyDescent="0.25">
      <c r="A85">
        <v>60</v>
      </c>
      <c r="B85">
        <v>180</v>
      </c>
      <c r="C85" t="str">
        <f t="shared" si="74"/>
        <v>Reverse</v>
      </c>
      <c r="D85">
        <v>0.60960000000000003</v>
      </c>
      <c r="E85">
        <f t="shared" si="96"/>
        <v>609.6</v>
      </c>
      <c r="F85">
        <v>1.1130000000000001E-2</v>
      </c>
      <c r="G85">
        <f t="shared" si="96"/>
        <v>11.13</v>
      </c>
      <c r="H85">
        <f t="shared" si="97"/>
        <v>54.770889487870619</v>
      </c>
      <c r="I85">
        <v>200</v>
      </c>
      <c r="R85">
        <v>15</v>
      </c>
      <c r="S85" t="s">
        <v>71</v>
      </c>
      <c r="T85" t="s">
        <v>72</v>
      </c>
      <c r="U85">
        <f t="shared" si="75"/>
        <v>17.5</v>
      </c>
      <c r="V85">
        <f t="shared" si="76"/>
        <v>0</v>
      </c>
      <c r="W85">
        <f t="shared" si="77"/>
        <v>37.5</v>
      </c>
      <c r="X85">
        <f t="shared" si="78"/>
        <v>1.1000000000000001</v>
      </c>
      <c r="Y85">
        <v>0.9</v>
      </c>
      <c r="Z85">
        <v>0</v>
      </c>
      <c r="AB85">
        <f t="shared" si="79"/>
        <v>78.998488867168945</v>
      </c>
      <c r="AJ85">
        <f t="shared" si="80"/>
        <v>4.3694287240203895</v>
      </c>
      <c r="AK85">
        <v>1.2</v>
      </c>
      <c r="AZ85">
        <f t="shared" si="81"/>
        <v>0</v>
      </c>
      <c r="BA85">
        <f t="shared" si="82"/>
        <v>0</v>
      </c>
      <c r="BB85">
        <f t="shared" si="83"/>
        <v>4.0031588390849828</v>
      </c>
      <c r="BC85">
        <f t="shared" si="84"/>
        <v>-3.18060856</v>
      </c>
      <c r="BD85">
        <f t="shared" si="85"/>
        <v>0.60883511999999995</v>
      </c>
      <c r="BE85">
        <f t="shared" si="86"/>
        <v>2.5937421120000002</v>
      </c>
      <c r="BF85">
        <f t="shared" si="87"/>
        <v>0.28025382529312659</v>
      </c>
      <c r="CE85">
        <f t="shared" si="88"/>
        <v>2.0579511999999998</v>
      </c>
      <c r="CG85">
        <f t="shared" si="89"/>
        <v>0.18232155679395459</v>
      </c>
      <c r="CH85">
        <f t="shared" si="90"/>
        <v>3.3629301167939545</v>
      </c>
      <c r="CI85">
        <f t="shared" si="91"/>
        <v>1.6341155790253699</v>
      </c>
      <c r="CJ85">
        <f>IF(CI85&gt;=1,5,ATANH(CI85))</f>
        <v>5</v>
      </c>
      <c r="CK85">
        <f t="shared" si="93"/>
        <v>8.2124040413437385</v>
      </c>
      <c r="CT85">
        <f t="shared" si="94"/>
        <v>5.8989157546368647</v>
      </c>
      <c r="CU85">
        <f t="shared" si="98"/>
        <v>364.64189217273321</v>
      </c>
      <c r="CV85">
        <f t="shared" si="95"/>
        <v>0.57229738456854751</v>
      </c>
      <c r="CW85">
        <v>0.3</v>
      </c>
    </row>
    <row r="87" spans="1:101" x14ac:dyDescent="0.25">
      <c r="D87" t="s">
        <v>1</v>
      </c>
      <c r="E87" t="s">
        <v>2</v>
      </c>
      <c r="F87" t="s">
        <v>3</v>
      </c>
      <c r="G87" t="s">
        <v>4</v>
      </c>
      <c r="H87" t="s">
        <v>5</v>
      </c>
      <c r="I87" t="s">
        <v>6</v>
      </c>
      <c r="J87" t="s">
        <v>7</v>
      </c>
      <c r="K87" s="1" t="s">
        <v>8</v>
      </c>
      <c r="L87" s="1" t="s">
        <v>9</v>
      </c>
      <c r="M87" s="1" t="s">
        <v>10</v>
      </c>
      <c r="N87" s="1" t="s">
        <v>11</v>
      </c>
      <c r="O87" s="2" t="s">
        <v>12</v>
      </c>
      <c r="P87" t="s">
        <v>13</v>
      </c>
      <c r="Q87" t="s">
        <v>14</v>
      </c>
      <c r="R87" t="s">
        <v>15</v>
      </c>
      <c r="S87" t="s">
        <v>16</v>
      </c>
      <c r="T87" t="s">
        <v>17</v>
      </c>
      <c r="U87" t="s">
        <v>18</v>
      </c>
      <c r="V87" t="s">
        <v>19</v>
      </c>
      <c r="W87" t="s">
        <v>20</v>
      </c>
      <c r="X87" t="s">
        <v>21</v>
      </c>
      <c r="Y87" t="s">
        <v>22</v>
      </c>
      <c r="Z87" t="s">
        <v>23</v>
      </c>
      <c r="AA87" t="s">
        <v>24</v>
      </c>
      <c r="AB87" t="s">
        <v>25</v>
      </c>
      <c r="AE87" t="s">
        <v>26</v>
      </c>
      <c r="AF87" t="s">
        <v>27</v>
      </c>
      <c r="AG87" t="s">
        <v>28</v>
      </c>
      <c r="AH87" t="s">
        <v>29</v>
      </c>
      <c r="AI87" t="s">
        <v>30</v>
      </c>
      <c r="AJ87" t="s">
        <v>31</v>
      </c>
      <c r="AK87" t="s">
        <v>58</v>
      </c>
      <c r="AL87" t="s">
        <v>32</v>
      </c>
      <c r="AM87" t="s">
        <v>33</v>
      </c>
      <c r="AN87" t="s">
        <v>34</v>
      </c>
      <c r="AO87" t="s">
        <v>35</v>
      </c>
      <c r="AP87" t="s">
        <v>36</v>
      </c>
      <c r="AQ87" t="s">
        <v>37</v>
      </c>
      <c r="AR87" t="s">
        <v>38</v>
      </c>
      <c r="AY87" t="s">
        <v>39</v>
      </c>
      <c r="BC87" t="s">
        <v>40</v>
      </c>
      <c r="BD87" t="s">
        <v>41</v>
      </c>
      <c r="BE87" t="s">
        <v>42</v>
      </c>
      <c r="BF87" t="s">
        <v>43</v>
      </c>
      <c r="BG87" t="s">
        <v>44</v>
      </c>
      <c r="BH87" t="s">
        <v>45</v>
      </c>
      <c r="BI87" t="s">
        <v>46</v>
      </c>
      <c r="BJ87" t="s">
        <v>47</v>
      </c>
      <c r="BK87" t="s">
        <v>48</v>
      </c>
      <c r="BL87" t="s">
        <v>49</v>
      </c>
      <c r="BM87" t="s">
        <v>50</v>
      </c>
      <c r="BN87" t="s">
        <v>51</v>
      </c>
      <c r="BO87" t="s">
        <v>52</v>
      </c>
      <c r="BP87" t="s">
        <v>53</v>
      </c>
      <c r="CB87" t="s">
        <v>56</v>
      </c>
      <c r="CC87" t="s">
        <v>54</v>
      </c>
      <c r="CD87" t="s">
        <v>55</v>
      </c>
      <c r="CE87" t="s">
        <v>57</v>
      </c>
      <c r="CG87" t="s">
        <v>59</v>
      </c>
      <c r="CN87" t="s">
        <v>60</v>
      </c>
      <c r="CO87" t="s">
        <v>61</v>
      </c>
      <c r="CP87" t="s">
        <v>62</v>
      </c>
      <c r="CQ87" t="s">
        <v>63</v>
      </c>
      <c r="CR87" t="s">
        <v>64</v>
      </c>
      <c r="CS87" t="s">
        <v>65</v>
      </c>
      <c r="CT87" t="s">
        <v>66</v>
      </c>
      <c r="CU87" t="s">
        <v>67</v>
      </c>
      <c r="CV87" t="s">
        <v>68</v>
      </c>
      <c r="CW87" t="s">
        <v>69</v>
      </c>
    </row>
    <row r="88" spans="1:101" x14ac:dyDescent="0.25">
      <c r="A88">
        <v>61</v>
      </c>
      <c r="B88">
        <v>4</v>
      </c>
      <c r="C88" t="str">
        <f t="shared" ref="C88:C107" si="100">IF(AND(B88&gt;=0,B88&lt;=5),"Normal",IF(AND(B88&gt;5,B88&lt;90),"SSTens",IF(AND(B88&gt;=90,B88&lt;175),"SSComp",IF(AND(B88&gt;=175,B88&lt;=180),"Reverse"))))</f>
        <v>Normal</v>
      </c>
      <c r="D88">
        <v>1.0668</v>
      </c>
      <c r="E88">
        <f>D88*1000</f>
        <v>1066.8</v>
      </c>
      <c r="F88">
        <v>9.5250000000000005E-3</v>
      </c>
      <c r="G88">
        <f>F88*1000</f>
        <v>9.5250000000000004</v>
      </c>
      <c r="H88" s="3">
        <f>E88/G88</f>
        <v>111.99999999999999</v>
      </c>
      <c r="I88" s="1">
        <v>30</v>
      </c>
      <c r="J88" s="4" t="s">
        <v>70</v>
      </c>
      <c r="K88" s="1">
        <f>IF(J88="Grade-B",3,IF(J88="X-42",3,IF(J88="X-52",8,IF(J88="X-60",8,IF(J88="X-70",14,IF(J88="X-80",15,8))))))</f>
        <v>8</v>
      </c>
      <c r="L88" s="1">
        <f>IF(J88="Grade-B",8,IF(J88="X-42",9,IF(J88="X-52",10,IF(J88="X-60",12,IF(J88="X-70",15,IF(J88="X-80",20,10))))))</f>
        <v>10</v>
      </c>
      <c r="M88" s="1">
        <f>IF(J88="Grade-B",241,IF(J88="X-42",290,IF(J88="X-52",359,IF(J88="X-60",414,IF(J88="X-70",483,IF(J88="X-80",552,359))))))*1000</f>
        <v>359000</v>
      </c>
      <c r="N88" s="1">
        <f>IF(J88="Grade-B",344,IF(J88="X-42",414,IF(J88="X-52",455,IF(J88="X-60",517,IF(J88="X-70",565,IF(J88="X-80",625,M88*1.2/1000))))))*1000</f>
        <v>455000</v>
      </c>
      <c r="O88" s="1">
        <f>N88/200000000*(1+K88/(1+L88)*(N88/M88)^L88)*100</f>
        <v>1.9969902892117808</v>
      </c>
      <c r="P88" s="3">
        <f>100*IF(J88='[1]Estimation Model Normal-Slip'!$J$8,'[1]Estimation Model Normal-Slip'!$O$8,IF(J88='[1]Estimation Model Normal-Slip'!$J$9,'[1]Estimation Model Normal-Slip'!$O$9,IF(J88='[1]Estimation Model Normal-Slip'!$J$10,'[1]Estimation Model Normal-Slip'!$O$10,IF(J88='[1]Estimation Model Normal-Slip'!$J$11,'[1]Estimation Model Normal-Slip'!$O$11,IF(J88='[1]Estimation Model Normal-Slip'!$J$12,'[1]Estimation Model Normal-Slip'!$O$12,IF(J88='[1]Estimation Model Normal-Slip'!$J$13,'[1]Estimation Model Normal-Slip'!$O$13,2))))))</f>
        <v>1.9041242414694344</v>
      </c>
      <c r="Q88" s="1">
        <f>LN(O88)</f>
        <v>0.69164119173371341</v>
      </c>
      <c r="R88" s="1">
        <v>45</v>
      </c>
      <c r="S88" s="1" t="s">
        <v>71</v>
      </c>
      <c r="T88" t="s">
        <v>72</v>
      </c>
      <c r="U88">
        <f>IF(T88="medium dense",18,IF(T88="dense",18.5,IF(T88="very dense",19,IF(T88="soft",17.5,IF(T88="medium stiff",18,IF(T88="stiff",18.5,0))))))</f>
        <v>17.5</v>
      </c>
      <c r="V88" s="1">
        <f>IF(T88="medium dense",37,IF(T88="dense",40,IF(T88="very dense",43,0)))</f>
        <v>0</v>
      </c>
      <c r="W88">
        <f>IF(T88="soft",37.5,IF(T88="medium stiff",75,IF(T88="stiff",125,0)))</f>
        <v>37.5</v>
      </c>
      <c r="X88">
        <f>IF(T88="soft",1.1,IF(T88="medium stiff",0.72,IF(T88="stiff",0.4,0)))</f>
        <v>1.1000000000000001</v>
      </c>
      <c r="Y88">
        <v>0.9</v>
      </c>
      <c r="Z88" s="1">
        <v>0.78739999999999999</v>
      </c>
      <c r="AA88" s="1">
        <f t="shared" ref="AA88:AA107" si="101">MIN(11.5,MAX(1.8,Z88/D88))</f>
        <v>1.8</v>
      </c>
      <c r="AB88">
        <f>IF(S88="sand", PI() * D88 * Z88*U88* TAN(RADIANS(Y88*V88)), PI() * D88 * X88 * W88)</f>
        <v>138.24735551754566</v>
      </c>
      <c r="AE88">
        <f>IF(T88="medium dense",'[1]Coefficient Normal'!$E$18 + ('[1]Coefficient Normal'!$E$19*AA88) + ('[1]Coefficient Normal'!$E$20*(AA88^2)) + ('[1]Coefficient Normal'!$E$21*(AA88^3)) + ('[1]Coefficient Normal'!$E$22*(AA88^4)),IF(T88="dense",'[1]Coefficient Normal'!$F$18 + ('[1]Coefficient Normal'!$F$19*AA88) + ('[1]Coefficient Normal'!$F$20*(AA88^2)) + ('[1]Coefficient Normal'!$F$21*(AA88^3)) + ('[1]Coefficient Normal'!$F$22*(AA88^4)),IF(T88="very dense",'[1]Coefficient Normal'!$G$18 + ('[1]Coefficient Normal'!$G$19*AA88) + ('[1]Coefficient Normal'!$G$20*(AA88^2)) + ('[1]Coefficient Normal'!$G$21*(AA88^3)) + ('[1]Coefficient Normal'!$G$22*(AA88^4)),0)))</f>
        <v>0</v>
      </c>
      <c r="AF88">
        <f t="shared" ref="AF88:AF107" si="102">IF(S88="sand",MIN(80,EXP(0.18*V88-2.5)),0)</f>
        <v>0</v>
      </c>
      <c r="AG88">
        <f t="shared" ref="AG88:AG107" si="103">IF(S88="sand",AE88*U88*Z88*D88 + 0.5*U88*(D88^2)*AF88,5.14*W88*D88)</f>
        <v>205.62569999999999</v>
      </c>
      <c r="AH88">
        <f>LN(AG88)</f>
        <v>5.3260575257691611</v>
      </c>
      <c r="AI88">
        <f t="shared" ref="AI88:AI107" si="104">LN(H88)</f>
        <v>4.7184988712950942</v>
      </c>
      <c r="AJ88">
        <f t="shared" ref="AJ88:AJ107" si="105">LN(AB88)</f>
        <v>4.9290445119558122</v>
      </c>
      <c r="AK88" s="1">
        <v>2.2496671510000001</v>
      </c>
      <c r="AL88" s="5">
        <f>VLOOKUP(R88,'[1]Coefficient Normal'!$A$3:$H$7,2,TRUE)</f>
        <v>3.7532999999999999</v>
      </c>
      <c r="AM88" s="5">
        <f>VLOOKUP(R88,'[1]Coefficient Normal'!$A$3:$H$7,3,TRUE)</f>
        <v>0.14510000000000001</v>
      </c>
      <c r="AN88" s="5">
        <f>VLOOKUP(R88,'[1]Coefficient Normal'!$A$3:$H$7,4,TRUE)</f>
        <v>1.2497</v>
      </c>
      <c r="AO88" s="5">
        <f>VLOOKUP(R88,'[1]Coefficient Normal'!$A$3:$H$7,5,TRUE)</f>
        <v>-0.46100000000000002</v>
      </c>
      <c r="AP88" s="5">
        <f>VLOOKUP(R88,'[1]Coefficient Normal'!$A$3:$H$7,6,TRUE)</f>
        <v>0.39140000000000003</v>
      </c>
      <c r="AQ88" s="5">
        <f>VLOOKUP(R88,'[1]Coefficient Normal'!$A$3:$H$7,7,TRUE)</f>
        <v>-0.21310000000000001</v>
      </c>
      <c r="AR88" s="5">
        <f>VLOOKUP(R88,'[1]Coefficient Normal'!$A$3:$H$7,8,TRUE)</f>
        <v>-0.34139999999999998</v>
      </c>
      <c r="AS88" s="5"/>
      <c r="AT88" s="5"/>
      <c r="AU88" s="5"/>
      <c r="AV88" s="5"/>
      <c r="AW88" s="5"/>
      <c r="AY88" s="5">
        <f t="shared" ref="AY88:AY107" si="106">AL88+AM88*LN(I88) + AN88*LN(D88) + AO88*AI88 + AP88*Q88 + AQ88*AH88 + AR88*AJ88</f>
        <v>-0.39465453966325215</v>
      </c>
      <c r="BC88" s="5">
        <f>VLOOKUP(R88,'[1]Coefficient Normal'!$A$10:$P$14,2,TRUE)</f>
        <v>-1.1082000000000001</v>
      </c>
      <c r="BD88" s="5">
        <f>VLOOKUP(R88,'[1]Coefficient Normal'!$A$10:$P$14,3,TRUE)</f>
        <v>0.10630000000000001</v>
      </c>
      <c r="BE88" s="5">
        <f>VLOOKUP(R88,'[1]Coefficient Normal'!$A$10:$P$14,4,TRUE)</f>
        <v>-0.1439</v>
      </c>
      <c r="BF88" s="5">
        <f>VLOOKUP(R88,'[1]Coefficient Normal'!$A$10:$P$14,5,TRUE)</f>
        <v>0.27879999999999999</v>
      </c>
      <c r="BG88" s="5">
        <f>VLOOKUP(R88,'[1]Coefficient Normal'!$A$10:$P$14,6,TRUE)</f>
        <v>-0.31030000000000002</v>
      </c>
      <c r="BH88" s="5">
        <f>VLOOKUP(R88,'[1]Coefficient Normal'!$A$10:$P$14,7,TRUE)</f>
        <v>1.2553000000000001</v>
      </c>
      <c r="BI88" s="5">
        <f>VLOOKUP(R88,'[1]Coefficient Normal'!$A$10:$P$14,8,TRUE)</f>
        <v>2.9999999999999997E-4</v>
      </c>
      <c r="BJ88" s="5">
        <f>VLOOKUP(R88,'[1]Coefficient Normal'!$A$10:$P$14,9,TRUE)</f>
        <v>5.1999999999999998E-3</v>
      </c>
      <c r="BK88" s="5">
        <f>VLOOKUP(R88,'[1]Coefficient Normal'!$A$10:$P$14,10,TRUE)</f>
        <v>-8.5900000000000004E-2</v>
      </c>
      <c r="BL88" s="5">
        <f>VLOOKUP(R88,'[1]Coefficient Normal'!$A$10:$P$14,11,TRUE)</f>
        <v>5.9999999999999995E-4</v>
      </c>
      <c r="BM88" s="5">
        <f>VLOOKUP(R88,'[1]Coefficient Normal'!$A$10:$P$14,12,TRUE)</f>
        <v>-0.21759999999999999</v>
      </c>
      <c r="BN88" s="5">
        <f>VLOOKUP(R88,'[1]Coefficient Normal'!$A$10:$P$14,13,TRUE)</f>
        <v>-2.69E-2</v>
      </c>
      <c r="BO88" s="5">
        <f>VLOOKUP(R88,'[1]Coefficient Normal'!$A$10:$P$14,14,TRUE)</f>
        <v>0.57389999999999997</v>
      </c>
      <c r="BP88" s="5">
        <f>VLOOKUP(R88,'[1]Coefficient Normal'!$A$10:$P$14,15,TRUE)</f>
        <v>0.34460000000000002</v>
      </c>
      <c r="BQ88" s="5"/>
      <c r="BR88" s="5"/>
      <c r="BS88" s="5"/>
      <c r="BT88" s="5"/>
      <c r="BU88" s="5"/>
      <c r="BV88" s="5"/>
      <c r="BW88" s="5"/>
      <c r="BX88" s="5"/>
      <c r="BY88" s="5"/>
      <c r="CB88" s="6">
        <f t="shared" ref="CB88:CB107" si="107">IF(S88="sand",1,0)</f>
        <v>0</v>
      </c>
      <c r="CC88" s="6">
        <f t="shared" ref="CC88:CC107" si="108">IF(CG88&lt;AY88,1,0)</f>
        <v>0</v>
      </c>
      <c r="CD88" s="6">
        <f t="shared" ref="CD88:CD107" si="109">IF(I88&lt;100,1,0)</f>
        <v>1</v>
      </c>
      <c r="CE88" s="5">
        <f t="shared" ref="CE88:CE107" si="110">CC88 * (BH88+BI88*AB88 + BJ88*CD88*(I88-100) + BK88*(1-CD88) + BL88*H88) + (1-CC88) * (BM88 + BN88*CD88*(I88-100) + BO88*(1-CD88) + BP88*Q88)</f>
        <v>1.9037395546714377</v>
      </c>
      <c r="CG88">
        <f t="shared" ref="CG88:CG107" si="111">LN(AK88)</f>
        <v>0.8107822723842909</v>
      </c>
      <c r="CN88" s="5">
        <f t="shared" ref="CN88:CN107" si="112">CG88-AY88</f>
        <v>1.2054368120475432</v>
      </c>
      <c r="CO88" s="5">
        <f t="shared" ref="CO88:CO107" si="113">CE88*CN88</f>
        <v>2.2948377397519475</v>
      </c>
      <c r="CP88" s="5">
        <f t="shared" ref="CP88:CP107" si="114">BD88*AI88</f>
        <v>0.50157643001866858</v>
      </c>
      <c r="CQ88" s="5">
        <f t="shared" ref="CQ88:CQ107" si="115">BE88*CB88*AJ88</f>
        <v>0</v>
      </c>
      <c r="CR88" s="5">
        <f t="shared" ref="CR88:CR107" si="116">BF88*AH88</f>
        <v>1.4849048381844421</v>
      </c>
      <c r="CS88" s="5">
        <f t="shared" ref="CS88:CS107" si="117">BG88* LN(D88)</f>
        <v>-2.0065088184971575E-2</v>
      </c>
      <c r="CT88" s="5">
        <f t="shared" ref="CT88:CT107" si="118">BC88+CO88+CP88+CQ88+CR88+CS88</f>
        <v>3.1530539197700866</v>
      </c>
      <c r="CU88" s="7">
        <f>EXP(CT88)</f>
        <v>23.407439981823291</v>
      </c>
      <c r="CV88">
        <f>VLOOKUP(R88,'[1]Coefficient Normal'!$A$10:$P$14,16,TRUE)</f>
        <v>0.3997</v>
      </c>
      <c r="CW88">
        <v>0.3</v>
      </c>
    </row>
    <row r="89" spans="1:101" x14ac:dyDescent="0.25">
      <c r="A89">
        <v>62</v>
      </c>
      <c r="B89">
        <v>3</v>
      </c>
      <c r="C89" t="str">
        <f t="shared" si="100"/>
        <v>Normal</v>
      </c>
      <c r="D89">
        <v>0.60960000000000003</v>
      </c>
      <c r="E89">
        <f t="shared" ref="E89:G107" si="119">D89*1000</f>
        <v>609.6</v>
      </c>
      <c r="F89">
        <v>9.5250000000000005E-3</v>
      </c>
      <c r="G89">
        <f t="shared" si="119"/>
        <v>9.5250000000000004</v>
      </c>
      <c r="H89" s="3">
        <f t="shared" ref="H89:H107" si="120">E89/G89</f>
        <v>64</v>
      </c>
      <c r="I89" s="1">
        <v>50</v>
      </c>
      <c r="J89" s="4" t="s">
        <v>73</v>
      </c>
      <c r="K89" s="1">
        <f t="shared" ref="K89:K107" si="121">IF(J89="Grade-B",3,IF(J89="X-42",3,IF(J89="X-52",8,IF(J89="X-60",8,IF(J89="X-70",14,IF(J89="X-80",15,8))))))</f>
        <v>8</v>
      </c>
      <c r="L89" s="1">
        <f t="shared" ref="L89:L107" si="122">IF(J89="Grade-B",8,IF(J89="X-42",9,IF(J89="X-52",10,IF(J89="X-60",12,IF(J89="X-70",15,IF(J89="X-80",20,10))))))</f>
        <v>12</v>
      </c>
      <c r="M89" s="1">
        <f t="shared" ref="M89:M107" si="123">IF(J89="Grade-B",241,IF(J89="X-42",290,IF(J89="X-52",359,IF(J89="X-60",414,IF(J89="X-70",483,IF(J89="X-80",552,359))))))*1000</f>
        <v>414000</v>
      </c>
      <c r="N89" s="1">
        <f t="shared" ref="N89:N107" si="124">IF(J89="Grade-B",344,IF(J89="X-42",414,IF(J89="X-52",455,IF(J89="X-60",517,IF(J89="X-70",565,IF(J89="X-80",625,M89*1.2/1000))))))*1000</f>
        <v>517000</v>
      </c>
      <c r="O89" s="1">
        <f t="shared" ref="O89:O107" si="125">N89/200000000*(1+K89/(1+L89)*(N89/M89)^L89)*100</f>
        <v>2.5466769467238102</v>
      </c>
      <c r="P89" s="3">
        <f>100*IF(J89='[1]Estimation Model Normal-Slip'!$J$8,'[1]Estimation Model Normal-Slip'!$O$8,IF(J89='[1]Estimation Model Normal-Slip'!$J$9,'[1]Estimation Model Normal-Slip'!$O$9,IF(J89='[1]Estimation Model Normal-Slip'!$J$10,'[1]Estimation Model Normal-Slip'!$O$10,IF(J89='[1]Estimation Model Normal-Slip'!$J$11,'[1]Estimation Model Normal-Slip'!$O$11,IF(J89='[1]Estimation Model Normal-Slip'!$J$12,'[1]Estimation Model Normal-Slip'!$O$12,IF(J89='[1]Estimation Model Normal-Slip'!$J$13,'[1]Estimation Model Normal-Slip'!$O$13,2))))))</f>
        <v>2.4313344008036557</v>
      </c>
      <c r="Q89" s="1">
        <f t="shared" ref="Q89:Q107" si="126">LN(O89)</f>
        <v>0.93478935117382533</v>
      </c>
      <c r="R89" s="1">
        <v>60</v>
      </c>
      <c r="S89" s="1" t="s">
        <v>71</v>
      </c>
      <c r="T89" t="s">
        <v>74</v>
      </c>
      <c r="U89">
        <f t="shared" ref="U89:U107" si="127">IF(T89="medium dense",18,IF(T89="dense",18.5,IF(T89="very dense",19,IF(T89="soft",17.5,IF(T89="medium stiff",18,IF(T89="stiff",18.5,0))))))</f>
        <v>18</v>
      </c>
      <c r="V89" s="1">
        <f t="shared" ref="V89:V107" si="128">IF(T89="medium dense",37,IF(T89="dense",40,IF(T89="very dense",43,0)))</f>
        <v>0</v>
      </c>
      <c r="W89">
        <f t="shared" ref="W89:W107" si="129">IF(T89="soft",37.5,IF(T89="medium stiff",75,IF(T89="stiff",125,0)))</f>
        <v>75</v>
      </c>
      <c r="X89">
        <f t="shared" ref="X89:X107" si="130">IF(T89="soft",1.1,IF(T89="medium stiff",0.72,IF(T89="stiff",0.4,0)))</f>
        <v>0.72</v>
      </c>
      <c r="Y89">
        <v>0.9</v>
      </c>
      <c r="Z89" s="1">
        <v>1</v>
      </c>
      <c r="AA89" s="1">
        <f t="shared" si="101"/>
        <v>1.8</v>
      </c>
      <c r="AB89">
        <f t="shared" ref="AB89:AB107" si="131">IF(S89="sand", PI() * D89 * Z89*U89* TAN(RADIANS(Y89*V89)), PI() * D89 * X89 * W89)</f>
        <v>103.41620360793024</v>
      </c>
      <c r="AE89">
        <f>IF(T89="medium dense",'[1]Coefficient Normal'!$E$18 + ('[1]Coefficient Normal'!$E$19*AA89) + ('[1]Coefficient Normal'!$E$20*(AA89^2)) + ('[1]Coefficient Normal'!$E$21*(AA89^3)) + ('[1]Coefficient Normal'!$E$22*(AA89^4)),IF(T89="dense",'[1]Coefficient Normal'!$F$18 + ('[1]Coefficient Normal'!$F$19*AA89) + ('[1]Coefficient Normal'!$F$20*(AA89^2)) + ('[1]Coefficient Normal'!$F$21*(AA89^3)) + ('[1]Coefficient Normal'!$F$22*(AA89^4)),IF(T89="very dense",'[1]Coefficient Normal'!$G$18 + ('[1]Coefficient Normal'!$G$19*AA89) + ('[1]Coefficient Normal'!$G$20*(AA89^2)) + ('[1]Coefficient Normal'!$G$21*(AA89^3)) + ('[1]Coefficient Normal'!$G$22*(AA89^4)),0)))</f>
        <v>0</v>
      </c>
      <c r="AF89">
        <f t="shared" si="102"/>
        <v>0</v>
      </c>
      <c r="AG89">
        <f t="shared" si="103"/>
        <v>235.0008</v>
      </c>
      <c r="AH89">
        <f t="shared" ref="AH89:AH107" si="132">LN(AG89)</f>
        <v>5.4595889183936839</v>
      </c>
      <c r="AI89">
        <f t="shared" si="104"/>
        <v>4.1588830833596715</v>
      </c>
      <c r="AJ89">
        <f t="shared" si="105"/>
        <v>4.6387616578039736</v>
      </c>
      <c r="AK89" s="1">
        <v>2.3997944580000001</v>
      </c>
      <c r="AL89" s="5">
        <f>VLOOKUP(R89,'[1]Coefficient Normal'!$A$3:$H$7,2,TRUE)</f>
        <v>4.3182999999999998</v>
      </c>
      <c r="AM89" s="5">
        <f>VLOOKUP(R89,'[1]Coefficient Normal'!$A$3:$H$7,3,TRUE)</f>
        <v>-2.7900000000000001E-2</v>
      </c>
      <c r="AN89" s="5">
        <f>VLOOKUP(R89,'[1]Coefficient Normal'!$A$3:$H$7,4,TRUE)</f>
        <v>1.0497000000000001</v>
      </c>
      <c r="AO89" s="5">
        <f>VLOOKUP(R89,'[1]Coefficient Normal'!$A$3:$H$7,5,TRUE)</f>
        <v>-0.46910000000000002</v>
      </c>
      <c r="AP89" s="5">
        <f>VLOOKUP(R89,'[1]Coefficient Normal'!$A$3:$H$7,6,TRUE)</f>
        <v>0.29149999999999998</v>
      </c>
      <c r="AQ89" s="5">
        <f>VLOOKUP(R89,'[1]Coefficient Normal'!$A$3:$H$7,7,TRUE)</f>
        <v>-0.28610000000000002</v>
      </c>
      <c r="AR89" s="5">
        <f>VLOOKUP(R89,'[1]Coefficient Normal'!$A$3:$H$7,8,TRUE)</f>
        <v>-0.1348</v>
      </c>
      <c r="AS89" s="5"/>
      <c r="AT89" s="5"/>
      <c r="AU89" s="5"/>
      <c r="AV89" s="5"/>
      <c r="AW89" s="5"/>
      <c r="AY89" s="5">
        <f t="shared" si="106"/>
        <v>-0.17613126407050839</v>
      </c>
      <c r="BC89" s="5">
        <f>VLOOKUP(R89,'[1]Coefficient Normal'!$A$10:$P$14,2,TRUE)</f>
        <v>-2.1276999999999999</v>
      </c>
      <c r="BD89" s="5">
        <f>VLOOKUP(R89,'[1]Coefficient Normal'!$A$10:$P$14,3,TRUE)</f>
        <v>0.14760000000000001</v>
      </c>
      <c r="BE89" s="5">
        <f>VLOOKUP(R89,'[1]Coefficient Normal'!$A$10:$P$14,4,TRUE)</f>
        <v>-0.21829999999999999</v>
      </c>
      <c r="BF89" s="5">
        <f>VLOOKUP(R89,'[1]Coefficient Normal'!$A$10:$P$14,5,TRUE)</f>
        <v>0.42270000000000002</v>
      </c>
      <c r="BG89" s="5">
        <f>VLOOKUP(R89,'[1]Coefficient Normal'!$A$10:$P$14,6,TRUE)</f>
        <v>-0.53720000000000001</v>
      </c>
      <c r="BH89" s="5">
        <f>VLOOKUP(R89,'[1]Coefficient Normal'!$A$10:$P$14,7,TRUE)</f>
        <v>1.252</v>
      </c>
      <c r="BI89" s="5">
        <f>VLOOKUP(R89,'[1]Coefficient Normal'!$A$10:$P$14,8,TRUE)</f>
        <v>-5.9999999999999995E-4</v>
      </c>
      <c r="BJ89" s="5">
        <f>VLOOKUP(R89,'[1]Coefficient Normal'!$A$10:$P$14,9,TRUE)</f>
        <v>5.3E-3</v>
      </c>
      <c r="BK89" s="5">
        <f>VLOOKUP(R89,'[1]Coefficient Normal'!$A$10:$P$14,10,TRUE)</f>
        <v>-4.8500000000000001E-2</v>
      </c>
      <c r="BL89" s="5">
        <f>VLOOKUP(R89,'[1]Coefficient Normal'!$A$10:$P$14,11,TRUE)</f>
        <v>1.2999999999999999E-3</v>
      </c>
      <c r="BM89" s="5">
        <f>VLOOKUP(R89,'[1]Coefficient Normal'!$A$10:$P$14,12,TRUE)</f>
        <v>-0.56599999999999995</v>
      </c>
      <c r="BN89" s="5">
        <f>VLOOKUP(R89,'[1]Coefficient Normal'!$A$10:$P$14,13,TRUE)</f>
        <v>-3.2099999999999997E-2</v>
      </c>
      <c r="BO89" s="5">
        <f>VLOOKUP(R89,'[1]Coefficient Normal'!$A$10:$P$14,14,TRUE)</f>
        <v>0.84970000000000001</v>
      </c>
      <c r="BP89" s="5">
        <f>VLOOKUP(R89,'[1]Coefficient Normal'!$A$10:$P$14,15,TRUE)</f>
        <v>9.01E-2</v>
      </c>
      <c r="BQ89" s="5"/>
      <c r="BR89" s="5"/>
      <c r="BS89" s="5"/>
      <c r="BT89" s="5"/>
      <c r="BU89" s="5"/>
      <c r="BV89" s="5"/>
      <c r="BW89" s="5"/>
      <c r="BX89" s="5"/>
      <c r="BY89" s="5"/>
      <c r="CB89" s="6">
        <f t="shared" si="107"/>
        <v>0</v>
      </c>
      <c r="CC89" s="6">
        <f t="shared" si="108"/>
        <v>0</v>
      </c>
      <c r="CD89" s="6">
        <f t="shared" si="109"/>
        <v>1</v>
      </c>
      <c r="CE89" s="5">
        <f t="shared" si="110"/>
        <v>1.1232245205407614</v>
      </c>
      <c r="CG89">
        <f t="shared" si="111"/>
        <v>0.8753830911863717</v>
      </c>
      <c r="CN89" s="5">
        <f t="shared" si="112"/>
        <v>1.05151435525688</v>
      </c>
      <c r="CO89" s="5">
        <f t="shared" si="113"/>
        <v>1.1810867075251368</v>
      </c>
      <c r="CP89" s="5">
        <f t="shared" si="114"/>
        <v>0.61385114310388755</v>
      </c>
      <c r="CQ89" s="5">
        <f t="shared" si="115"/>
        <v>0</v>
      </c>
      <c r="CR89" s="5">
        <f t="shared" si="116"/>
        <v>2.3077682358050104</v>
      </c>
      <c r="CS89" s="5">
        <f t="shared" si="117"/>
        <v>0.26588836192033111</v>
      </c>
      <c r="CT89" s="5">
        <f t="shared" si="118"/>
        <v>2.240894448354366</v>
      </c>
      <c r="CU89" s="7">
        <f t="shared" ref="CU89:CU107" si="133">EXP(CT89)</f>
        <v>9.4017368957857244</v>
      </c>
      <c r="CV89">
        <f>VLOOKUP(R89,'[1]Coefficient Normal'!$A$10:$P$14,16,TRUE)</f>
        <v>0.50170000000000003</v>
      </c>
      <c r="CW89">
        <v>0.3</v>
      </c>
    </row>
    <row r="90" spans="1:101" x14ac:dyDescent="0.25">
      <c r="A90">
        <v>63</v>
      </c>
      <c r="B90">
        <v>1</v>
      </c>
      <c r="C90" t="str">
        <f t="shared" si="100"/>
        <v>Normal</v>
      </c>
      <c r="D90">
        <v>0.40960000000000002</v>
      </c>
      <c r="E90">
        <f t="shared" si="119"/>
        <v>409.6</v>
      </c>
      <c r="F90">
        <v>9.5250000000000005E-3</v>
      </c>
      <c r="G90">
        <f t="shared" si="119"/>
        <v>9.5250000000000004</v>
      </c>
      <c r="H90" s="3">
        <f t="shared" si="120"/>
        <v>43.00262467191601</v>
      </c>
      <c r="I90" s="1">
        <v>100</v>
      </c>
      <c r="J90" s="4" t="s">
        <v>75</v>
      </c>
      <c r="K90" s="1">
        <f t="shared" si="121"/>
        <v>14</v>
      </c>
      <c r="L90" s="1">
        <f t="shared" si="122"/>
        <v>15</v>
      </c>
      <c r="M90" s="1">
        <f t="shared" si="123"/>
        <v>483000</v>
      </c>
      <c r="N90" s="1">
        <f t="shared" si="124"/>
        <v>565000</v>
      </c>
      <c r="O90" s="1">
        <f t="shared" si="125"/>
        <v>2.8799444073326219</v>
      </c>
      <c r="P90" s="3">
        <f>100*IF(J90='[1]Estimation Model Normal-Slip'!$J$8,'[1]Estimation Model Normal-Slip'!$O$8,IF(J90='[1]Estimation Model Normal-Slip'!$J$9,'[1]Estimation Model Normal-Slip'!$O$9,IF(J90='[1]Estimation Model Normal-Slip'!$J$10,'[1]Estimation Model Normal-Slip'!$O$10,IF(J90='[1]Estimation Model Normal-Slip'!$J$11,'[1]Estimation Model Normal-Slip'!$O$11,IF(J90='[1]Estimation Model Normal-Slip'!$J$12,'[1]Estimation Model Normal-Slip'!$O$12,IF(J90='[1]Estimation Model Normal-Slip'!$J$13,'[1]Estimation Model Normal-Slip'!$O$13,2))))))</f>
        <v>2.7690517990613435</v>
      </c>
      <c r="Q90" s="1">
        <f t="shared" si="126"/>
        <v>1.0577709909520427</v>
      </c>
      <c r="R90" s="1">
        <v>75</v>
      </c>
      <c r="S90" s="1" t="s">
        <v>71</v>
      </c>
      <c r="T90" t="s">
        <v>76</v>
      </c>
      <c r="U90">
        <f t="shared" si="127"/>
        <v>18.5</v>
      </c>
      <c r="V90" s="1">
        <f t="shared" si="128"/>
        <v>0</v>
      </c>
      <c r="W90">
        <f t="shared" si="129"/>
        <v>125</v>
      </c>
      <c r="X90">
        <f t="shared" si="130"/>
        <v>0.4</v>
      </c>
      <c r="Y90">
        <v>0.9</v>
      </c>
      <c r="Z90" s="1">
        <v>1.2</v>
      </c>
      <c r="AA90" s="1">
        <f t="shared" si="101"/>
        <v>2.9296874999999996</v>
      </c>
      <c r="AB90">
        <f t="shared" si="131"/>
        <v>64.339817545518969</v>
      </c>
      <c r="AE90">
        <f>IF(T90="medium dense",'[1]Coefficient Normal'!$E$18 + ('[1]Coefficient Normal'!$E$19*AA90) + ('[1]Coefficient Normal'!$E$20*(AA90^2)) + ('[1]Coefficient Normal'!$E$21*(AA90^3)) + ('[1]Coefficient Normal'!$E$22*(AA90^4)),IF(T90="dense",'[1]Coefficient Normal'!$F$18 + ('[1]Coefficient Normal'!$F$19*AA90) + ('[1]Coefficient Normal'!$F$20*(AA90^2)) + ('[1]Coefficient Normal'!$F$21*(AA90^3)) + ('[1]Coefficient Normal'!$F$22*(AA90^4)),IF(T90="very dense",'[1]Coefficient Normal'!$G$18 + ('[1]Coefficient Normal'!$G$19*AA90) + ('[1]Coefficient Normal'!$G$20*(AA90^2)) + ('[1]Coefficient Normal'!$G$21*(AA90^3)) + ('[1]Coefficient Normal'!$G$22*(AA90^4)),0)))</f>
        <v>0</v>
      </c>
      <c r="AF90">
        <f t="shared" si="102"/>
        <v>0</v>
      </c>
      <c r="AG90">
        <f t="shared" si="103"/>
        <v>263.16800000000001</v>
      </c>
      <c r="AH90">
        <f t="shared" si="132"/>
        <v>5.5727926115125355</v>
      </c>
      <c r="AI90">
        <f t="shared" si="104"/>
        <v>3.7612611527125335</v>
      </c>
      <c r="AJ90">
        <f t="shared" si="105"/>
        <v>4.1641786860207075</v>
      </c>
      <c r="AK90" s="1">
        <v>2.5498958799999998</v>
      </c>
      <c r="AL90" s="5">
        <f>VLOOKUP(R90,'[1]Coefficient Normal'!$A$3:$H$7,2,TRUE)</f>
        <v>5.5951000000000004</v>
      </c>
      <c r="AM90" s="5">
        <f>VLOOKUP(R90,'[1]Coefficient Normal'!$A$3:$H$7,3,TRUE)</f>
        <v>1.6E-2</v>
      </c>
      <c r="AN90" s="5">
        <f>VLOOKUP(R90,'[1]Coefficient Normal'!$A$3:$H$7,4,TRUE)</f>
        <v>1.2641</v>
      </c>
      <c r="AO90" s="5">
        <f>VLOOKUP(R90,'[1]Coefficient Normal'!$A$3:$H$7,5,TRUE)</f>
        <v>-0.52429999999999999</v>
      </c>
      <c r="AP90" s="5">
        <f>VLOOKUP(R90,'[1]Coefficient Normal'!$A$3:$H$7,6,TRUE)</f>
        <v>0.35830000000000001</v>
      </c>
      <c r="AQ90" s="5">
        <f>VLOOKUP(R90,'[1]Coefficient Normal'!$A$3:$H$7,7,TRUE)</f>
        <v>-0.35920000000000002</v>
      </c>
      <c r="AR90" s="5">
        <f>VLOOKUP(R90,'[1]Coefficient Normal'!$A$3:$H$7,8,TRUE)</f>
        <v>-0.2482</v>
      </c>
      <c r="AS90" s="5"/>
      <c r="AT90" s="5"/>
      <c r="AU90" s="5"/>
      <c r="AV90" s="5"/>
      <c r="AW90" s="5"/>
      <c r="AY90" s="5">
        <f t="shared" si="106"/>
        <v>-8.7846462124065994E-2</v>
      </c>
      <c r="BC90" s="5">
        <f>VLOOKUP(R90,'[1]Coefficient Normal'!$A$10:$P$14,2,TRUE)</f>
        <v>-2.3450000000000002</v>
      </c>
      <c r="BD90" s="5">
        <f>VLOOKUP(R90,'[1]Coefficient Normal'!$A$10:$P$14,3,TRUE)</f>
        <v>0.19470000000000001</v>
      </c>
      <c r="BE90" s="5">
        <f>VLOOKUP(R90,'[1]Coefficient Normal'!$A$10:$P$14,4,TRUE)</f>
        <v>-0.2044</v>
      </c>
      <c r="BF90" s="5">
        <f>VLOOKUP(R90,'[1]Coefficient Normal'!$A$10:$P$14,5,TRUE)</f>
        <v>0.4143</v>
      </c>
      <c r="BG90" s="5">
        <f>VLOOKUP(R90,'[1]Coefficient Normal'!$A$10:$P$14,6,TRUE)</f>
        <v>-0.55710000000000004</v>
      </c>
      <c r="BH90" s="5">
        <f>VLOOKUP(R90,'[1]Coefficient Normal'!$A$10:$P$14,7,TRUE)</f>
        <v>1.0931</v>
      </c>
      <c r="BI90" s="5">
        <f>VLOOKUP(R90,'[1]Coefficient Normal'!$A$10:$P$14,8,TRUE)</f>
        <v>1E-4</v>
      </c>
      <c r="BJ90" s="5">
        <f>VLOOKUP(R90,'[1]Coefficient Normal'!$A$10:$P$14,9,TRUE)</f>
        <v>3.5000000000000001E-3</v>
      </c>
      <c r="BK90" s="5">
        <f>VLOOKUP(R90,'[1]Coefficient Normal'!$A$10:$P$14,10,TRUE)</f>
        <v>-4.07E-2</v>
      </c>
      <c r="BL90" s="5">
        <f>VLOOKUP(R90,'[1]Coefficient Normal'!$A$10:$P$14,11,TRUE)</f>
        <v>1.6000000000000001E-3</v>
      </c>
      <c r="BM90" s="5">
        <f>VLOOKUP(R90,'[1]Coefficient Normal'!$A$10:$P$14,12,TRUE)</f>
        <v>-0.65949999999999998</v>
      </c>
      <c r="BN90" s="5">
        <f>VLOOKUP(R90,'[1]Coefficient Normal'!$A$10:$P$14,13,TRUE)</f>
        <v>-3.0099999999999998E-2</v>
      </c>
      <c r="BO90" s="5">
        <f>VLOOKUP(R90,'[1]Coefficient Normal'!$A$10:$P$14,14,TRUE)</f>
        <v>0.84219999999999995</v>
      </c>
      <c r="BP90" s="5">
        <f>VLOOKUP(R90,'[1]Coefficient Normal'!$A$10:$P$14,15,TRUE)</f>
        <v>0.50680000000000003</v>
      </c>
      <c r="BQ90" s="5"/>
      <c r="BR90" s="5"/>
      <c r="BS90" s="5"/>
      <c r="BT90" s="5"/>
      <c r="BU90" s="5"/>
      <c r="BV90" s="5"/>
      <c r="BW90" s="5"/>
      <c r="BX90" s="5"/>
      <c r="BY90" s="5"/>
      <c r="CB90" s="6">
        <f t="shared" si="107"/>
        <v>0</v>
      </c>
      <c r="CC90" s="6">
        <f t="shared" si="108"/>
        <v>0</v>
      </c>
      <c r="CD90" s="6">
        <f t="shared" si="109"/>
        <v>0</v>
      </c>
      <c r="CE90" s="5">
        <f t="shared" si="110"/>
        <v>0.71877833821449522</v>
      </c>
      <c r="CG90">
        <f t="shared" si="111"/>
        <v>0.93605252696416252</v>
      </c>
      <c r="CN90" s="5">
        <f t="shared" si="112"/>
        <v>1.0238989890882286</v>
      </c>
      <c r="CO90" s="5">
        <f t="shared" si="113"/>
        <v>0.73595641387633859</v>
      </c>
      <c r="CP90" s="5">
        <f t="shared" si="114"/>
        <v>0.7323175464331303</v>
      </c>
      <c r="CQ90" s="5">
        <f t="shared" si="115"/>
        <v>0</v>
      </c>
      <c r="CR90" s="5">
        <f t="shared" si="116"/>
        <v>2.3088079789496434</v>
      </c>
      <c r="CS90" s="5">
        <f t="shared" si="117"/>
        <v>0.49725308974858501</v>
      </c>
      <c r="CT90" s="5">
        <f t="shared" si="118"/>
        <v>1.9293350290076969</v>
      </c>
      <c r="CU90" s="7">
        <f t="shared" si="133"/>
        <v>6.8849304400058262</v>
      </c>
      <c r="CV90">
        <f>VLOOKUP(R90,'[1]Coefficient Normal'!$A$10:$P$14,16,TRUE)</f>
        <v>0.43780000000000002</v>
      </c>
      <c r="CW90">
        <v>0.3</v>
      </c>
    </row>
    <row r="91" spans="1:101" x14ac:dyDescent="0.25">
      <c r="A91">
        <v>64</v>
      </c>
      <c r="B91">
        <v>2</v>
      </c>
      <c r="C91" t="str">
        <f t="shared" si="100"/>
        <v>Normal</v>
      </c>
      <c r="D91">
        <v>0.89600000000000002</v>
      </c>
      <c r="E91">
        <f t="shared" si="119"/>
        <v>896</v>
      </c>
      <c r="F91">
        <v>9.5250000000000005E-3</v>
      </c>
      <c r="G91">
        <f t="shared" si="119"/>
        <v>9.5250000000000004</v>
      </c>
      <c r="H91" s="3">
        <f t="shared" si="120"/>
        <v>94.068241469816272</v>
      </c>
      <c r="I91" s="1">
        <v>300</v>
      </c>
      <c r="J91" s="4" t="s">
        <v>70</v>
      </c>
      <c r="K91" s="1">
        <f t="shared" si="121"/>
        <v>8</v>
      </c>
      <c r="L91" s="1">
        <f t="shared" si="122"/>
        <v>10</v>
      </c>
      <c r="M91" s="1">
        <f t="shared" si="123"/>
        <v>359000</v>
      </c>
      <c r="N91" s="1">
        <f t="shared" si="124"/>
        <v>455000</v>
      </c>
      <c r="O91" s="1">
        <f t="shared" si="125"/>
        <v>1.9969902892117808</v>
      </c>
      <c r="P91" s="3">
        <f>100*IF(J91='[1]Estimation Model Normal-Slip'!$J$8,'[1]Estimation Model Normal-Slip'!$O$8,IF(J91='[1]Estimation Model Normal-Slip'!$J$9,'[1]Estimation Model Normal-Slip'!$O$9,IF(J91='[1]Estimation Model Normal-Slip'!$J$10,'[1]Estimation Model Normal-Slip'!$O$10,IF(J91='[1]Estimation Model Normal-Slip'!$J$11,'[1]Estimation Model Normal-Slip'!$O$11,IF(J91='[1]Estimation Model Normal-Slip'!$J$12,'[1]Estimation Model Normal-Slip'!$O$12,IF(J91='[1]Estimation Model Normal-Slip'!$J$13,'[1]Estimation Model Normal-Slip'!$O$13,2))))))</f>
        <v>1.9041242414694344</v>
      </c>
      <c r="Q91" s="1">
        <f t="shared" si="126"/>
        <v>0.69164119173371341</v>
      </c>
      <c r="R91" s="1">
        <v>90</v>
      </c>
      <c r="S91" s="1" t="s">
        <v>71</v>
      </c>
      <c r="T91" t="s">
        <v>72</v>
      </c>
      <c r="U91">
        <f t="shared" si="127"/>
        <v>17.5</v>
      </c>
      <c r="V91" s="1">
        <f t="shared" si="128"/>
        <v>0</v>
      </c>
      <c r="W91">
        <f t="shared" si="129"/>
        <v>37.5</v>
      </c>
      <c r="X91">
        <f t="shared" si="130"/>
        <v>1.1000000000000001</v>
      </c>
      <c r="Y91">
        <v>0.9</v>
      </c>
      <c r="Z91" s="1">
        <v>2.5</v>
      </c>
      <c r="AA91" s="1">
        <f t="shared" si="101"/>
        <v>2.7901785714285712</v>
      </c>
      <c r="AB91">
        <f t="shared" si="131"/>
        <v>116.11326447667876</v>
      </c>
      <c r="AE91">
        <f>IF(T91="medium dense",'[1]Coefficient Normal'!$E$18 + ('[1]Coefficient Normal'!$E$19*AA91) + ('[1]Coefficient Normal'!$E$20*(AA91^2)) + ('[1]Coefficient Normal'!$E$21*(AA91^3)) + ('[1]Coefficient Normal'!$E$22*(AA91^4)),IF(T91="dense",'[1]Coefficient Normal'!$F$18 + ('[1]Coefficient Normal'!$F$19*AA91) + ('[1]Coefficient Normal'!$F$20*(AA91^2)) + ('[1]Coefficient Normal'!$F$21*(AA91^3)) + ('[1]Coefficient Normal'!$F$22*(AA91^4)),IF(T91="very dense",'[1]Coefficient Normal'!$G$18 + ('[1]Coefficient Normal'!$G$19*AA91) + ('[1]Coefficient Normal'!$G$20*(AA91^2)) + ('[1]Coefficient Normal'!$G$21*(AA91^3)) + ('[1]Coefficient Normal'!$G$22*(AA91^4)),0)))</f>
        <v>0</v>
      </c>
      <c r="AF91">
        <f t="shared" si="102"/>
        <v>0</v>
      </c>
      <c r="AG91">
        <f t="shared" si="103"/>
        <v>172.70400000000001</v>
      </c>
      <c r="AH91">
        <f t="shared" si="132"/>
        <v>5.1515791464362319</v>
      </c>
      <c r="AI91">
        <f t="shared" si="104"/>
        <v>4.5440204919621658</v>
      </c>
      <c r="AJ91">
        <f t="shared" si="105"/>
        <v>4.7545661326228839</v>
      </c>
      <c r="AK91" s="1">
        <v>2.699997304</v>
      </c>
      <c r="AL91" s="5">
        <f>VLOOKUP(R91,'[1]Coefficient Normal'!$A$3:$H$7,2,TRUE)</f>
        <v>14.575100000000001</v>
      </c>
      <c r="AM91" s="5">
        <f>VLOOKUP(R91,'[1]Coefficient Normal'!$A$3:$H$7,3,TRUE)</f>
        <v>0.1356</v>
      </c>
      <c r="AN91" s="5">
        <f>VLOOKUP(R91,'[1]Coefficient Normal'!$A$3:$H$7,4,TRUE)</f>
        <v>2.9990000000000001</v>
      </c>
      <c r="AO91" s="5">
        <f>VLOOKUP(R91,'[1]Coefficient Normal'!$A$3:$H$7,5,TRUE)</f>
        <v>-0.94710000000000005</v>
      </c>
      <c r="AP91" s="5">
        <f>VLOOKUP(R91,'[1]Coefficient Normal'!$A$3:$H$7,6,TRUE)</f>
        <v>0.6603</v>
      </c>
      <c r="AQ91" s="5">
        <f>VLOOKUP(R91,'[1]Coefficient Normal'!$A$3:$H$7,7,TRUE)</f>
        <v>-1.2488999999999999</v>
      </c>
      <c r="AR91" s="5">
        <f>VLOOKUP(R91,'[1]Coefficient Normal'!$A$3:$H$7,8,TRUE)</f>
        <v>-0.44140000000000001</v>
      </c>
      <c r="AS91" s="5"/>
      <c r="AT91" s="5"/>
      <c r="AU91" s="5"/>
      <c r="AV91" s="5"/>
      <c r="AW91" s="5"/>
      <c r="AY91" s="5">
        <f t="shared" si="106"/>
        <v>2.6397743044482214</v>
      </c>
      <c r="BC91" s="5">
        <f>VLOOKUP(R91,'[1]Coefficient Normal'!$A$10:$P$14,2,TRUE)</f>
        <v>5.1353999999999997</v>
      </c>
      <c r="BD91" s="5">
        <f>VLOOKUP(R91,'[1]Coefficient Normal'!$A$10:$P$14,3,TRUE)</f>
        <v>-4.9599999999999998E-2</v>
      </c>
      <c r="BE91" s="5">
        <f>VLOOKUP(R91,'[1]Coefficient Normal'!$A$10:$P$14,4,TRUE)</f>
        <v>0.44590000000000002</v>
      </c>
      <c r="BF91" s="5">
        <f>VLOOKUP(R91,'[1]Coefficient Normal'!$A$10:$P$14,5,TRUE)</f>
        <v>-0.83709999999999996</v>
      </c>
      <c r="BG91" s="5">
        <f>VLOOKUP(R91,'[1]Coefficient Normal'!$A$10:$P$14,6,TRUE)</f>
        <v>0.63090000000000002</v>
      </c>
      <c r="BH91" s="5">
        <f>VLOOKUP(R91,'[1]Coefficient Normal'!$A$10:$P$14,7,TRUE)</f>
        <v>0.91390000000000005</v>
      </c>
      <c r="BI91" s="5">
        <f>VLOOKUP(R91,'[1]Coefficient Normal'!$A$10:$P$14,8,TRUE)</f>
        <v>2.5000000000000001E-3</v>
      </c>
      <c r="BJ91" s="5">
        <f>VLOOKUP(R91,'[1]Coefficient Normal'!$A$10:$P$14,9,TRUE)</f>
        <v>1.6000000000000001E-3</v>
      </c>
      <c r="BK91" s="5">
        <f>VLOOKUP(R91,'[1]Coefficient Normal'!$A$10:$P$14,10,TRUE)</f>
        <v>-9.7500000000000003E-2</v>
      </c>
      <c r="BL91" s="5">
        <f>VLOOKUP(R91,'[1]Coefficient Normal'!$A$10:$P$14,11,TRUE)</f>
        <v>1.1999999999999999E-3</v>
      </c>
      <c r="BM91" s="5">
        <f>VLOOKUP(R91,'[1]Coefficient Normal'!$A$10:$P$14,12,TRUE)</f>
        <v>0.46479999999999999</v>
      </c>
      <c r="BN91" s="5">
        <f>VLOOKUP(R91,'[1]Coefficient Normal'!$A$10:$P$14,13,TRUE)</f>
        <v>8.0000000000000004E-4</v>
      </c>
      <c r="BO91" s="5">
        <f>VLOOKUP(R91,'[1]Coefficient Normal'!$A$10:$P$14,14,TRUE)</f>
        <v>6.7900000000000002E-2</v>
      </c>
      <c r="BP91" s="5">
        <f>VLOOKUP(R91,'[1]Coefficient Normal'!$A$10:$P$14,15,TRUE)</f>
        <v>0.58979999999999999</v>
      </c>
      <c r="BQ91" s="5"/>
      <c r="BR91" s="5"/>
      <c r="BS91" s="5"/>
      <c r="BT91" s="5"/>
      <c r="BU91" s="5"/>
      <c r="BV91" s="5"/>
      <c r="BW91" s="5"/>
      <c r="BX91" s="5"/>
      <c r="BY91" s="5"/>
      <c r="CB91" s="6">
        <f t="shared" si="107"/>
        <v>0</v>
      </c>
      <c r="CC91" s="6">
        <f t="shared" si="108"/>
        <v>1</v>
      </c>
      <c r="CD91" s="6">
        <f t="shared" si="109"/>
        <v>0</v>
      </c>
      <c r="CE91" s="5">
        <f t="shared" si="110"/>
        <v>1.2195650509554765</v>
      </c>
      <c r="CG91">
        <f t="shared" si="111"/>
        <v>0.99325077449126642</v>
      </c>
      <c r="CN91" s="5">
        <f t="shared" si="112"/>
        <v>-1.6465235299569549</v>
      </c>
      <c r="CO91" s="5">
        <f t="shared" si="113"/>
        <v>-2.0080425527113448</v>
      </c>
      <c r="CP91" s="5">
        <f t="shared" si="114"/>
        <v>-0.22538341640132342</v>
      </c>
      <c r="CQ91" s="5">
        <f t="shared" si="115"/>
        <v>0</v>
      </c>
      <c r="CR91" s="5">
        <f t="shared" si="116"/>
        <v>-4.3123869034817695</v>
      </c>
      <c r="CS91" s="5">
        <f t="shared" si="117"/>
        <v>-6.928219896394662E-2</v>
      </c>
      <c r="CT91" s="5">
        <f t="shared" si="118"/>
        <v>-1.4796950715583848</v>
      </c>
      <c r="CU91" s="7">
        <f t="shared" si="133"/>
        <v>0.22770711217349057</v>
      </c>
      <c r="CV91">
        <f>VLOOKUP(R91,'[1]Coefficient Normal'!$A$10:$P$14,16,TRUE)</f>
        <v>0.34749999999999998</v>
      </c>
      <c r="CW91">
        <v>0.3</v>
      </c>
    </row>
    <row r="92" spans="1:101" x14ac:dyDescent="0.25">
      <c r="A92">
        <v>65</v>
      </c>
      <c r="B92">
        <v>1</v>
      </c>
      <c r="C92" t="str">
        <f t="shared" si="100"/>
        <v>Normal</v>
      </c>
      <c r="D92">
        <v>0.5</v>
      </c>
      <c r="E92">
        <f t="shared" si="119"/>
        <v>500</v>
      </c>
      <c r="F92">
        <v>9.5250000000000005E-3</v>
      </c>
      <c r="G92">
        <f t="shared" si="119"/>
        <v>9.5250000000000004</v>
      </c>
      <c r="H92" s="3">
        <f t="shared" si="120"/>
        <v>52.493438320209975</v>
      </c>
      <c r="I92" s="1">
        <v>30</v>
      </c>
      <c r="J92" s="4" t="s">
        <v>75</v>
      </c>
      <c r="K92" s="1">
        <f t="shared" si="121"/>
        <v>14</v>
      </c>
      <c r="L92" s="1">
        <f t="shared" si="122"/>
        <v>15</v>
      </c>
      <c r="M92" s="1">
        <f t="shared" si="123"/>
        <v>483000</v>
      </c>
      <c r="N92" s="1">
        <f t="shared" si="124"/>
        <v>565000</v>
      </c>
      <c r="O92" s="1">
        <f t="shared" si="125"/>
        <v>2.8799444073326219</v>
      </c>
      <c r="P92" s="3">
        <f>100*IF(J92='[1]Estimation Model Normal-Slip'!$J$8,'[1]Estimation Model Normal-Slip'!$O$8,IF(J92='[1]Estimation Model Normal-Slip'!$J$9,'[1]Estimation Model Normal-Slip'!$O$9,IF(J92='[1]Estimation Model Normal-Slip'!$J$10,'[1]Estimation Model Normal-Slip'!$O$10,IF(J92='[1]Estimation Model Normal-Slip'!$J$11,'[1]Estimation Model Normal-Slip'!$O$11,IF(J92='[1]Estimation Model Normal-Slip'!$J$12,'[1]Estimation Model Normal-Slip'!$O$12,IF(J92='[1]Estimation Model Normal-Slip'!$J$13,'[1]Estimation Model Normal-Slip'!$O$13,2))))))</f>
        <v>2.7690517990613435</v>
      </c>
      <c r="Q92" s="1">
        <f t="shared" si="126"/>
        <v>1.0577709909520427</v>
      </c>
      <c r="R92" s="1">
        <v>45</v>
      </c>
      <c r="S92" s="1" t="s">
        <v>71</v>
      </c>
      <c r="T92" t="s">
        <v>74</v>
      </c>
      <c r="U92">
        <f t="shared" si="127"/>
        <v>18</v>
      </c>
      <c r="V92" s="1">
        <f t="shared" si="128"/>
        <v>0</v>
      </c>
      <c r="W92">
        <f t="shared" si="129"/>
        <v>75</v>
      </c>
      <c r="X92">
        <f t="shared" si="130"/>
        <v>0.72</v>
      </c>
      <c r="Y92">
        <v>0.9</v>
      </c>
      <c r="Z92" s="1">
        <v>1</v>
      </c>
      <c r="AA92" s="1">
        <f t="shared" si="101"/>
        <v>2</v>
      </c>
      <c r="AB92">
        <f t="shared" si="131"/>
        <v>84.823001646924411</v>
      </c>
      <c r="AE92">
        <f>IF(T92="medium dense",'[1]Coefficient Normal'!$E$18 + ('[1]Coefficient Normal'!$E$19*AA92) + ('[1]Coefficient Normal'!$E$20*(AA92^2)) + ('[1]Coefficient Normal'!$E$21*(AA92^3)) + ('[1]Coefficient Normal'!$E$22*(AA92^4)),IF(T92="dense",'[1]Coefficient Normal'!$F$18 + ('[1]Coefficient Normal'!$F$19*AA92) + ('[1]Coefficient Normal'!$F$20*(AA92^2)) + ('[1]Coefficient Normal'!$F$21*(AA92^3)) + ('[1]Coefficient Normal'!$F$22*(AA92^4)),IF(T92="very dense",'[1]Coefficient Normal'!$G$18 + ('[1]Coefficient Normal'!$G$19*AA92) + ('[1]Coefficient Normal'!$G$20*(AA92^2)) + ('[1]Coefficient Normal'!$G$21*(AA92^3)) + ('[1]Coefficient Normal'!$G$22*(AA92^4)),0)))</f>
        <v>0</v>
      </c>
      <c r="AF92">
        <f t="shared" si="102"/>
        <v>0</v>
      </c>
      <c r="AG92">
        <f t="shared" si="103"/>
        <v>192.75</v>
      </c>
      <c r="AH92">
        <f t="shared" si="132"/>
        <v>5.2613940124434393</v>
      </c>
      <c r="AI92">
        <f t="shared" si="104"/>
        <v>3.9606881774094269</v>
      </c>
      <c r="AJ92">
        <f t="shared" si="105"/>
        <v>4.4405667518537291</v>
      </c>
      <c r="AK92" s="1">
        <v>2.8500987279999999</v>
      </c>
      <c r="AL92" s="5">
        <f>VLOOKUP(R92,'[1]Coefficient Normal'!$A$3:$H$7,2,TRUE)</f>
        <v>3.7532999999999999</v>
      </c>
      <c r="AM92" s="5">
        <f>VLOOKUP(R92,'[1]Coefficient Normal'!$A$3:$H$7,3,TRUE)</f>
        <v>0.14510000000000001</v>
      </c>
      <c r="AN92" s="5">
        <f>VLOOKUP(R92,'[1]Coefficient Normal'!$A$3:$H$7,4,TRUE)</f>
        <v>1.2497</v>
      </c>
      <c r="AO92" s="5">
        <f>VLOOKUP(R92,'[1]Coefficient Normal'!$A$3:$H$7,5,TRUE)</f>
        <v>-0.46100000000000002</v>
      </c>
      <c r="AP92" s="5">
        <f>VLOOKUP(R92,'[1]Coefficient Normal'!$A$3:$H$7,6,TRUE)</f>
        <v>0.39140000000000003</v>
      </c>
      <c r="AQ92" s="5">
        <f>VLOOKUP(R92,'[1]Coefficient Normal'!$A$3:$H$7,7,TRUE)</f>
        <v>-0.21310000000000001</v>
      </c>
      <c r="AR92" s="5">
        <f>VLOOKUP(R92,'[1]Coefficient Normal'!$A$3:$H$7,8,TRUE)</f>
        <v>-0.34139999999999998</v>
      </c>
      <c r="AS92" s="5"/>
      <c r="AT92" s="5"/>
      <c r="AU92" s="5"/>
      <c r="AV92" s="5"/>
      <c r="AW92" s="5"/>
      <c r="AY92" s="5">
        <f t="shared" si="106"/>
        <v>-0.66849052852826096</v>
      </c>
      <c r="BC92" s="5">
        <f>VLOOKUP(R92,'[1]Coefficient Normal'!$A$10:$P$14,2,TRUE)</f>
        <v>-1.1082000000000001</v>
      </c>
      <c r="BD92" s="5">
        <f>VLOOKUP(R92,'[1]Coefficient Normal'!$A$10:$P$14,3,TRUE)</f>
        <v>0.10630000000000001</v>
      </c>
      <c r="BE92" s="5">
        <f>VLOOKUP(R92,'[1]Coefficient Normal'!$A$10:$P$14,4,TRUE)</f>
        <v>-0.1439</v>
      </c>
      <c r="BF92" s="5">
        <f>VLOOKUP(R92,'[1]Coefficient Normal'!$A$10:$P$14,5,TRUE)</f>
        <v>0.27879999999999999</v>
      </c>
      <c r="BG92" s="5">
        <f>VLOOKUP(R92,'[1]Coefficient Normal'!$A$10:$P$14,6,TRUE)</f>
        <v>-0.31030000000000002</v>
      </c>
      <c r="BH92" s="5">
        <f>VLOOKUP(R92,'[1]Coefficient Normal'!$A$10:$P$14,7,TRUE)</f>
        <v>1.2553000000000001</v>
      </c>
      <c r="BI92" s="5">
        <f>VLOOKUP(R92,'[1]Coefficient Normal'!$A$10:$P$14,8,TRUE)</f>
        <v>2.9999999999999997E-4</v>
      </c>
      <c r="BJ92" s="5">
        <f>VLOOKUP(R92,'[1]Coefficient Normal'!$A$10:$P$14,9,TRUE)</f>
        <v>5.1999999999999998E-3</v>
      </c>
      <c r="BK92" s="5">
        <f>VLOOKUP(R92,'[1]Coefficient Normal'!$A$10:$P$14,10,TRUE)</f>
        <v>-8.5900000000000004E-2</v>
      </c>
      <c r="BL92" s="5">
        <f>VLOOKUP(R92,'[1]Coefficient Normal'!$A$10:$P$14,11,TRUE)</f>
        <v>5.9999999999999995E-4</v>
      </c>
      <c r="BM92" s="5">
        <f>VLOOKUP(R92,'[1]Coefficient Normal'!$A$10:$P$14,12,TRUE)</f>
        <v>-0.21759999999999999</v>
      </c>
      <c r="BN92" s="5">
        <f>VLOOKUP(R92,'[1]Coefficient Normal'!$A$10:$P$14,13,TRUE)</f>
        <v>-2.69E-2</v>
      </c>
      <c r="BO92" s="5">
        <f>VLOOKUP(R92,'[1]Coefficient Normal'!$A$10:$P$14,14,TRUE)</f>
        <v>0.57389999999999997</v>
      </c>
      <c r="BP92" s="5">
        <f>VLOOKUP(R92,'[1]Coefficient Normal'!$A$10:$P$14,15,TRUE)</f>
        <v>0.34460000000000002</v>
      </c>
      <c r="BQ92" s="5"/>
      <c r="BR92" s="5"/>
      <c r="BS92" s="5"/>
      <c r="BT92" s="5"/>
      <c r="BU92" s="5"/>
      <c r="BV92" s="5"/>
      <c r="BW92" s="5"/>
      <c r="BX92" s="5"/>
      <c r="BY92" s="5"/>
      <c r="CB92" s="6">
        <f t="shared" si="107"/>
        <v>0</v>
      </c>
      <c r="CC92" s="6">
        <f t="shared" si="108"/>
        <v>0</v>
      </c>
      <c r="CD92" s="6">
        <f t="shared" si="109"/>
        <v>1</v>
      </c>
      <c r="CE92" s="5">
        <f t="shared" si="110"/>
        <v>2.0299078834820738</v>
      </c>
      <c r="CG92">
        <f t="shared" si="111"/>
        <v>1.0473536350840684</v>
      </c>
      <c r="CN92" s="5">
        <f t="shared" si="112"/>
        <v>1.7158441636123294</v>
      </c>
      <c r="CO92" s="5">
        <f t="shared" si="113"/>
        <v>3.4830055945433727</v>
      </c>
      <c r="CP92" s="5">
        <f t="shared" si="114"/>
        <v>0.42102115325862211</v>
      </c>
      <c r="CQ92" s="5">
        <f t="shared" si="115"/>
        <v>0</v>
      </c>
      <c r="CR92" s="5">
        <f t="shared" si="116"/>
        <v>1.4668766506692308</v>
      </c>
      <c r="CS92" s="5">
        <f t="shared" si="117"/>
        <v>0.21508357012775103</v>
      </c>
      <c r="CT92" s="5">
        <f t="shared" si="118"/>
        <v>4.4777869685989762</v>
      </c>
      <c r="CU92" s="7">
        <f t="shared" si="133"/>
        <v>88.03962248006998</v>
      </c>
      <c r="CV92">
        <f>VLOOKUP(R92,'[1]Coefficient Normal'!$A$10:$P$14,16,TRUE)</f>
        <v>0.3997</v>
      </c>
      <c r="CW92">
        <v>0.3</v>
      </c>
    </row>
    <row r="93" spans="1:101" x14ac:dyDescent="0.25">
      <c r="A93">
        <v>66</v>
      </c>
      <c r="B93">
        <v>1</v>
      </c>
      <c r="C93" t="str">
        <f t="shared" si="100"/>
        <v>Normal</v>
      </c>
      <c r="D93">
        <v>1.0668</v>
      </c>
      <c r="E93">
        <f t="shared" si="119"/>
        <v>1066.8</v>
      </c>
      <c r="F93">
        <v>9.5250000000000005E-3</v>
      </c>
      <c r="G93">
        <f t="shared" si="119"/>
        <v>9.5250000000000004</v>
      </c>
      <c r="H93" s="3">
        <f t="shared" si="120"/>
        <v>111.99999999999999</v>
      </c>
      <c r="I93" s="1">
        <v>50</v>
      </c>
      <c r="J93" s="4" t="s">
        <v>77</v>
      </c>
      <c r="K93" s="1">
        <f t="shared" si="121"/>
        <v>15</v>
      </c>
      <c r="L93" s="1">
        <f t="shared" si="122"/>
        <v>20</v>
      </c>
      <c r="M93" s="1">
        <f t="shared" si="123"/>
        <v>552000</v>
      </c>
      <c r="N93" s="1">
        <f t="shared" si="124"/>
        <v>625000</v>
      </c>
      <c r="O93" s="1">
        <f t="shared" si="125"/>
        <v>2.9888368774026359</v>
      </c>
      <c r="P93" s="3">
        <f>100*IF(J93='[1]Estimation Model Normal-Slip'!$J$8,'[1]Estimation Model Normal-Slip'!$O$8,IF(J93='[1]Estimation Model Normal-Slip'!$J$9,'[1]Estimation Model Normal-Slip'!$O$9,IF(J93='[1]Estimation Model Normal-Slip'!$J$10,'[1]Estimation Model Normal-Slip'!$O$10,IF(J93='[1]Estimation Model Normal-Slip'!$J$11,'[1]Estimation Model Normal-Slip'!$O$11,IF(J93='[1]Estimation Model Normal-Slip'!$J$12,'[1]Estimation Model Normal-Slip'!$O$12,IF(J93='[1]Estimation Model Normal-Slip'!$J$13,'[1]Estimation Model Normal-Slip'!$O$13,2))))))</f>
        <v>2.8464933991254466</v>
      </c>
      <c r="Q93" s="1">
        <f t="shared" si="126"/>
        <v>1.0948843075076633</v>
      </c>
      <c r="R93" s="1">
        <v>60</v>
      </c>
      <c r="S93" s="1" t="s">
        <v>71</v>
      </c>
      <c r="T93" t="s">
        <v>76</v>
      </c>
      <c r="U93">
        <f t="shared" si="127"/>
        <v>18.5</v>
      </c>
      <c r="V93" s="1">
        <f t="shared" si="128"/>
        <v>0</v>
      </c>
      <c r="W93">
        <f t="shared" si="129"/>
        <v>125</v>
      </c>
      <c r="X93">
        <f t="shared" si="130"/>
        <v>0.4</v>
      </c>
      <c r="Y93">
        <v>0.9</v>
      </c>
      <c r="Z93" s="1">
        <v>1.2</v>
      </c>
      <c r="AA93" s="1">
        <f t="shared" si="101"/>
        <v>1.8</v>
      </c>
      <c r="AB93">
        <f t="shared" si="131"/>
        <v>167.57255214247957</v>
      </c>
      <c r="AE93">
        <f>IF(T93="medium dense",'[1]Coefficient Normal'!$E$18 + ('[1]Coefficient Normal'!$E$19*AA93) + ('[1]Coefficient Normal'!$E$20*(AA93^2)) + ('[1]Coefficient Normal'!$E$21*(AA93^3)) + ('[1]Coefficient Normal'!$E$22*(AA93^4)),IF(T93="dense",'[1]Coefficient Normal'!$F$18 + ('[1]Coefficient Normal'!$F$19*AA93) + ('[1]Coefficient Normal'!$F$20*(AA93^2)) + ('[1]Coefficient Normal'!$F$21*(AA93^3)) + ('[1]Coefficient Normal'!$F$22*(AA93^4)),IF(T93="very dense",'[1]Coefficient Normal'!$G$18 + ('[1]Coefficient Normal'!$G$19*AA93) + ('[1]Coefficient Normal'!$G$20*(AA93^2)) + ('[1]Coefficient Normal'!$G$21*(AA93^3)) + ('[1]Coefficient Normal'!$G$22*(AA93^4)),0)))</f>
        <v>0</v>
      </c>
      <c r="AF93">
        <f t="shared" si="102"/>
        <v>0</v>
      </c>
      <c r="AG93">
        <f t="shared" si="103"/>
        <v>685.41899999999998</v>
      </c>
      <c r="AH93">
        <f t="shared" si="132"/>
        <v>6.530030330095097</v>
      </c>
      <c r="AI93">
        <f t="shared" si="104"/>
        <v>4.7184988712950942</v>
      </c>
      <c r="AJ93">
        <f t="shared" si="105"/>
        <v>5.1214164046032682</v>
      </c>
      <c r="AK93" s="1">
        <v>3.0002260330000001</v>
      </c>
      <c r="AL93" s="5">
        <f>VLOOKUP(R93,'[1]Coefficient Normal'!$A$3:$H$7,2,TRUE)</f>
        <v>4.3182999999999998</v>
      </c>
      <c r="AM93" s="5">
        <f>VLOOKUP(R93,'[1]Coefficient Normal'!$A$3:$H$7,3,TRUE)</f>
        <v>-2.7900000000000001E-2</v>
      </c>
      <c r="AN93" s="5">
        <f>VLOOKUP(R93,'[1]Coefficient Normal'!$A$3:$H$7,4,TRUE)</f>
        <v>1.0497000000000001</v>
      </c>
      <c r="AO93" s="5">
        <f>VLOOKUP(R93,'[1]Coefficient Normal'!$A$3:$H$7,5,TRUE)</f>
        <v>-0.46910000000000002</v>
      </c>
      <c r="AP93" s="5">
        <f>VLOOKUP(R93,'[1]Coefficient Normal'!$A$3:$H$7,6,TRUE)</f>
        <v>0.29149999999999998</v>
      </c>
      <c r="AQ93" s="5">
        <f>VLOOKUP(R93,'[1]Coefficient Normal'!$A$3:$H$7,7,TRUE)</f>
        <v>-0.28610000000000002</v>
      </c>
      <c r="AR93" s="5">
        <f>VLOOKUP(R93,'[1]Coefficient Normal'!$A$3:$H$7,8,TRUE)</f>
        <v>-0.1348</v>
      </c>
      <c r="AS93" s="5"/>
      <c r="AT93" s="5"/>
      <c r="AU93" s="5"/>
      <c r="AV93" s="5"/>
      <c r="AW93" s="5"/>
      <c r="AY93" s="5">
        <f t="shared" si="106"/>
        <v>-0.17586580558020715</v>
      </c>
      <c r="BC93" s="5">
        <f>VLOOKUP(R93,'[1]Coefficient Normal'!$A$10:$P$14,2,TRUE)</f>
        <v>-2.1276999999999999</v>
      </c>
      <c r="BD93" s="5">
        <f>VLOOKUP(R93,'[1]Coefficient Normal'!$A$10:$P$14,3,TRUE)</f>
        <v>0.14760000000000001</v>
      </c>
      <c r="BE93" s="5">
        <f>VLOOKUP(R93,'[1]Coefficient Normal'!$A$10:$P$14,4,TRUE)</f>
        <v>-0.21829999999999999</v>
      </c>
      <c r="BF93" s="5">
        <f>VLOOKUP(R93,'[1]Coefficient Normal'!$A$10:$P$14,5,TRUE)</f>
        <v>0.42270000000000002</v>
      </c>
      <c r="BG93" s="5">
        <f>VLOOKUP(R93,'[1]Coefficient Normal'!$A$10:$P$14,6,TRUE)</f>
        <v>-0.53720000000000001</v>
      </c>
      <c r="BH93" s="5">
        <f>VLOOKUP(R93,'[1]Coefficient Normal'!$A$10:$P$14,7,TRUE)</f>
        <v>1.252</v>
      </c>
      <c r="BI93" s="5">
        <f>VLOOKUP(R93,'[1]Coefficient Normal'!$A$10:$P$14,8,TRUE)</f>
        <v>-5.9999999999999995E-4</v>
      </c>
      <c r="BJ93" s="5">
        <f>VLOOKUP(R93,'[1]Coefficient Normal'!$A$10:$P$14,9,TRUE)</f>
        <v>5.3E-3</v>
      </c>
      <c r="BK93" s="5">
        <f>VLOOKUP(R93,'[1]Coefficient Normal'!$A$10:$P$14,10,TRUE)</f>
        <v>-4.8500000000000001E-2</v>
      </c>
      <c r="BL93" s="5">
        <f>VLOOKUP(R93,'[1]Coefficient Normal'!$A$10:$P$14,11,TRUE)</f>
        <v>1.2999999999999999E-3</v>
      </c>
      <c r="BM93" s="5">
        <f>VLOOKUP(R93,'[1]Coefficient Normal'!$A$10:$P$14,12,TRUE)</f>
        <v>-0.56599999999999995</v>
      </c>
      <c r="BN93" s="5">
        <f>VLOOKUP(R93,'[1]Coefficient Normal'!$A$10:$P$14,13,TRUE)</f>
        <v>-3.2099999999999997E-2</v>
      </c>
      <c r="BO93" s="5">
        <f>VLOOKUP(R93,'[1]Coefficient Normal'!$A$10:$P$14,14,TRUE)</f>
        <v>0.84970000000000001</v>
      </c>
      <c r="BP93" s="5">
        <f>VLOOKUP(R93,'[1]Coefficient Normal'!$A$10:$P$14,15,TRUE)</f>
        <v>9.01E-2</v>
      </c>
      <c r="BQ93" s="5"/>
      <c r="BR93" s="5"/>
      <c r="BS93" s="5"/>
      <c r="BT93" s="5"/>
      <c r="BU93" s="5"/>
      <c r="BV93" s="5"/>
      <c r="BW93" s="5"/>
      <c r="BX93" s="5"/>
      <c r="BY93" s="5"/>
      <c r="CB93" s="6">
        <f t="shared" si="107"/>
        <v>0</v>
      </c>
      <c r="CC93" s="6">
        <f t="shared" si="108"/>
        <v>0</v>
      </c>
      <c r="CD93" s="6">
        <f t="shared" si="109"/>
        <v>1</v>
      </c>
      <c r="CE93" s="5">
        <f t="shared" si="110"/>
        <v>1.1376490761064402</v>
      </c>
      <c r="CG93">
        <f t="shared" si="111"/>
        <v>1.0986876301632014</v>
      </c>
      <c r="CN93" s="5">
        <f t="shared" si="112"/>
        <v>1.2745534357434085</v>
      </c>
      <c r="CO93" s="5">
        <f t="shared" si="113"/>
        <v>1.4499945386217779</v>
      </c>
      <c r="CP93" s="5">
        <f t="shared" si="114"/>
        <v>0.69645043340315593</v>
      </c>
      <c r="CQ93" s="5">
        <f t="shared" si="115"/>
        <v>0</v>
      </c>
      <c r="CR93" s="5">
        <f t="shared" si="116"/>
        <v>2.7602438205311977</v>
      </c>
      <c r="CS93" s="5">
        <f t="shared" si="117"/>
        <v>-3.4737239358577927E-2</v>
      </c>
      <c r="CT93" s="5">
        <f t="shared" si="118"/>
        <v>2.7442515531975533</v>
      </c>
      <c r="CU93" s="7">
        <f t="shared" si="133"/>
        <v>15.552969005003565</v>
      </c>
      <c r="CV93">
        <f>VLOOKUP(R93,'[1]Coefficient Normal'!$A$10:$P$14,16,TRUE)</f>
        <v>0.50170000000000003</v>
      </c>
      <c r="CW93">
        <v>0.3</v>
      </c>
    </row>
    <row r="94" spans="1:101" x14ac:dyDescent="0.25">
      <c r="A94">
        <v>67</v>
      </c>
      <c r="B94">
        <v>0</v>
      </c>
      <c r="C94" t="str">
        <f t="shared" si="100"/>
        <v>Normal</v>
      </c>
      <c r="D94">
        <v>0.60960000000000003</v>
      </c>
      <c r="E94">
        <f t="shared" si="119"/>
        <v>609.6</v>
      </c>
      <c r="F94">
        <v>9.5250000000000005E-3</v>
      </c>
      <c r="G94">
        <f t="shared" si="119"/>
        <v>9.5250000000000004</v>
      </c>
      <c r="H94" s="3">
        <f t="shared" si="120"/>
        <v>64</v>
      </c>
      <c r="I94" s="1">
        <v>100</v>
      </c>
      <c r="J94" s="4" t="s">
        <v>70</v>
      </c>
      <c r="K94" s="1">
        <f t="shared" si="121"/>
        <v>8</v>
      </c>
      <c r="L94" s="1">
        <f t="shared" si="122"/>
        <v>10</v>
      </c>
      <c r="M94" s="1">
        <f t="shared" si="123"/>
        <v>359000</v>
      </c>
      <c r="N94" s="1">
        <f t="shared" si="124"/>
        <v>455000</v>
      </c>
      <c r="O94" s="1">
        <f t="shared" si="125"/>
        <v>1.9969902892117808</v>
      </c>
      <c r="P94" s="3">
        <f>100*IF(J94='[1]Estimation Model Normal-Slip'!$J$8,'[1]Estimation Model Normal-Slip'!$O$8,IF(J94='[1]Estimation Model Normal-Slip'!$J$9,'[1]Estimation Model Normal-Slip'!$O$9,IF(J94='[1]Estimation Model Normal-Slip'!$J$10,'[1]Estimation Model Normal-Slip'!$O$10,IF(J94='[1]Estimation Model Normal-Slip'!$J$11,'[1]Estimation Model Normal-Slip'!$O$11,IF(J94='[1]Estimation Model Normal-Slip'!$J$12,'[1]Estimation Model Normal-Slip'!$O$12,IF(J94='[1]Estimation Model Normal-Slip'!$J$13,'[1]Estimation Model Normal-Slip'!$O$13,2))))))</f>
        <v>1.9041242414694344</v>
      </c>
      <c r="Q94" s="1">
        <f t="shared" si="126"/>
        <v>0.69164119173371341</v>
      </c>
      <c r="R94" s="1">
        <v>75</v>
      </c>
      <c r="S94" s="1" t="s">
        <v>71</v>
      </c>
      <c r="T94" t="s">
        <v>72</v>
      </c>
      <c r="U94">
        <f t="shared" si="127"/>
        <v>17.5</v>
      </c>
      <c r="V94" s="1">
        <f t="shared" si="128"/>
        <v>0</v>
      </c>
      <c r="W94">
        <f t="shared" si="129"/>
        <v>37.5</v>
      </c>
      <c r="X94">
        <f t="shared" si="130"/>
        <v>1.1000000000000001</v>
      </c>
      <c r="Y94">
        <v>0.9</v>
      </c>
      <c r="Z94" s="1">
        <v>0.78739999999999999</v>
      </c>
      <c r="AA94" s="1">
        <f t="shared" si="101"/>
        <v>1.8</v>
      </c>
      <c r="AB94">
        <f t="shared" si="131"/>
        <v>78.998488867168945</v>
      </c>
      <c r="AE94">
        <f>IF(T94="medium dense",'[1]Coefficient Normal'!$E$18 + ('[1]Coefficient Normal'!$E$19*AA94) + ('[1]Coefficient Normal'!$E$20*(AA94^2)) + ('[1]Coefficient Normal'!$E$21*(AA94^3)) + ('[1]Coefficient Normal'!$E$22*(AA94^4)),IF(T94="dense",'[1]Coefficient Normal'!$F$18 + ('[1]Coefficient Normal'!$F$19*AA94) + ('[1]Coefficient Normal'!$F$20*(AA94^2)) + ('[1]Coefficient Normal'!$F$21*(AA94^3)) + ('[1]Coefficient Normal'!$F$22*(AA94^4)),IF(T94="very dense",'[1]Coefficient Normal'!$G$18 + ('[1]Coefficient Normal'!$G$19*AA94) + ('[1]Coefficient Normal'!$G$20*(AA94^2)) + ('[1]Coefficient Normal'!$G$21*(AA94^3)) + ('[1]Coefficient Normal'!$G$22*(AA94^4)),0)))</f>
        <v>0</v>
      </c>
      <c r="AF94">
        <f t="shared" si="102"/>
        <v>0</v>
      </c>
      <c r="AG94">
        <f t="shared" si="103"/>
        <v>117.5004</v>
      </c>
      <c r="AH94">
        <f t="shared" si="132"/>
        <v>4.7664417378337385</v>
      </c>
      <c r="AI94">
        <f t="shared" si="104"/>
        <v>4.1588830833596715</v>
      </c>
      <c r="AJ94">
        <f t="shared" si="105"/>
        <v>4.3694287240203895</v>
      </c>
      <c r="AK94" s="1">
        <v>0.14999670000000001</v>
      </c>
      <c r="AL94" s="5">
        <f>VLOOKUP(R94,'[1]Coefficient Normal'!$A$3:$H$7,2,TRUE)</f>
        <v>5.5951000000000004</v>
      </c>
      <c r="AM94" s="5">
        <f>VLOOKUP(R94,'[1]Coefficient Normal'!$A$3:$H$7,3,TRUE)</f>
        <v>1.6E-2</v>
      </c>
      <c r="AN94" s="5">
        <f>VLOOKUP(R94,'[1]Coefficient Normal'!$A$3:$H$7,4,TRUE)</f>
        <v>1.2641</v>
      </c>
      <c r="AO94" s="5">
        <f>VLOOKUP(R94,'[1]Coefficient Normal'!$A$3:$H$7,5,TRUE)</f>
        <v>-0.52429999999999999</v>
      </c>
      <c r="AP94" s="5">
        <f>VLOOKUP(R94,'[1]Coefficient Normal'!$A$3:$H$7,6,TRUE)</f>
        <v>0.35830000000000001</v>
      </c>
      <c r="AQ94" s="5">
        <f>VLOOKUP(R94,'[1]Coefficient Normal'!$A$3:$H$7,7,TRUE)</f>
        <v>-0.35920000000000002</v>
      </c>
      <c r="AR94" s="5">
        <f>VLOOKUP(R94,'[1]Coefficient Normal'!$A$3:$H$7,8,TRUE)</f>
        <v>-0.2482</v>
      </c>
      <c r="AS94" s="5"/>
      <c r="AT94" s="5"/>
      <c r="AU94" s="5"/>
      <c r="AV94" s="5"/>
      <c r="AW94" s="5"/>
      <c r="AY94" s="5">
        <f t="shared" si="106"/>
        <v>0.31382810950266227</v>
      </c>
      <c r="BC94" s="5">
        <f>VLOOKUP(R94,'[1]Coefficient Normal'!$A$10:$P$14,2,TRUE)</f>
        <v>-2.3450000000000002</v>
      </c>
      <c r="BD94" s="5">
        <f>VLOOKUP(R94,'[1]Coefficient Normal'!$A$10:$P$14,3,TRUE)</f>
        <v>0.19470000000000001</v>
      </c>
      <c r="BE94" s="5">
        <f>VLOOKUP(R94,'[1]Coefficient Normal'!$A$10:$P$14,4,TRUE)</f>
        <v>-0.2044</v>
      </c>
      <c r="BF94" s="5">
        <f>VLOOKUP(R94,'[1]Coefficient Normal'!$A$10:$P$14,5,TRUE)</f>
        <v>0.4143</v>
      </c>
      <c r="BG94" s="5">
        <f>VLOOKUP(R94,'[1]Coefficient Normal'!$A$10:$P$14,6,TRUE)</f>
        <v>-0.55710000000000004</v>
      </c>
      <c r="BH94" s="5">
        <f>VLOOKUP(R94,'[1]Coefficient Normal'!$A$10:$P$14,7,TRUE)</f>
        <v>1.0931</v>
      </c>
      <c r="BI94" s="5">
        <f>VLOOKUP(R94,'[1]Coefficient Normal'!$A$10:$P$14,8,TRUE)</f>
        <v>1E-4</v>
      </c>
      <c r="BJ94" s="5">
        <f>VLOOKUP(R94,'[1]Coefficient Normal'!$A$10:$P$14,9,TRUE)</f>
        <v>3.5000000000000001E-3</v>
      </c>
      <c r="BK94" s="5">
        <f>VLOOKUP(R94,'[1]Coefficient Normal'!$A$10:$P$14,10,TRUE)</f>
        <v>-4.07E-2</v>
      </c>
      <c r="BL94" s="5">
        <f>VLOOKUP(R94,'[1]Coefficient Normal'!$A$10:$P$14,11,TRUE)</f>
        <v>1.6000000000000001E-3</v>
      </c>
      <c r="BM94" s="5">
        <f>VLOOKUP(R94,'[1]Coefficient Normal'!$A$10:$P$14,12,TRUE)</f>
        <v>-0.65949999999999998</v>
      </c>
      <c r="BN94" s="5">
        <f>VLOOKUP(R94,'[1]Coefficient Normal'!$A$10:$P$14,13,TRUE)</f>
        <v>-3.0099999999999998E-2</v>
      </c>
      <c r="BO94" s="5">
        <f>VLOOKUP(R94,'[1]Coefficient Normal'!$A$10:$P$14,14,TRUE)</f>
        <v>0.84219999999999995</v>
      </c>
      <c r="BP94" s="5">
        <f>VLOOKUP(R94,'[1]Coefficient Normal'!$A$10:$P$14,15,TRUE)</f>
        <v>0.50680000000000003</v>
      </c>
      <c r="BQ94" s="5"/>
      <c r="BR94" s="5"/>
      <c r="BS94" s="5"/>
      <c r="BT94" s="5"/>
      <c r="BU94" s="5"/>
      <c r="BV94" s="5"/>
      <c r="BW94" s="5"/>
      <c r="BX94" s="5"/>
      <c r="BY94" s="5"/>
      <c r="CB94" s="6">
        <f t="shared" si="107"/>
        <v>0</v>
      </c>
      <c r="CC94" s="6">
        <f t="shared" si="108"/>
        <v>1</v>
      </c>
      <c r="CD94" s="6">
        <f t="shared" si="109"/>
        <v>0</v>
      </c>
      <c r="CE94" s="5">
        <f t="shared" si="110"/>
        <v>1.1626998488867168</v>
      </c>
      <c r="CG94">
        <f t="shared" si="111"/>
        <v>-1.8971419851278848</v>
      </c>
      <c r="CN94" s="5">
        <f t="shared" si="112"/>
        <v>-2.2109700946305471</v>
      </c>
      <c r="CO94" s="5">
        <f t="shared" si="113"/>
        <v>-2.5706945949199871</v>
      </c>
      <c r="CP94" s="5">
        <f t="shared" si="114"/>
        <v>0.80973453633012804</v>
      </c>
      <c r="CQ94" s="5">
        <f t="shared" si="115"/>
        <v>0</v>
      </c>
      <c r="CR94" s="5">
        <f t="shared" si="116"/>
        <v>1.9747368119845179</v>
      </c>
      <c r="CS94" s="5">
        <f t="shared" si="117"/>
        <v>0.27573791218506416</v>
      </c>
      <c r="CT94" s="5">
        <f t="shared" si="118"/>
        <v>-1.8554853344202775</v>
      </c>
      <c r="CU94" s="7">
        <f t="shared" si="133"/>
        <v>0.15637702909994644</v>
      </c>
      <c r="CV94">
        <f>VLOOKUP(R94,'[1]Coefficient Normal'!$A$10:$P$14,16,TRUE)</f>
        <v>0.43780000000000002</v>
      </c>
      <c r="CW94">
        <v>0.3</v>
      </c>
    </row>
    <row r="95" spans="1:101" x14ac:dyDescent="0.25">
      <c r="A95">
        <v>68</v>
      </c>
      <c r="B95">
        <v>2</v>
      </c>
      <c r="C95" t="str">
        <f t="shared" si="100"/>
        <v>Normal</v>
      </c>
      <c r="D95">
        <v>0.40960000000000002</v>
      </c>
      <c r="E95">
        <f t="shared" si="119"/>
        <v>409.6</v>
      </c>
      <c r="F95">
        <v>9.5250000000000005E-3</v>
      </c>
      <c r="G95">
        <f t="shared" si="119"/>
        <v>9.5250000000000004</v>
      </c>
      <c r="H95" s="3">
        <f t="shared" si="120"/>
        <v>43.00262467191601</v>
      </c>
      <c r="I95" s="1">
        <v>300</v>
      </c>
      <c r="J95" s="4" t="s">
        <v>73</v>
      </c>
      <c r="K95" s="1">
        <f t="shared" si="121"/>
        <v>8</v>
      </c>
      <c r="L95" s="1">
        <f t="shared" si="122"/>
        <v>12</v>
      </c>
      <c r="M95" s="1">
        <f t="shared" si="123"/>
        <v>414000</v>
      </c>
      <c r="N95" s="1">
        <f t="shared" si="124"/>
        <v>517000</v>
      </c>
      <c r="O95" s="1">
        <f t="shared" si="125"/>
        <v>2.5466769467238102</v>
      </c>
      <c r="P95" s="3">
        <f>100*IF(J95='[1]Estimation Model Normal-Slip'!$J$8,'[1]Estimation Model Normal-Slip'!$O$8,IF(J95='[1]Estimation Model Normal-Slip'!$J$9,'[1]Estimation Model Normal-Slip'!$O$9,IF(J95='[1]Estimation Model Normal-Slip'!$J$10,'[1]Estimation Model Normal-Slip'!$O$10,IF(J95='[1]Estimation Model Normal-Slip'!$J$11,'[1]Estimation Model Normal-Slip'!$O$11,IF(J95='[1]Estimation Model Normal-Slip'!$J$12,'[1]Estimation Model Normal-Slip'!$O$12,IF(J95='[1]Estimation Model Normal-Slip'!$J$13,'[1]Estimation Model Normal-Slip'!$O$13,2))))))</f>
        <v>2.4313344008036557</v>
      </c>
      <c r="Q95" s="1">
        <f t="shared" si="126"/>
        <v>0.93478935117382533</v>
      </c>
      <c r="R95" s="1">
        <v>90</v>
      </c>
      <c r="S95" s="1" t="s">
        <v>71</v>
      </c>
      <c r="T95" t="s">
        <v>74</v>
      </c>
      <c r="U95">
        <f t="shared" si="127"/>
        <v>18</v>
      </c>
      <c r="V95" s="1">
        <f t="shared" si="128"/>
        <v>0</v>
      </c>
      <c r="W95">
        <f t="shared" si="129"/>
        <v>75</v>
      </c>
      <c r="X95">
        <f t="shared" si="130"/>
        <v>0.72</v>
      </c>
      <c r="Y95">
        <v>0.9</v>
      </c>
      <c r="Z95" s="1">
        <v>1</v>
      </c>
      <c r="AA95" s="1">
        <f t="shared" si="101"/>
        <v>2.44140625</v>
      </c>
      <c r="AB95">
        <f t="shared" si="131"/>
        <v>69.487002949160484</v>
      </c>
      <c r="AE95">
        <f>IF(T95="medium dense",'[1]Coefficient Normal'!$E$18 + ('[1]Coefficient Normal'!$E$19*AA95) + ('[1]Coefficient Normal'!$E$20*(AA95^2)) + ('[1]Coefficient Normal'!$E$21*(AA95^3)) + ('[1]Coefficient Normal'!$E$22*(AA95^4)),IF(T95="dense",'[1]Coefficient Normal'!$F$18 + ('[1]Coefficient Normal'!$F$19*AA95) + ('[1]Coefficient Normal'!$F$20*(AA95^2)) + ('[1]Coefficient Normal'!$F$21*(AA95^3)) + ('[1]Coefficient Normal'!$F$22*(AA95^4)),IF(T95="very dense",'[1]Coefficient Normal'!$G$18 + ('[1]Coefficient Normal'!$G$19*AA95) + ('[1]Coefficient Normal'!$G$20*(AA95^2)) + ('[1]Coefficient Normal'!$G$21*(AA95^3)) + ('[1]Coefficient Normal'!$G$22*(AA95^4)),0)))</f>
        <v>0</v>
      </c>
      <c r="AF95">
        <f t="shared" si="102"/>
        <v>0</v>
      </c>
      <c r="AG95">
        <f t="shared" si="103"/>
        <v>157.9008</v>
      </c>
      <c r="AH95">
        <f t="shared" si="132"/>
        <v>5.061966987746545</v>
      </c>
      <c r="AI95">
        <f t="shared" si="104"/>
        <v>3.7612611527125335</v>
      </c>
      <c r="AJ95">
        <f t="shared" si="105"/>
        <v>4.2411397271568356</v>
      </c>
      <c r="AK95" s="1">
        <v>0.29999340000000002</v>
      </c>
      <c r="AL95" s="5">
        <f>VLOOKUP(R95,'[1]Coefficient Normal'!$A$3:$H$7,2,TRUE)</f>
        <v>14.575100000000001</v>
      </c>
      <c r="AM95" s="5">
        <f>VLOOKUP(R95,'[1]Coefficient Normal'!$A$3:$H$7,3,TRUE)</f>
        <v>0.1356</v>
      </c>
      <c r="AN95" s="5">
        <f>VLOOKUP(R95,'[1]Coefficient Normal'!$A$3:$H$7,4,TRUE)</f>
        <v>2.9990000000000001</v>
      </c>
      <c r="AO95" s="5">
        <f>VLOOKUP(R95,'[1]Coefficient Normal'!$A$3:$H$7,5,TRUE)</f>
        <v>-0.94710000000000005</v>
      </c>
      <c r="AP95" s="5">
        <f>VLOOKUP(R95,'[1]Coefficient Normal'!$A$3:$H$7,6,TRUE)</f>
        <v>0.6603</v>
      </c>
      <c r="AQ95" s="5">
        <f>VLOOKUP(R95,'[1]Coefficient Normal'!$A$3:$H$7,7,TRUE)</f>
        <v>-1.2488999999999999</v>
      </c>
      <c r="AR95" s="5">
        <f>VLOOKUP(R95,'[1]Coefficient Normal'!$A$3:$H$7,8,TRUE)</f>
        <v>-0.44140000000000001</v>
      </c>
      <c r="AS95" s="5"/>
      <c r="AT95" s="5"/>
      <c r="AU95" s="5"/>
      <c r="AV95" s="5"/>
      <c r="AW95" s="5"/>
      <c r="AY95" s="5">
        <f t="shared" si="106"/>
        <v>1.5327241862804701</v>
      </c>
      <c r="BC95" s="5">
        <f>VLOOKUP(R95,'[1]Coefficient Normal'!$A$10:$P$14,2,TRUE)</f>
        <v>5.1353999999999997</v>
      </c>
      <c r="BD95" s="5">
        <f>VLOOKUP(R95,'[1]Coefficient Normal'!$A$10:$P$14,3,TRUE)</f>
        <v>-4.9599999999999998E-2</v>
      </c>
      <c r="BE95" s="5">
        <f>VLOOKUP(R95,'[1]Coefficient Normal'!$A$10:$P$14,4,TRUE)</f>
        <v>0.44590000000000002</v>
      </c>
      <c r="BF95" s="5">
        <f>VLOOKUP(R95,'[1]Coefficient Normal'!$A$10:$P$14,5,TRUE)</f>
        <v>-0.83709999999999996</v>
      </c>
      <c r="BG95" s="5">
        <f>VLOOKUP(R95,'[1]Coefficient Normal'!$A$10:$P$14,6,TRUE)</f>
        <v>0.63090000000000002</v>
      </c>
      <c r="BH95" s="5">
        <f>VLOOKUP(R95,'[1]Coefficient Normal'!$A$10:$P$14,7,TRUE)</f>
        <v>0.91390000000000005</v>
      </c>
      <c r="BI95" s="5">
        <f>VLOOKUP(R95,'[1]Coefficient Normal'!$A$10:$P$14,8,TRUE)</f>
        <v>2.5000000000000001E-3</v>
      </c>
      <c r="BJ95" s="5">
        <f>VLOOKUP(R95,'[1]Coefficient Normal'!$A$10:$P$14,9,TRUE)</f>
        <v>1.6000000000000001E-3</v>
      </c>
      <c r="BK95" s="5">
        <f>VLOOKUP(R95,'[1]Coefficient Normal'!$A$10:$P$14,10,TRUE)</f>
        <v>-9.7500000000000003E-2</v>
      </c>
      <c r="BL95" s="5">
        <f>VLOOKUP(R95,'[1]Coefficient Normal'!$A$10:$P$14,11,TRUE)</f>
        <v>1.1999999999999999E-3</v>
      </c>
      <c r="BM95" s="5">
        <f>VLOOKUP(R95,'[1]Coefficient Normal'!$A$10:$P$14,12,TRUE)</f>
        <v>0.46479999999999999</v>
      </c>
      <c r="BN95" s="5">
        <f>VLOOKUP(R95,'[1]Coefficient Normal'!$A$10:$P$14,13,TRUE)</f>
        <v>8.0000000000000004E-4</v>
      </c>
      <c r="BO95" s="5">
        <f>VLOOKUP(R95,'[1]Coefficient Normal'!$A$10:$P$14,14,TRUE)</f>
        <v>6.7900000000000002E-2</v>
      </c>
      <c r="BP95" s="5">
        <f>VLOOKUP(R95,'[1]Coefficient Normal'!$A$10:$P$14,15,TRUE)</f>
        <v>0.58979999999999999</v>
      </c>
      <c r="BQ95" s="5"/>
      <c r="BR95" s="5"/>
      <c r="BS95" s="5"/>
      <c r="BT95" s="5"/>
      <c r="BU95" s="5"/>
      <c r="BV95" s="5"/>
      <c r="BW95" s="5"/>
      <c r="BX95" s="5"/>
      <c r="BY95" s="5"/>
      <c r="CB95" s="6">
        <f t="shared" si="107"/>
        <v>0</v>
      </c>
      <c r="CC95" s="6">
        <f t="shared" si="108"/>
        <v>1</v>
      </c>
      <c r="CD95" s="6">
        <f t="shared" si="109"/>
        <v>0</v>
      </c>
      <c r="CE95" s="5">
        <f t="shared" si="110"/>
        <v>1.0417206569792006</v>
      </c>
      <c r="CG95">
        <f t="shared" si="111"/>
        <v>-1.2039948045679394</v>
      </c>
      <c r="CN95" s="5">
        <f t="shared" si="112"/>
        <v>-2.7367189908484093</v>
      </c>
      <c r="CO95" s="5">
        <f t="shared" si="113"/>
        <v>-2.8508967051140597</v>
      </c>
      <c r="CP95" s="5">
        <f t="shared" si="114"/>
        <v>-0.18655855317454165</v>
      </c>
      <c r="CQ95" s="5">
        <f t="shared" si="115"/>
        <v>0</v>
      </c>
      <c r="CR95" s="5">
        <f t="shared" si="116"/>
        <v>-4.2373725654426329</v>
      </c>
      <c r="CS95" s="5">
        <f t="shared" si="117"/>
        <v>-0.56312506609653967</v>
      </c>
      <c r="CT95" s="5">
        <f t="shared" si="118"/>
        <v>-2.702552889827774</v>
      </c>
      <c r="CU95" s="7">
        <f t="shared" si="133"/>
        <v>6.7034163281111642E-2</v>
      </c>
      <c r="CV95">
        <f>VLOOKUP(R95,'[1]Coefficient Normal'!$A$10:$P$14,16,TRUE)</f>
        <v>0.34749999999999998</v>
      </c>
      <c r="CW95">
        <v>0.3</v>
      </c>
    </row>
    <row r="96" spans="1:101" x14ac:dyDescent="0.25">
      <c r="A96">
        <v>69</v>
      </c>
      <c r="B96">
        <v>1</v>
      </c>
      <c r="C96" t="str">
        <f t="shared" si="100"/>
        <v>Normal</v>
      </c>
      <c r="D96">
        <v>0.89600000000000002</v>
      </c>
      <c r="E96">
        <f t="shared" si="119"/>
        <v>896</v>
      </c>
      <c r="F96">
        <v>9.5250000000000005E-3</v>
      </c>
      <c r="G96">
        <f t="shared" si="119"/>
        <v>9.5250000000000004</v>
      </c>
      <c r="H96" s="3">
        <f t="shared" si="120"/>
        <v>94.068241469816272</v>
      </c>
      <c r="I96" s="1">
        <v>30</v>
      </c>
      <c r="J96" s="4" t="s">
        <v>75</v>
      </c>
      <c r="K96" s="1">
        <f t="shared" si="121"/>
        <v>14</v>
      </c>
      <c r="L96" s="1">
        <f t="shared" si="122"/>
        <v>15</v>
      </c>
      <c r="M96" s="1">
        <f t="shared" si="123"/>
        <v>483000</v>
      </c>
      <c r="N96" s="1">
        <f t="shared" si="124"/>
        <v>565000</v>
      </c>
      <c r="O96" s="1">
        <f t="shared" si="125"/>
        <v>2.8799444073326219</v>
      </c>
      <c r="P96" s="3">
        <f>100*IF(J96='[1]Estimation Model Normal-Slip'!$J$8,'[1]Estimation Model Normal-Slip'!$O$8,IF(J96='[1]Estimation Model Normal-Slip'!$J$9,'[1]Estimation Model Normal-Slip'!$O$9,IF(J96='[1]Estimation Model Normal-Slip'!$J$10,'[1]Estimation Model Normal-Slip'!$O$10,IF(J96='[1]Estimation Model Normal-Slip'!$J$11,'[1]Estimation Model Normal-Slip'!$O$11,IF(J96='[1]Estimation Model Normal-Slip'!$J$12,'[1]Estimation Model Normal-Slip'!$O$12,IF(J96='[1]Estimation Model Normal-Slip'!$J$13,'[1]Estimation Model Normal-Slip'!$O$13,2))))))</f>
        <v>2.7690517990613435</v>
      </c>
      <c r="Q96" s="1">
        <f t="shared" si="126"/>
        <v>1.0577709909520427</v>
      </c>
      <c r="R96" s="1">
        <v>45</v>
      </c>
      <c r="S96" s="1" t="s">
        <v>71</v>
      </c>
      <c r="T96" t="s">
        <v>76</v>
      </c>
      <c r="U96">
        <f t="shared" si="127"/>
        <v>18.5</v>
      </c>
      <c r="V96" s="1">
        <f t="shared" si="128"/>
        <v>0</v>
      </c>
      <c r="W96">
        <f t="shared" si="129"/>
        <v>125</v>
      </c>
      <c r="X96">
        <f t="shared" si="130"/>
        <v>0.4</v>
      </c>
      <c r="Y96">
        <v>0.9</v>
      </c>
      <c r="Z96" s="1">
        <v>1.2</v>
      </c>
      <c r="AA96" s="1">
        <f t="shared" si="101"/>
        <v>1.8</v>
      </c>
      <c r="AB96">
        <f t="shared" si="131"/>
        <v>140.74335088082273</v>
      </c>
      <c r="AE96">
        <f>IF(T96="medium dense",'[1]Coefficient Normal'!$E$18 + ('[1]Coefficient Normal'!$E$19*AA96) + ('[1]Coefficient Normal'!$E$20*(AA96^2)) + ('[1]Coefficient Normal'!$E$21*(AA96^3)) + ('[1]Coefficient Normal'!$E$22*(AA96^4)),IF(T96="dense",'[1]Coefficient Normal'!$F$18 + ('[1]Coefficient Normal'!$F$19*AA96) + ('[1]Coefficient Normal'!$F$20*(AA96^2)) + ('[1]Coefficient Normal'!$F$21*(AA96^3)) + ('[1]Coefficient Normal'!$F$22*(AA96^4)),IF(T96="very dense",'[1]Coefficient Normal'!$G$18 + ('[1]Coefficient Normal'!$G$19*AA96) + ('[1]Coefficient Normal'!$G$20*(AA96^2)) + ('[1]Coefficient Normal'!$G$21*(AA96^3)) + ('[1]Coefficient Normal'!$G$22*(AA96^4)),0)))</f>
        <v>0</v>
      </c>
      <c r="AF96">
        <f t="shared" si="102"/>
        <v>0</v>
      </c>
      <c r="AG96">
        <f t="shared" si="103"/>
        <v>575.68000000000006</v>
      </c>
      <c r="AH96">
        <f t="shared" si="132"/>
        <v>6.3555519507621687</v>
      </c>
      <c r="AI96">
        <f t="shared" si="104"/>
        <v>4.5440204919621658</v>
      </c>
      <c r="AJ96">
        <f t="shared" si="105"/>
        <v>4.9469380252703399</v>
      </c>
      <c r="AK96" s="1">
        <v>0.4499901</v>
      </c>
      <c r="AL96" s="5">
        <f>VLOOKUP(R96,'[1]Coefficient Normal'!$A$3:$H$7,2,TRUE)</f>
        <v>3.7532999999999999</v>
      </c>
      <c r="AM96" s="5">
        <f>VLOOKUP(R96,'[1]Coefficient Normal'!$A$3:$H$7,3,TRUE)</f>
        <v>0.14510000000000001</v>
      </c>
      <c r="AN96" s="5">
        <f>VLOOKUP(R96,'[1]Coefficient Normal'!$A$3:$H$7,4,TRUE)</f>
        <v>1.2497</v>
      </c>
      <c r="AO96" s="5">
        <f>VLOOKUP(R96,'[1]Coefficient Normal'!$A$3:$H$7,5,TRUE)</f>
        <v>-0.46100000000000002</v>
      </c>
      <c r="AP96" s="5">
        <f>VLOOKUP(R96,'[1]Coefficient Normal'!$A$3:$H$7,6,TRUE)</f>
        <v>0.39140000000000003</v>
      </c>
      <c r="AQ96" s="5">
        <f>VLOOKUP(R96,'[1]Coefficient Normal'!$A$3:$H$7,7,TRUE)</f>
        <v>-0.21310000000000001</v>
      </c>
      <c r="AR96" s="5">
        <f>VLOOKUP(R96,'[1]Coefficient Normal'!$A$3:$H$7,8,TRUE)</f>
        <v>-0.34139999999999998</v>
      </c>
      <c r="AS96" s="5"/>
      <c r="AT96" s="5"/>
      <c r="AU96" s="5"/>
      <c r="AV96" s="5"/>
      <c r="AW96" s="5"/>
      <c r="AY96" s="5">
        <f t="shared" si="106"/>
        <v>-0.61445654144066819</v>
      </c>
      <c r="BC96" s="5">
        <f>VLOOKUP(R96,'[1]Coefficient Normal'!$A$10:$P$14,2,TRUE)</f>
        <v>-1.1082000000000001</v>
      </c>
      <c r="BD96" s="5">
        <f>VLOOKUP(R96,'[1]Coefficient Normal'!$A$10:$P$14,3,TRUE)</f>
        <v>0.10630000000000001</v>
      </c>
      <c r="BE96" s="5">
        <f>VLOOKUP(R96,'[1]Coefficient Normal'!$A$10:$P$14,4,TRUE)</f>
        <v>-0.1439</v>
      </c>
      <c r="BF96" s="5">
        <f>VLOOKUP(R96,'[1]Coefficient Normal'!$A$10:$P$14,5,TRUE)</f>
        <v>0.27879999999999999</v>
      </c>
      <c r="BG96" s="5">
        <f>VLOOKUP(R96,'[1]Coefficient Normal'!$A$10:$P$14,6,TRUE)</f>
        <v>-0.31030000000000002</v>
      </c>
      <c r="BH96" s="5">
        <f>VLOOKUP(R96,'[1]Coefficient Normal'!$A$10:$P$14,7,TRUE)</f>
        <v>1.2553000000000001</v>
      </c>
      <c r="BI96" s="5">
        <f>VLOOKUP(R96,'[1]Coefficient Normal'!$A$10:$P$14,8,TRUE)</f>
        <v>2.9999999999999997E-4</v>
      </c>
      <c r="BJ96" s="5">
        <f>VLOOKUP(R96,'[1]Coefficient Normal'!$A$10:$P$14,9,TRUE)</f>
        <v>5.1999999999999998E-3</v>
      </c>
      <c r="BK96" s="5">
        <f>VLOOKUP(R96,'[1]Coefficient Normal'!$A$10:$P$14,10,TRUE)</f>
        <v>-8.5900000000000004E-2</v>
      </c>
      <c r="BL96" s="5">
        <f>VLOOKUP(R96,'[1]Coefficient Normal'!$A$10:$P$14,11,TRUE)</f>
        <v>5.9999999999999995E-4</v>
      </c>
      <c r="BM96" s="5">
        <f>VLOOKUP(R96,'[1]Coefficient Normal'!$A$10:$P$14,12,TRUE)</f>
        <v>-0.21759999999999999</v>
      </c>
      <c r="BN96" s="5">
        <f>VLOOKUP(R96,'[1]Coefficient Normal'!$A$10:$P$14,13,TRUE)</f>
        <v>-2.69E-2</v>
      </c>
      <c r="BO96" s="5">
        <f>VLOOKUP(R96,'[1]Coefficient Normal'!$A$10:$P$14,14,TRUE)</f>
        <v>0.57389999999999997</v>
      </c>
      <c r="BP96" s="5">
        <f>VLOOKUP(R96,'[1]Coefficient Normal'!$A$10:$P$14,15,TRUE)</f>
        <v>0.34460000000000002</v>
      </c>
      <c r="BQ96" s="5"/>
      <c r="BR96" s="5"/>
      <c r="BS96" s="5"/>
      <c r="BT96" s="5"/>
      <c r="BU96" s="5"/>
      <c r="BV96" s="5"/>
      <c r="BW96" s="5"/>
      <c r="BX96" s="5"/>
      <c r="BY96" s="5"/>
      <c r="CB96" s="6">
        <f t="shared" si="107"/>
        <v>0</v>
      </c>
      <c r="CC96" s="6">
        <f t="shared" si="108"/>
        <v>1</v>
      </c>
      <c r="CD96" s="6">
        <f t="shared" si="109"/>
        <v>1</v>
      </c>
      <c r="CE96" s="5">
        <f t="shared" si="110"/>
        <v>0.98996395014613658</v>
      </c>
      <c r="CG96">
        <f t="shared" si="111"/>
        <v>-0.79852969645977512</v>
      </c>
      <c r="CN96" s="5">
        <f t="shared" si="112"/>
        <v>-0.18407315501910693</v>
      </c>
      <c r="CO96" s="5">
        <f t="shared" si="113"/>
        <v>-0.18222578765857725</v>
      </c>
      <c r="CP96" s="5">
        <f t="shared" si="114"/>
        <v>0.48302937829557824</v>
      </c>
      <c r="CQ96" s="5">
        <f t="shared" si="115"/>
        <v>0</v>
      </c>
      <c r="CR96" s="5">
        <f t="shared" si="116"/>
        <v>1.7719278838724926</v>
      </c>
      <c r="CS96" s="5">
        <f t="shared" si="117"/>
        <v>3.4075552922036199E-2</v>
      </c>
      <c r="CT96" s="5">
        <f t="shared" si="118"/>
        <v>0.99860702743152963</v>
      </c>
      <c r="CU96" s="7">
        <f t="shared" si="133"/>
        <v>2.7144979724542799</v>
      </c>
      <c r="CV96">
        <f>VLOOKUP(R96,'[1]Coefficient Normal'!$A$10:$P$14,16,TRUE)</f>
        <v>0.3997</v>
      </c>
      <c r="CW96">
        <v>0.3</v>
      </c>
    </row>
    <row r="97" spans="1:101" x14ac:dyDescent="0.25">
      <c r="A97">
        <v>70</v>
      </c>
      <c r="B97">
        <v>5</v>
      </c>
      <c r="C97" t="str">
        <f t="shared" si="100"/>
        <v>Normal</v>
      </c>
      <c r="D97">
        <v>0.5</v>
      </c>
      <c r="E97">
        <f t="shared" si="119"/>
        <v>500</v>
      </c>
      <c r="F97">
        <v>9.5250000000000005E-3</v>
      </c>
      <c r="G97">
        <f t="shared" si="119"/>
        <v>9.5250000000000004</v>
      </c>
      <c r="H97" s="3">
        <f t="shared" si="120"/>
        <v>52.493438320209975</v>
      </c>
      <c r="I97" s="1">
        <v>50</v>
      </c>
      <c r="J97" s="4" t="s">
        <v>70</v>
      </c>
      <c r="K97" s="1">
        <f t="shared" si="121"/>
        <v>8</v>
      </c>
      <c r="L97" s="1">
        <f t="shared" si="122"/>
        <v>10</v>
      </c>
      <c r="M97" s="1">
        <f t="shared" si="123"/>
        <v>359000</v>
      </c>
      <c r="N97" s="1">
        <f t="shared" si="124"/>
        <v>455000</v>
      </c>
      <c r="O97" s="1">
        <f t="shared" si="125"/>
        <v>1.9969902892117808</v>
      </c>
      <c r="P97" s="3">
        <f>100*IF(J97='[1]Estimation Model Normal-Slip'!$J$8,'[1]Estimation Model Normal-Slip'!$O$8,IF(J97='[1]Estimation Model Normal-Slip'!$J$9,'[1]Estimation Model Normal-Slip'!$O$9,IF(J97='[1]Estimation Model Normal-Slip'!$J$10,'[1]Estimation Model Normal-Slip'!$O$10,IF(J97='[1]Estimation Model Normal-Slip'!$J$11,'[1]Estimation Model Normal-Slip'!$O$11,IF(J97='[1]Estimation Model Normal-Slip'!$J$12,'[1]Estimation Model Normal-Slip'!$O$12,IF(J97='[1]Estimation Model Normal-Slip'!$J$13,'[1]Estimation Model Normal-Slip'!$O$13,2))))))</f>
        <v>1.9041242414694344</v>
      </c>
      <c r="Q97" s="1">
        <f t="shared" si="126"/>
        <v>0.69164119173371341</v>
      </c>
      <c r="R97" s="1">
        <v>60</v>
      </c>
      <c r="S97" s="1" t="s">
        <v>71</v>
      </c>
      <c r="T97" t="s">
        <v>72</v>
      </c>
      <c r="U97">
        <f t="shared" si="127"/>
        <v>17.5</v>
      </c>
      <c r="V97" s="1">
        <f t="shared" si="128"/>
        <v>0</v>
      </c>
      <c r="W97">
        <f t="shared" si="129"/>
        <v>37.5</v>
      </c>
      <c r="X97">
        <f t="shared" si="130"/>
        <v>1.1000000000000001</v>
      </c>
      <c r="Y97">
        <v>0.9</v>
      </c>
      <c r="Z97" s="1">
        <v>2.5</v>
      </c>
      <c r="AA97" s="1">
        <f t="shared" si="101"/>
        <v>5</v>
      </c>
      <c r="AB97">
        <f t="shared" si="131"/>
        <v>64.795348480289491</v>
      </c>
      <c r="AE97">
        <f>IF(T97="medium dense",'[1]Coefficient Normal'!$E$18 + ('[1]Coefficient Normal'!$E$19*AA97) + ('[1]Coefficient Normal'!$E$20*(AA97^2)) + ('[1]Coefficient Normal'!$E$21*(AA97^3)) + ('[1]Coefficient Normal'!$E$22*(AA97^4)),IF(T97="dense",'[1]Coefficient Normal'!$F$18 + ('[1]Coefficient Normal'!$F$19*AA97) + ('[1]Coefficient Normal'!$F$20*(AA97^2)) + ('[1]Coefficient Normal'!$F$21*(AA97^3)) + ('[1]Coefficient Normal'!$F$22*(AA97^4)),IF(T97="very dense",'[1]Coefficient Normal'!$G$18 + ('[1]Coefficient Normal'!$G$19*AA97) + ('[1]Coefficient Normal'!$G$20*(AA97^2)) + ('[1]Coefficient Normal'!$G$21*(AA97^3)) + ('[1]Coefficient Normal'!$G$22*(AA97^4)),0)))</f>
        <v>0</v>
      </c>
      <c r="AF97">
        <f t="shared" si="102"/>
        <v>0</v>
      </c>
      <c r="AG97">
        <f t="shared" si="103"/>
        <v>96.375</v>
      </c>
      <c r="AH97" s="8">
        <f t="shared" si="132"/>
        <v>4.5682468318834939</v>
      </c>
      <c r="AI97" s="8">
        <f t="shared" si="104"/>
        <v>3.9606881774094269</v>
      </c>
      <c r="AJ97" s="8">
        <f t="shared" si="105"/>
        <v>4.1712338180701449</v>
      </c>
      <c r="AK97" s="11">
        <v>0.59998680000000004</v>
      </c>
      <c r="AL97" s="5">
        <f>VLOOKUP(R97,'[1]Coefficient Normal'!$A$3:$H$7,2,TRUE)</f>
        <v>4.3182999999999998</v>
      </c>
      <c r="AM97" s="5">
        <f>VLOOKUP(R97,'[1]Coefficient Normal'!$A$3:$H$7,3,TRUE)</f>
        <v>-2.7900000000000001E-2</v>
      </c>
      <c r="AN97" s="5">
        <f>VLOOKUP(R97,'[1]Coefficient Normal'!$A$3:$H$7,4,TRUE)</f>
        <v>1.0497000000000001</v>
      </c>
      <c r="AO97" s="5">
        <f>VLOOKUP(R97,'[1]Coefficient Normal'!$A$3:$H$7,5,TRUE)</f>
        <v>-0.46910000000000002</v>
      </c>
      <c r="AP97" s="5">
        <f>VLOOKUP(R97,'[1]Coefficient Normal'!$A$3:$H$7,6,TRUE)</f>
        <v>0.29149999999999998</v>
      </c>
      <c r="AQ97" s="5">
        <f>VLOOKUP(R97,'[1]Coefficient Normal'!$A$3:$H$7,7,TRUE)</f>
        <v>-0.28610000000000002</v>
      </c>
      <c r="AR97" s="5">
        <f>VLOOKUP(R97,'[1]Coefficient Normal'!$A$3:$H$7,8,TRUE)</f>
        <v>-0.1348</v>
      </c>
      <c r="AS97" s="5"/>
      <c r="AT97" s="5"/>
      <c r="AU97" s="5"/>
      <c r="AV97" s="5"/>
      <c r="AW97" s="5"/>
      <c r="AY97" s="9">
        <f t="shared" si="106"/>
        <v>-4.4045191195327571E-2</v>
      </c>
      <c r="BC97" s="5">
        <f>VLOOKUP(R97,'[1]Coefficient Normal'!$A$10:$P$14,2,TRUE)</f>
        <v>-2.1276999999999999</v>
      </c>
      <c r="BD97" s="5">
        <f>VLOOKUP(R97,'[1]Coefficient Normal'!$A$10:$P$14,3,TRUE)</f>
        <v>0.14760000000000001</v>
      </c>
      <c r="BE97" s="5">
        <f>VLOOKUP(R97,'[1]Coefficient Normal'!$A$10:$P$14,4,TRUE)</f>
        <v>-0.21829999999999999</v>
      </c>
      <c r="BF97" s="5">
        <f>VLOOKUP(R97,'[1]Coefficient Normal'!$A$10:$P$14,5,TRUE)</f>
        <v>0.42270000000000002</v>
      </c>
      <c r="BG97" s="5">
        <f>VLOOKUP(R97,'[1]Coefficient Normal'!$A$10:$P$14,6,TRUE)</f>
        <v>-0.53720000000000001</v>
      </c>
      <c r="BH97" s="5">
        <f>VLOOKUP(R97,'[1]Coefficient Normal'!$A$10:$P$14,7,TRUE)</f>
        <v>1.252</v>
      </c>
      <c r="BI97" s="5">
        <f>VLOOKUP(R97,'[1]Coefficient Normal'!$A$10:$P$14,8,TRUE)</f>
        <v>-5.9999999999999995E-4</v>
      </c>
      <c r="BJ97" s="5">
        <f>VLOOKUP(R97,'[1]Coefficient Normal'!$A$10:$P$14,9,TRUE)</f>
        <v>5.3E-3</v>
      </c>
      <c r="BK97" s="5">
        <f>VLOOKUP(R97,'[1]Coefficient Normal'!$A$10:$P$14,10,TRUE)</f>
        <v>-4.8500000000000001E-2</v>
      </c>
      <c r="BL97" s="5">
        <f>VLOOKUP(R97,'[1]Coefficient Normal'!$A$10:$P$14,11,TRUE)</f>
        <v>1.2999999999999999E-3</v>
      </c>
      <c r="BM97" s="5">
        <f>VLOOKUP(R97,'[1]Coefficient Normal'!$A$10:$P$14,12,TRUE)</f>
        <v>-0.56599999999999995</v>
      </c>
      <c r="BN97" s="5">
        <f>VLOOKUP(R97,'[1]Coefficient Normal'!$A$10:$P$14,13,TRUE)</f>
        <v>-3.2099999999999997E-2</v>
      </c>
      <c r="BO97" s="5">
        <f>VLOOKUP(R97,'[1]Coefficient Normal'!$A$10:$P$14,14,TRUE)</f>
        <v>0.84970000000000001</v>
      </c>
      <c r="BP97" s="5">
        <f>VLOOKUP(R97,'[1]Coefficient Normal'!$A$10:$P$14,15,TRUE)</f>
        <v>9.01E-2</v>
      </c>
      <c r="BQ97" s="5"/>
      <c r="BR97" s="5"/>
      <c r="BS97" s="5"/>
      <c r="BT97" s="5"/>
      <c r="BU97" s="5"/>
      <c r="BV97" s="5"/>
      <c r="BW97" s="5"/>
      <c r="BX97" s="5"/>
      <c r="BY97" s="5"/>
      <c r="CB97" s="6">
        <f t="shared" si="107"/>
        <v>0</v>
      </c>
      <c r="CC97" s="10">
        <f t="shared" si="108"/>
        <v>1</v>
      </c>
      <c r="CD97" s="10">
        <f t="shared" si="109"/>
        <v>1</v>
      </c>
      <c r="CE97" s="9">
        <f t="shared" si="110"/>
        <v>1.0163642607280992</v>
      </c>
      <c r="CG97" s="8">
        <f t="shared" si="111"/>
        <v>-0.51084762400799422</v>
      </c>
      <c r="CN97" s="9">
        <f t="shared" si="112"/>
        <v>-0.46680243281266665</v>
      </c>
      <c r="CO97" s="9">
        <f t="shared" si="113"/>
        <v>-0.47444130953172409</v>
      </c>
      <c r="CP97" s="9">
        <f t="shared" si="114"/>
        <v>0.58459757498563147</v>
      </c>
      <c r="CQ97" s="9">
        <f t="shared" si="115"/>
        <v>0</v>
      </c>
      <c r="CR97" s="9">
        <f t="shared" si="116"/>
        <v>1.930997935837153</v>
      </c>
      <c r="CS97" s="9">
        <f t="shared" si="117"/>
        <v>0.37235866539680262</v>
      </c>
      <c r="CT97" s="9">
        <f t="shared" si="118"/>
        <v>0.28581286668786332</v>
      </c>
      <c r="CU97" s="12">
        <f t="shared" si="133"/>
        <v>1.3308433868176077</v>
      </c>
      <c r="CV97">
        <f>VLOOKUP(R97,'[1]Coefficient Normal'!$A$10:$P$14,16,TRUE)</f>
        <v>0.50170000000000003</v>
      </c>
      <c r="CW97">
        <v>0.3</v>
      </c>
    </row>
    <row r="98" spans="1:101" x14ac:dyDescent="0.25">
      <c r="A98">
        <v>71</v>
      </c>
      <c r="B98">
        <v>0</v>
      </c>
      <c r="C98" t="str">
        <f t="shared" si="100"/>
        <v>Normal</v>
      </c>
      <c r="D98">
        <v>1.0668</v>
      </c>
      <c r="E98">
        <f t="shared" si="119"/>
        <v>1066.8</v>
      </c>
      <c r="F98" s="8">
        <v>9.5250000000000005E-3</v>
      </c>
      <c r="G98">
        <f t="shared" si="119"/>
        <v>9.5250000000000004</v>
      </c>
      <c r="H98" s="3">
        <f t="shared" si="120"/>
        <v>111.99999999999999</v>
      </c>
      <c r="I98" s="1">
        <v>100</v>
      </c>
      <c r="J98" s="4" t="s">
        <v>75</v>
      </c>
      <c r="K98" s="1">
        <f t="shared" si="121"/>
        <v>14</v>
      </c>
      <c r="L98" s="1">
        <f t="shared" si="122"/>
        <v>15</v>
      </c>
      <c r="M98" s="1">
        <f t="shared" si="123"/>
        <v>483000</v>
      </c>
      <c r="N98" s="1">
        <f t="shared" si="124"/>
        <v>565000</v>
      </c>
      <c r="O98" s="1">
        <f t="shared" si="125"/>
        <v>2.8799444073326219</v>
      </c>
      <c r="P98" s="3">
        <f>100*IF(J98='[1]Estimation Model Normal-Slip'!$J$8,'[1]Estimation Model Normal-Slip'!$O$8,IF(J98='[1]Estimation Model Normal-Slip'!$J$9,'[1]Estimation Model Normal-Slip'!$O$9,IF(J98='[1]Estimation Model Normal-Slip'!$J$10,'[1]Estimation Model Normal-Slip'!$O$10,IF(J98='[1]Estimation Model Normal-Slip'!$J$11,'[1]Estimation Model Normal-Slip'!$O$11,IF(J98='[1]Estimation Model Normal-Slip'!$J$12,'[1]Estimation Model Normal-Slip'!$O$12,IF(J98='[1]Estimation Model Normal-Slip'!$J$13,'[1]Estimation Model Normal-Slip'!$O$13,2))))))</f>
        <v>2.7690517990613435</v>
      </c>
      <c r="Q98" s="1">
        <f t="shared" si="126"/>
        <v>1.0577709909520427</v>
      </c>
      <c r="R98" s="1">
        <v>75</v>
      </c>
      <c r="S98" s="1" t="s">
        <v>78</v>
      </c>
      <c r="T98" t="s">
        <v>79</v>
      </c>
      <c r="U98">
        <f t="shared" si="127"/>
        <v>18</v>
      </c>
      <c r="V98" s="1">
        <f t="shared" si="128"/>
        <v>37</v>
      </c>
      <c r="W98">
        <f t="shared" si="129"/>
        <v>0</v>
      </c>
      <c r="X98">
        <f t="shared" si="130"/>
        <v>0</v>
      </c>
      <c r="Y98">
        <v>0.9</v>
      </c>
      <c r="Z98" s="1">
        <v>1</v>
      </c>
      <c r="AA98" s="1">
        <f t="shared" si="101"/>
        <v>1.8</v>
      </c>
      <c r="AB98">
        <f t="shared" si="131"/>
        <v>39.626853336736396</v>
      </c>
      <c r="AE98">
        <f>IF(T98="medium dense",'[1]Coefficient Normal'!$E$18 + ('[1]Coefficient Normal'!$E$19*AA98) + ('[1]Coefficient Normal'!$E$20*(AA98^2)) + ('[1]Coefficient Normal'!$E$21*(AA98^3)) + ('[1]Coefficient Normal'!$E$22*(AA98^4)),IF(T98="dense",'[1]Coefficient Normal'!$F$18 + ('[1]Coefficient Normal'!$F$19*AA98) + ('[1]Coefficient Normal'!$F$20*(AA98^2)) + ('[1]Coefficient Normal'!$F$21*(AA98^3)) + ('[1]Coefficient Normal'!$F$22*(AA98^4)),IF(T98="very dense",'[1]Coefficient Normal'!$G$18 + ('[1]Coefficient Normal'!$G$19*AA98) + ('[1]Coefficient Normal'!$G$20*(AA98^2)) + ('[1]Coefficient Normal'!$G$21*(AA98^3)) + ('[1]Coefficient Normal'!$G$22*(AA98^4)),0)))</f>
        <v>12.698394373823998</v>
      </c>
      <c r="AF98">
        <f t="shared" si="102"/>
        <v>64.071522599936642</v>
      </c>
      <c r="AG98">
        <f t="shared" si="103"/>
        <v>900.09607289656856</v>
      </c>
      <c r="AH98" s="8">
        <f t="shared" si="132"/>
        <v>6.8025015052900386</v>
      </c>
      <c r="AI98" s="8">
        <f t="shared" si="104"/>
        <v>4.7184988712950942</v>
      </c>
      <c r="AJ98" s="8">
        <f t="shared" si="105"/>
        <v>3.6795070030086925</v>
      </c>
      <c r="AK98" s="11">
        <v>0.74998350000000003</v>
      </c>
      <c r="AL98" s="5">
        <f>VLOOKUP(R98,'[1]Coefficient Normal'!$A$3:$H$7,2,TRUE)</f>
        <v>5.5951000000000004</v>
      </c>
      <c r="AM98" s="5">
        <f>VLOOKUP(R98,'[1]Coefficient Normal'!$A$3:$H$7,3,TRUE)</f>
        <v>1.6E-2</v>
      </c>
      <c r="AN98" s="5">
        <f>VLOOKUP(R98,'[1]Coefficient Normal'!$A$3:$H$7,4,TRUE)</f>
        <v>1.2641</v>
      </c>
      <c r="AO98" s="5">
        <f>VLOOKUP(R98,'[1]Coefficient Normal'!$A$3:$H$7,5,TRUE)</f>
        <v>-0.52429999999999999</v>
      </c>
      <c r="AP98" s="5">
        <f>VLOOKUP(R98,'[1]Coefficient Normal'!$A$3:$H$7,6,TRUE)</f>
        <v>0.35830000000000001</v>
      </c>
      <c r="AQ98" s="5">
        <f>VLOOKUP(R98,'[1]Coefficient Normal'!$A$3:$H$7,7,TRUE)</f>
        <v>-0.35920000000000002</v>
      </c>
      <c r="AR98" s="5">
        <f>VLOOKUP(R98,'[1]Coefficient Normal'!$A$3:$H$7,8,TRUE)</f>
        <v>-0.2482</v>
      </c>
      <c r="AS98" s="5"/>
      <c r="AT98" s="5"/>
      <c r="AU98" s="5"/>
      <c r="AV98" s="5"/>
      <c r="AW98" s="5"/>
      <c r="AY98" s="9">
        <f t="shared" si="106"/>
        <v>0.29890207916201494</v>
      </c>
      <c r="BC98" s="5">
        <f>VLOOKUP(R98,'[1]Coefficient Normal'!$A$10:$P$14,2,TRUE)</f>
        <v>-2.3450000000000002</v>
      </c>
      <c r="BD98" s="5">
        <f>VLOOKUP(R98,'[1]Coefficient Normal'!$A$10:$P$14,3,TRUE)</f>
        <v>0.19470000000000001</v>
      </c>
      <c r="BE98" s="5">
        <f>VLOOKUP(R98,'[1]Coefficient Normal'!$A$10:$P$14,4,TRUE)</f>
        <v>-0.2044</v>
      </c>
      <c r="BF98" s="5">
        <f>VLOOKUP(R98,'[1]Coefficient Normal'!$A$10:$P$14,5,TRUE)</f>
        <v>0.4143</v>
      </c>
      <c r="BG98" s="5">
        <f>VLOOKUP(R98,'[1]Coefficient Normal'!$A$10:$P$14,6,TRUE)</f>
        <v>-0.55710000000000004</v>
      </c>
      <c r="BH98" s="5">
        <f>VLOOKUP(R98,'[1]Coefficient Normal'!$A$10:$P$14,7,TRUE)</f>
        <v>1.0931</v>
      </c>
      <c r="BI98" s="5">
        <f>VLOOKUP(R98,'[1]Coefficient Normal'!$A$10:$P$14,8,TRUE)</f>
        <v>1E-4</v>
      </c>
      <c r="BJ98" s="5">
        <f>VLOOKUP(R98,'[1]Coefficient Normal'!$A$10:$P$14,9,TRUE)</f>
        <v>3.5000000000000001E-3</v>
      </c>
      <c r="BK98" s="5">
        <f>VLOOKUP(R98,'[1]Coefficient Normal'!$A$10:$P$14,10,TRUE)</f>
        <v>-4.07E-2</v>
      </c>
      <c r="BL98" s="5">
        <f>VLOOKUP(R98,'[1]Coefficient Normal'!$A$10:$P$14,11,TRUE)</f>
        <v>1.6000000000000001E-3</v>
      </c>
      <c r="BM98" s="5">
        <f>VLOOKUP(R98,'[1]Coefficient Normal'!$A$10:$P$14,12,TRUE)</f>
        <v>-0.65949999999999998</v>
      </c>
      <c r="BN98" s="5">
        <f>VLOOKUP(R98,'[1]Coefficient Normal'!$A$10:$P$14,13,TRUE)</f>
        <v>-3.0099999999999998E-2</v>
      </c>
      <c r="BO98" s="5">
        <f>VLOOKUP(R98,'[1]Coefficient Normal'!$A$10:$P$14,14,TRUE)</f>
        <v>0.84219999999999995</v>
      </c>
      <c r="BP98" s="5">
        <f>VLOOKUP(R98,'[1]Coefficient Normal'!$A$10:$P$14,15,TRUE)</f>
        <v>0.50680000000000003</v>
      </c>
      <c r="BQ98" s="5"/>
      <c r="BR98" s="5"/>
      <c r="BS98" s="5"/>
      <c r="BT98" s="5"/>
      <c r="BU98" s="5"/>
      <c r="BV98" s="5"/>
      <c r="BW98" s="5"/>
      <c r="BX98" s="5"/>
      <c r="BY98" s="5"/>
      <c r="CB98" s="6">
        <f t="shared" si="107"/>
        <v>1</v>
      </c>
      <c r="CC98" s="10">
        <f t="shared" si="108"/>
        <v>1</v>
      </c>
      <c r="CD98" s="10">
        <f t="shared" si="109"/>
        <v>0</v>
      </c>
      <c r="CE98" s="9">
        <f t="shared" si="110"/>
        <v>1.2355626853336736</v>
      </c>
      <c r="CG98" s="8">
        <f t="shared" si="111"/>
        <v>-0.28770407269378445</v>
      </c>
      <c r="CN98" s="9">
        <f t="shared" si="112"/>
        <v>-0.58660615185579945</v>
      </c>
      <c r="CO98" s="9">
        <f t="shared" si="113"/>
        <v>-0.72478867222020427</v>
      </c>
      <c r="CP98" s="9">
        <f t="shared" si="114"/>
        <v>0.91869173024115491</v>
      </c>
      <c r="CQ98" s="9">
        <f t="shared" si="115"/>
        <v>-0.75209123141497669</v>
      </c>
      <c r="CR98" s="9">
        <f t="shared" si="116"/>
        <v>2.8182763736416629</v>
      </c>
      <c r="CS98" s="9">
        <f t="shared" si="117"/>
        <v>-3.6024043273759798E-2</v>
      </c>
      <c r="CT98" s="9">
        <f t="shared" si="118"/>
        <v>-0.12093584302612276</v>
      </c>
      <c r="CU98" s="12">
        <f t="shared" si="133"/>
        <v>0.8860908066740244</v>
      </c>
      <c r="CV98">
        <f>VLOOKUP(R98,'[1]Coefficient Normal'!$A$10:$P$14,16,TRUE)</f>
        <v>0.43780000000000002</v>
      </c>
      <c r="CW98">
        <v>0.3</v>
      </c>
    </row>
    <row r="99" spans="1:101" x14ac:dyDescent="0.25">
      <c r="A99">
        <v>72</v>
      </c>
      <c r="B99">
        <v>4</v>
      </c>
      <c r="C99" t="str">
        <f t="shared" si="100"/>
        <v>Normal</v>
      </c>
      <c r="D99">
        <v>0.60960000000000003</v>
      </c>
      <c r="E99">
        <f t="shared" si="119"/>
        <v>609.6</v>
      </c>
      <c r="F99">
        <v>9.5250000000000005E-3</v>
      </c>
      <c r="G99">
        <f t="shared" si="119"/>
        <v>9.5250000000000004</v>
      </c>
      <c r="H99" s="3">
        <f t="shared" si="120"/>
        <v>64</v>
      </c>
      <c r="I99" s="1">
        <v>300</v>
      </c>
      <c r="J99" s="4" t="s">
        <v>77</v>
      </c>
      <c r="K99" s="1">
        <f t="shared" si="121"/>
        <v>15</v>
      </c>
      <c r="L99" s="1">
        <f t="shared" si="122"/>
        <v>20</v>
      </c>
      <c r="M99" s="1">
        <f t="shared" si="123"/>
        <v>552000</v>
      </c>
      <c r="N99" s="1">
        <f t="shared" si="124"/>
        <v>625000</v>
      </c>
      <c r="O99" s="1">
        <f t="shared" si="125"/>
        <v>2.9888368774026359</v>
      </c>
      <c r="P99" s="3">
        <f>100*IF(J99='[1]Estimation Model Normal-Slip'!$J$8,'[1]Estimation Model Normal-Slip'!$O$8,IF(J99='[1]Estimation Model Normal-Slip'!$J$9,'[1]Estimation Model Normal-Slip'!$O$9,IF(J99='[1]Estimation Model Normal-Slip'!$J$10,'[1]Estimation Model Normal-Slip'!$O$10,IF(J99='[1]Estimation Model Normal-Slip'!$J$11,'[1]Estimation Model Normal-Slip'!$O$11,IF(J99='[1]Estimation Model Normal-Slip'!$J$12,'[1]Estimation Model Normal-Slip'!$O$12,IF(J99='[1]Estimation Model Normal-Slip'!$J$13,'[1]Estimation Model Normal-Slip'!$O$13,2))))))</f>
        <v>2.8464933991254466</v>
      </c>
      <c r="Q99" s="1">
        <f t="shared" si="126"/>
        <v>1.0948843075076633</v>
      </c>
      <c r="R99" s="1">
        <v>90</v>
      </c>
      <c r="S99" s="1" t="s">
        <v>78</v>
      </c>
      <c r="T99" t="s">
        <v>80</v>
      </c>
      <c r="U99">
        <f t="shared" si="127"/>
        <v>18.5</v>
      </c>
      <c r="V99" s="1">
        <f t="shared" si="128"/>
        <v>40</v>
      </c>
      <c r="W99">
        <f t="shared" si="129"/>
        <v>0</v>
      </c>
      <c r="X99">
        <f t="shared" si="130"/>
        <v>0</v>
      </c>
      <c r="Y99">
        <v>0.9</v>
      </c>
      <c r="Z99" s="1">
        <v>1.2</v>
      </c>
      <c r="AA99" s="1">
        <f t="shared" si="101"/>
        <v>1.9685039370078738</v>
      </c>
      <c r="AB99">
        <f t="shared" si="131"/>
        <v>30.889355446920469</v>
      </c>
      <c r="AE99">
        <f>IF(T99="medium dense",'[1]Coefficient Normal'!$E$18 + ('[1]Coefficient Normal'!$E$19*AA99) + ('[1]Coefficient Normal'!$E$20*(AA99^2)) + ('[1]Coefficient Normal'!$E$21*(AA99^3)) + ('[1]Coefficient Normal'!$E$22*(AA99^4)),IF(T99="dense",'[1]Coefficient Normal'!$F$18 + ('[1]Coefficient Normal'!$F$19*AA99) + ('[1]Coefficient Normal'!$F$20*(AA99^2)) + ('[1]Coefficient Normal'!$F$21*(AA99^3)) + ('[1]Coefficient Normal'!$F$22*(AA99^4)),IF(T99="very dense",'[1]Coefficient Normal'!$G$18 + ('[1]Coefficient Normal'!$G$19*AA99) + ('[1]Coefficient Normal'!$G$20*(AA99^2)) + ('[1]Coefficient Normal'!$G$21*(AA99^3)) + ('[1]Coefficient Normal'!$G$22*(AA99^4)),0)))</f>
        <v>15.896480151009957</v>
      </c>
      <c r="AF99">
        <f t="shared" si="102"/>
        <v>80</v>
      </c>
      <c r="AG99">
        <f t="shared" si="103"/>
        <v>490.12197186123592</v>
      </c>
      <c r="AH99">
        <f t="shared" si="132"/>
        <v>6.1946542822944775</v>
      </c>
      <c r="AI99">
        <f t="shared" si="104"/>
        <v>4.1588830833596715</v>
      </c>
      <c r="AJ99">
        <f t="shared" si="105"/>
        <v>3.4304116406370531</v>
      </c>
      <c r="AK99" s="1">
        <v>2.75</v>
      </c>
      <c r="AL99" s="5">
        <f>VLOOKUP(R99,'[1]Coefficient Normal'!$A$3:$H$7,2,TRUE)</f>
        <v>14.575100000000001</v>
      </c>
      <c r="AM99" s="5">
        <f>VLOOKUP(R99,'[1]Coefficient Normal'!$A$3:$H$7,3,TRUE)</f>
        <v>0.1356</v>
      </c>
      <c r="AN99" s="5">
        <f>VLOOKUP(R99,'[1]Coefficient Normal'!$A$3:$H$7,4,TRUE)</f>
        <v>2.9990000000000001</v>
      </c>
      <c r="AO99" s="5">
        <f>VLOOKUP(R99,'[1]Coefficient Normal'!$A$3:$H$7,5,TRUE)</f>
        <v>-0.94710000000000005</v>
      </c>
      <c r="AP99" s="5">
        <f>VLOOKUP(R99,'[1]Coefficient Normal'!$A$3:$H$7,6,TRUE)</f>
        <v>0.6603</v>
      </c>
      <c r="AQ99" s="5">
        <f>VLOOKUP(R99,'[1]Coefficient Normal'!$A$3:$H$7,7,TRUE)</f>
        <v>-1.2488999999999999</v>
      </c>
      <c r="AR99" s="5">
        <f>VLOOKUP(R99,'[1]Coefficient Normal'!$A$3:$H$7,8,TRUE)</f>
        <v>-0.44140000000000001</v>
      </c>
      <c r="AS99" s="5"/>
      <c r="AT99" s="5"/>
      <c r="AU99" s="5"/>
      <c r="AV99" s="5"/>
      <c r="AW99" s="5"/>
      <c r="AY99" s="5">
        <f t="shared" si="106"/>
        <v>1.3975575406714862</v>
      </c>
      <c r="BC99" s="5">
        <f>VLOOKUP(R99,'[1]Coefficient Normal'!$A$10:$P$14,2,TRUE)</f>
        <v>5.1353999999999997</v>
      </c>
      <c r="BD99" s="5">
        <f>VLOOKUP(R99,'[1]Coefficient Normal'!$A$10:$P$14,3,TRUE)</f>
        <v>-4.9599999999999998E-2</v>
      </c>
      <c r="BE99" s="5">
        <f>VLOOKUP(R99,'[1]Coefficient Normal'!$A$10:$P$14,4,TRUE)</f>
        <v>0.44590000000000002</v>
      </c>
      <c r="BF99" s="5">
        <f>VLOOKUP(R99,'[1]Coefficient Normal'!$A$10:$P$14,5,TRUE)</f>
        <v>-0.83709999999999996</v>
      </c>
      <c r="BG99" s="5">
        <f>VLOOKUP(R99,'[1]Coefficient Normal'!$A$10:$P$14,6,TRUE)</f>
        <v>0.63090000000000002</v>
      </c>
      <c r="BH99" s="5">
        <f>VLOOKUP(R99,'[1]Coefficient Normal'!$A$10:$P$14,7,TRUE)</f>
        <v>0.91390000000000005</v>
      </c>
      <c r="BI99" s="5">
        <f>VLOOKUP(R99,'[1]Coefficient Normal'!$A$10:$P$14,8,TRUE)</f>
        <v>2.5000000000000001E-3</v>
      </c>
      <c r="BJ99" s="5">
        <f>VLOOKUP(R99,'[1]Coefficient Normal'!$A$10:$P$14,9,TRUE)</f>
        <v>1.6000000000000001E-3</v>
      </c>
      <c r="BK99" s="5">
        <f>VLOOKUP(R99,'[1]Coefficient Normal'!$A$10:$P$14,10,TRUE)</f>
        <v>-9.7500000000000003E-2</v>
      </c>
      <c r="BL99" s="5">
        <f>VLOOKUP(R99,'[1]Coefficient Normal'!$A$10:$P$14,11,TRUE)</f>
        <v>1.1999999999999999E-3</v>
      </c>
      <c r="BM99" s="5">
        <f>VLOOKUP(R99,'[1]Coefficient Normal'!$A$10:$P$14,12,TRUE)</f>
        <v>0.46479999999999999</v>
      </c>
      <c r="BN99" s="5">
        <f>VLOOKUP(R99,'[1]Coefficient Normal'!$A$10:$P$14,13,TRUE)</f>
        <v>8.0000000000000004E-4</v>
      </c>
      <c r="BO99" s="5">
        <f>VLOOKUP(R99,'[1]Coefficient Normal'!$A$10:$P$14,14,TRUE)</f>
        <v>6.7900000000000002E-2</v>
      </c>
      <c r="BP99" s="5">
        <f>VLOOKUP(R99,'[1]Coefficient Normal'!$A$10:$P$14,15,TRUE)</f>
        <v>0.58979999999999999</v>
      </c>
      <c r="BQ99" s="5"/>
      <c r="BR99" s="5"/>
      <c r="BS99" s="5"/>
      <c r="BT99" s="5"/>
      <c r="BU99" s="5"/>
      <c r="BV99" s="5"/>
      <c r="BW99" s="5"/>
      <c r="BX99" s="5"/>
      <c r="BY99" s="5"/>
      <c r="CB99" s="6">
        <f t="shared" si="107"/>
        <v>1</v>
      </c>
      <c r="CC99" s="6">
        <f t="shared" si="108"/>
        <v>1</v>
      </c>
      <c r="CD99" s="6">
        <f t="shared" si="109"/>
        <v>0</v>
      </c>
      <c r="CE99" s="5">
        <f t="shared" si="110"/>
        <v>0.97042338861730115</v>
      </c>
      <c r="CG99">
        <f t="shared" si="111"/>
        <v>1.0116009116784799</v>
      </c>
      <c r="CN99" s="5">
        <f t="shared" si="112"/>
        <v>-0.38595662899300631</v>
      </c>
      <c r="CO99" s="5">
        <f t="shared" si="113"/>
        <v>-0.37454133976670367</v>
      </c>
      <c r="CP99" s="5">
        <f t="shared" si="114"/>
        <v>-0.20628060093463971</v>
      </c>
      <c r="CQ99" s="5">
        <f t="shared" si="115"/>
        <v>1.529620550560062</v>
      </c>
      <c r="CR99" s="5">
        <f t="shared" si="116"/>
        <v>-5.1855450997087065</v>
      </c>
      <c r="CS99" s="5">
        <f t="shared" si="117"/>
        <v>-0.31226539005126003</v>
      </c>
      <c r="CT99" s="5">
        <f t="shared" si="118"/>
        <v>0.58638812009875241</v>
      </c>
      <c r="CU99" s="7">
        <f t="shared" si="133"/>
        <v>1.7974843788684016</v>
      </c>
      <c r="CV99">
        <f>VLOOKUP(R99,'[1]Coefficient Normal'!$A$10:$P$14,16,TRUE)</f>
        <v>0.34749999999999998</v>
      </c>
      <c r="CW99">
        <v>0.3</v>
      </c>
    </row>
    <row r="100" spans="1:101" x14ac:dyDescent="0.25">
      <c r="A100">
        <v>73</v>
      </c>
      <c r="B100">
        <v>2</v>
      </c>
      <c r="C100" t="str">
        <f t="shared" si="100"/>
        <v>Normal</v>
      </c>
      <c r="D100">
        <v>0.40960000000000002</v>
      </c>
      <c r="E100">
        <f t="shared" si="119"/>
        <v>409.6</v>
      </c>
      <c r="F100">
        <v>9.5250000000000005E-3</v>
      </c>
      <c r="G100">
        <f t="shared" si="119"/>
        <v>9.5250000000000004</v>
      </c>
      <c r="H100" s="3">
        <f t="shared" si="120"/>
        <v>43.00262467191601</v>
      </c>
      <c r="I100" s="1">
        <v>30</v>
      </c>
      <c r="J100" s="4" t="s">
        <v>70</v>
      </c>
      <c r="K100" s="1">
        <f t="shared" si="121"/>
        <v>8</v>
      </c>
      <c r="L100" s="1">
        <f t="shared" si="122"/>
        <v>10</v>
      </c>
      <c r="M100" s="1">
        <f t="shared" si="123"/>
        <v>359000</v>
      </c>
      <c r="N100" s="1">
        <f t="shared" si="124"/>
        <v>455000</v>
      </c>
      <c r="O100" s="1">
        <f t="shared" si="125"/>
        <v>1.9969902892117808</v>
      </c>
      <c r="P100" s="3">
        <f>100*IF(J100='[1]Estimation Model Normal-Slip'!$J$8,'[1]Estimation Model Normal-Slip'!$O$8,IF(J100='[1]Estimation Model Normal-Slip'!$J$9,'[1]Estimation Model Normal-Slip'!$O$9,IF(J100='[1]Estimation Model Normal-Slip'!$J$10,'[1]Estimation Model Normal-Slip'!$O$10,IF(J100='[1]Estimation Model Normal-Slip'!$J$11,'[1]Estimation Model Normal-Slip'!$O$11,IF(J100='[1]Estimation Model Normal-Slip'!$J$12,'[1]Estimation Model Normal-Slip'!$O$12,IF(J100='[1]Estimation Model Normal-Slip'!$J$13,'[1]Estimation Model Normal-Slip'!$O$13,2))))))</f>
        <v>1.9041242414694344</v>
      </c>
      <c r="Q100" s="1">
        <f t="shared" si="126"/>
        <v>0.69164119173371341</v>
      </c>
      <c r="R100" s="1">
        <v>45</v>
      </c>
      <c r="S100" s="1" t="s">
        <v>78</v>
      </c>
      <c r="T100" t="s">
        <v>81</v>
      </c>
      <c r="U100">
        <f t="shared" si="127"/>
        <v>19</v>
      </c>
      <c r="V100" s="1">
        <f t="shared" si="128"/>
        <v>43</v>
      </c>
      <c r="W100">
        <f t="shared" si="129"/>
        <v>0</v>
      </c>
      <c r="X100">
        <f t="shared" si="130"/>
        <v>0</v>
      </c>
      <c r="Y100">
        <v>0.9</v>
      </c>
      <c r="Z100" s="1">
        <v>0.78739999999999999</v>
      </c>
      <c r="AA100" s="1">
        <f t="shared" si="101"/>
        <v>1.9223632812499998</v>
      </c>
      <c r="AB100">
        <f t="shared" si="131"/>
        <v>15.423155931843731</v>
      </c>
      <c r="AE100">
        <f>IF(T100="medium dense",'[1]Coefficient Normal'!$E$18 + ('[1]Coefficient Normal'!$E$19*AA100) + ('[1]Coefficient Normal'!$E$20*(AA100^2)) + ('[1]Coefficient Normal'!$E$21*(AA100^3)) + ('[1]Coefficient Normal'!$E$22*(AA100^4)),IF(T100="dense",'[1]Coefficient Normal'!$F$18 + ('[1]Coefficient Normal'!$F$19*AA100) + ('[1]Coefficient Normal'!$F$20*(AA100^2)) + ('[1]Coefficient Normal'!$F$21*(AA100^3)) + ('[1]Coefficient Normal'!$F$22*(AA100^4)),IF(T100="very dense",'[1]Coefficient Normal'!$G$18 + ('[1]Coefficient Normal'!$G$19*AA100) + ('[1]Coefficient Normal'!$G$20*(AA100^2)) + ('[1]Coefficient Normal'!$G$21*(AA100^3)) + ('[1]Coefficient Normal'!$G$22*(AA100^4)),0)))</f>
        <v>18.720510313797256</v>
      </c>
      <c r="AF100">
        <f t="shared" si="102"/>
        <v>80</v>
      </c>
      <c r="AG100">
        <f t="shared" si="103"/>
        <v>242.22354087960383</v>
      </c>
      <c r="AH100">
        <f t="shared" si="132"/>
        <v>5.4898610224304614</v>
      </c>
      <c r="AI100">
        <f t="shared" si="104"/>
        <v>3.7612611527125335</v>
      </c>
      <c r="AJ100">
        <f t="shared" si="105"/>
        <v>2.7358700120349009</v>
      </c>
      <c r="AK100" s="1">
        <v>3</v>
      </c>
      <c r="AL100" s="5">
        <f>VLOOKUP(R100,'[1]Coefficient Normal'!$A$3:$H$7,2,TRUE)</f>
        <v>3.7532999999999999</v>
      </c>
      <c r="AM100" s="5">
        <f>VLOOKUP(R100,'[1]Coefficient Normal'!$A$3:$H$7,3,TRUE)</f>
        <v>0.14510000000000001</v>
      </c>
      <c r="AN100" s="5">
        <f>VLOOKUP(R100,'[1]Coefficient Normal'!$A$3:$H$7,4,TRUE)</f>
        <v>1.2497</v>
      </c>
      <c r="AO100" s="5">
        <f>VLOOKUP(R100,'[1]Coefficient Normal'!$A$3:$H$7,5,TRUE)</f>
        <v>-0.46100000000000002</v>
      </c>
      <c r="AP100" s="5">
        <f>VLOOKUP(R100,'[1]Coefficient Normal'!$A$3:$H$7,6,TRUE)</f>
        <v>0.39140000000000003</v>
      </c>
      <c r="AQ100" s="5">
        <f>VLOOKUP(R100,'[1]Coefficient Normal'!$A$3:$H$7,7,TRUE)</f>
        <v>-0.21310000000000001</v>
      </c>
      <c r="AR100" s="5">
        <f>VLOOKUP(R100,'[1]Coefficient Normal'!$A$3:$H$7,8,TRUE)</f>
        <v>-0.34139999999999998</v>
      </c>
      <c r="AS100" s="5"/>
      <c r="AT100" s="5"/>
      <c r="AU100" s="5"/>
      <c r="AV100" s="5"/>
      <c r="AW100" s="5"/>
      <c r="AY100" s="5">
        <f t="shared" si="106"/>
        <v>-0.43578467917484187</v>
      </c>
      <c r="BC100" s="5">
        <f>VLOOKUP(R100,'[1]Coefficient Normal'!$A$10:$P$14,2,TRUE)</f>
        <v>-1.1082000000000001</v>
      </c>
      <c r="BD100" s="5">
        <f>VLOOKUP(R100,'[1]Coefficient Normal'!$A$10:$P$14,3,TRUE)</f>
        <v>0.10630000000000001</v>
      </c>
      <c r="BE100" s="5">
        <f>VLOOKUP(R100,'[1]Coefficient Normal'!$A$10:$P$14,4,TRUE)</f>
        <v>-0.1439</v>
      </c>
      <c r="BF100" s="5">
        <f>VLOOKUP(R100,'[1]Coefficient Normal'!$A$10:$P$14,5,TRUE)</f>
        <v>0.27879999999999999</v>
      </c>
      <c r="BG100" s="5">
        <f>VLOOKUP(R100,'[1]Coefficient Normal'!$A$10:$P$14,6,TRUE)</f>
        <v>-0.31030000000000002</v>
      </c>
      <c r="BH100" s="5">
        <f>VLOOKUP(R100,'[1]Coefficient Normal'!$A$10:$P$14,7,TRUE)</f>
        <v>1.2553000000000001</v>
      </c>
      <c r="BI100" s="5">
        <f>VLOOKUP(R100,'[1]Coefficient Normal'!$A$10:$P$14,8,TRUE)</f>
        <v>2.9999999999999997E-4</v>
      </c>
      <c r="BJ100" s="5">
        <f>VLOOKUP(R100,'[1]Coefficient Normal'!$A$10:$P$14,9,TRUE)</f>
        <v>5.1999999999999998E-3</v>
      </c>
      <c r="BK100" s="5">
        <f>VLOOKUP(R100,'[1]Coefficient Normal'!$A$10:$P$14,10,TRUE)</f>
        <v>-8.5900000000000004E-2</v>
      </c>
      <c r="BL100" s="5">
        <f>VLOOKUP(R100,'[1]Coefficient Normal'!$A$10:$P$14,11,TRUE)</f>
        <v>5.9999999999999995E-4</v>
      </c>
      <c r="BM100" s="5">
        <f>VLOOKUP(R100,'[1]Coefficient Normal'!$A$10:$P$14,12,TRUE)</f>
        <v>-0.21759999999999999</v>
      </c>
      <c r="BN100" s="5">
        <f>VLOOKUP(R100,'[1]Coefficient Normal'!$A$10:$P$14,13,TRUE)</f>
        <v>-2.69E-2</v>
      </c>
      <c r="BO100" s="5">
        <f>VLOOKUP(R100,'[1]Coefficient Normal'!$A$10:$P$14,14,TRUE)</f>
        <v>0.57389999999999997</v>
      </c>
      <c r="BP100" s="5">
        <f>VLOOKUP(R100,'[1]Coefficient Normal'!$A$10:$P$14,15,TRUE)</f>
        <v>0.34460000000000002</v>
      </c>
      <c r="BQ100" s="5"/>
      <c r="BR100" s="5"/>
      <c r="BS100" s="5"/>
      <c r="BT100" s="5"/>
      <c r="BU100" s="5"/>
      <c r="BV100" s="5"/>
      <c r="BW100" s="5"/>
      <c r="BX100" s="5"/>
      <c r="BY100" s="5"/>
      <c r="CB100" s="6">
        <f t="shared" si="107"/>
        <v>1</v>
      </c>
      <c r="CC100" s="6">
        <f t="shared" si="108"/>
        <v>0</v>
      </c>
      <c r="CD100" s="6">
        <f t="shared" si="109"/>
        <v>1</v>
      </c>
      <c r="CE100" s="5">
        <f t="shared" si="110"/>
        <v>1.9037395546714377</v>
      </c>
      <c r="CG100">
        <f t="shared" si="111"/>
        <v>1.0986122886681098</v>
      </c>
      <c r="CN100" s="5">
        <f t="shared" si="112"/>
        <v>1.5343969678429517</v>
      </c>
      <c r="CO100" s="5">
        <f t="shared" si="113"/>
        <v>2.9210922002505453</v>
      </c>
      <c r="CP100" s="5">
        <f t="shared" si="114"/>
        <v>0.39982206053334235</v>
      </c>
      <c r="CQ100" s="5">
        <f t="shared" si="115"/>
        <v>-0.39369169473182225</v>
      </c>
      <c r="CR100" s="5">
        <f t="shared" si="116"/>
        <v>1.5305732530536127</v>
      </c>
      <c r="CS100" s="5">
        <f t="shared" si="117"/>
        <v>0.27696577589119714</v>
      </c>
      <c r="CT100" s="5">
        <f t="shared" si="118"/>
        <v>3.626561594996875</v>
      </c>
      <c r="CU100" s="7">
        <f t="shared" si="133"/>
        <v>37.583367356871307</v>
      </c>
      <c r="CV100">
        <f>VLOOKUP(R100,'[1]Coefficient Normal'!$A$10:$P$14,16,TRUE)</f>
        <v>0.3997</v>
      </c>
      <c r="CW100">
        <v>0.3</v>
      </c>
    </row>
    <row r="101" spans="1:101" x14ac:dyDescent="0.25">
      <c r="A101">
        <v>74</v>
      </c>
      <c r="B101">
        <v>0</v>
      </c>
      <c r="C101" t="str">
        <f t="shared" si="100"/>
        <v>Normal</v>
      </c>
      <c r="D101">
        <v>0.89600000000000002</v>
      </c>
      <c r="E101">
        <f t="shared" si="119"/>
        <v>896</v>
      </c>
      <c r="F101">
        <v>9.5250000000000005E-3</v>
      </c>
      <c r="G101">
        <f t="shared" si="119"/>
        <v>9.5250000000000004</v>
      </c>
      <c r="H101" s="3">
        <f t="shared" si="120"/>
        <v>94.068241469816272</v>
      </c>
      <c r="I101" s="1">
        <v>50</v>
      </c>
      <c r="J101" s="4" t="s">
        <v>73</v>
      </c>
      <c r="K101" s="1">
        <f t="shared" si="121"/>
        <v>8</v>
      </c>
      <c r="L101" s="1">
        <f t="shared" si="122"/>
        <v>12</v>
      </c>
      <c r="M101" s="1">
        <f t="shared" si="123"/>
        <v>414000</v>
      </c>
      <c r="N101" s="1">
        <f t="shared" si="124"/>
        <v>517000</v>
      </c>
      <c r="O101" s="1">
        <f t="shared" si="125"/>
        <v>2.5466769467238102</v>
      </c>
      <c r="P101" s="3">
        <f>100*IF(J101='[1]Estimation Model Normal-Slip'!$J$8,'[1]Estimation Model Normal-Slip'!$O$8,IF(J101='[1]Estimation Model Normal-Slip'!$J$9,'[1]Estimation Model Normal-Slip'!$O$9,IF(J101='[1]Estimation Model Normal-Slip'!$J$10,'[1]Estimation Model Normal-Slip'!$O$10,IF(J101='[1]Estimation Model Normal-Slip'!$J$11,'[1]Estimation Model Normal-Slip'!$O$11,IF(J101='[1]Estimation Model Normal-Slip'!$J$12,'[1]Estimation Model Normal-Slip'!$O$12,IF(J101='[1]Estimation Model Normal-Slip'!$J$13,'[1]Estimation Model Normal-Slip'!$O$13,2))))))</f>
        <v>2.4313344008036557</v>
      </c>
      <c r="Q101" s="1">
        <f t="shared" si="126"/>
        <v>0.93478935117382533</v>
      </c>
      <c r="R101" s="1">
        <v>60</v>
      </c>
      <c r="S101" s="1" t="s">
        <v>78</v>
      </c>
      <c r="T101" t="s">
        <v>79</v>
      </c>
      <c r="U101">
        <f t="shared" si="127"/>
        <v>18</v>
      </c>
      <c r="V101" s="1">
        <f t="shared" si="128"/>
        <v>37</v>
      </c>
      <c r="W101">
        <f t="shared" si="129"/>
        <v>0</v>
      </c>
      <c r="X101">
        <f t="shared" si="130"/>
        <v>0</v>
      </c>
      <c r="Y101">
        <v>0.9</v>
      </c>
      <c r="Z101" s="1">
        <v>1</v>
      </c>
      <c r="AA101" s="1">
        <f t="shared" si="101"/>
        <v>1.8</v>
      </c>
      <c r="AB101">
        <f t="shared" si="131"/>
        <v>33.282396503295658</v>
      </c>
      <c r="AE101">
        <f>IF(T101="medium dense",'[1]Coefficient Normal'!$E$18 + ('[1]Coefficient Normal'!$E$19*AA101) + ('[1]Coefficient Normal'!$E$20*(AA101^2)) + ('[1]Coefficient Normal'!$E$21*(AA101^3)) + ('[1]Coefficient Normal'!$E$22*(AA101^4)),IF(T101="dense",'[1]Coefficient Normal'!$F$18 + ('[1]Coefficient Normal'!$F$19*AA101) + ('[1]Coefficient Normal'!$F$20*(AA101^2)) + ('[1]Coefficient Normal'!$F$21*(AA101^3)) + ('[1]Coefficient Normal'!$F$22*(AA101^4)),IF(T101="very dense",'[1]Coefficient Normal'!$G$18 + ('[1]Coefficient Normal'!$G$19*AA101) + ('[1]Coefficient Normal'!$G$20*(AA101^2)) + ('[1]Coefficient Normal'!$G$21*(AA101^3)) + ('[1]Coefficient Normal'!$G$22*(AA101^4)),0)))</f>
        <v>12.698394373823998</v>
      </c>
      <c r="AF101">
        <f t="shared" si="102"/>
        <v>64.071522599936642</v>
      </c>
      <c r="AG101">
        <f t="shared" si="103"/>
        <v>667.7384958493501</v>
      </c>
      <c r="AH101">
        <f t="shared" si="132"/>
        <v>6.5038966236115616</v>
      </c>
      <c r="AI101">
        <f t="shared" si="104"/>
        <v>4.5440204919621658</v>
      </c>
      <c r="AJ101">
        <f t="shared" si="105"/>
        <v>3.5050286236757637</v>
      </c>
      <c r="AK101" s="1">
        <v>0.2</v>
      </c>
      <c r="AL101" s="5">
        <f>VLOOKUP(R101,'[1]Coefficient Normal'!$A$3:$H$7,2,TRUE)</f>
        <v>4.3182999999999998</v>
      </c>
      <c r="AM101" s="5">
        <f>VLOOKUP(R101,'[1]Coefficient Normal'!$A$3:$H$7,3,TRUE)</f>
        <v>-2.7900000000000001E-2</v>
      </c>
      <c r="AN101" s="5">
        <f>VLOOKUP(R101,'[1]Coefficient Normal'!$A$3:$H$7,4,TRUE)</f>
        <v>1.0497000000000001</v>
      </c>
      <c r="AO101" s="5">
        <f>VLOOKUP(R101,'[1]Coefficient Normal'!$A$3:$H$7,5,TRUE)</f>
        <v>-0.46910000000000002</v>
      </c>
      <c r="AP101" s="5">
        <f>VLOOKUP(R101,'[1]Coefficient Normal'!$A$3:$H$7,6,TRUE)</f>
        <v>0.29149999999999998</v>
      </c>
      <c r="AQ101" s="5">
        <f>VLOOKUP(R101,'[1]Coefficient Normal'!$A$3:$H$7,7,TRUE)</f>
        <v>-0.28610000000000002</v>
      </c>
      <c r="AR101" s="5">
        <f>VLOOKUP(R101,'[1]Coefficient Normal'!$A$3:$H$7,8,TRUE)</f>
        <v>-0.1348</v>
      </c>
      <c r="AS101" s="5"/>
      <c r="AT101" s="5"/>
      <c r="AU101" s="5"/>
      <c r="AV101" s="5"/>
      <c r="AW101" s="5"/>
      <c r="AY101" s="5">
        <f t="shared" si="106"/>
        <v>-9.8469706098252174E-2</v>
      </c>
      <c r="BC101" s="5">
        <f>VLOOKUP(R101,'[1]Coefficient Normal'!$A$10:$P$14,2,TRUE)</f>
        <v>-2.1276999999999999</v>
      </c>
      <c r="BD101" s="5">
        <f>VLOOKUP(R101,'[1]Coefficient Normal'!$A$10:$P$14,3,TRUE)</f>
        <v>0.14760000000000001</v>
      </c>
      <c r="BE101" s="5">
        <f>VLOOKUP(R101,'[1]Coefficient Normal'!$A$10:$P$14,4,TRUE)</f>
        <v>-0.21829999999999999</v>
      </c>
      <c r="BF101" s="5">
        <f>VLOOKUP(R101,'[1]Coefficient Normal'!$A$10:$P$14,5,TRUE)</f>
        <v>0.42270000000000002</v>
      </c>
      <c r="BG101" s="5">
        <f>VLOOKUP(R101,'[1]Coefficient Normal'!$A$10:$P$14,6,TRUE)</f>
        <v>-0.53720000000000001</v>
      </c>
      <c r="BH101" s="5">
        <f>VLOOKUP(R101,'[1]Coefficient Normal'!$A$10:$P$14,7,TRUE)</f>
        <v>1.252</v>
      </c>
      <c r="BI101" s="5">
        <f>VLOOKUP(R101,'[1]Coefficient Normal'!$A$10:$P$14,8,TRUE)</f>
        <v>-5.9999999999999995E-4</v>
      </c>
      <c r="BJ101" s="5">
        <f>VLOOKUP(R101,'[1]Coefficient Normal'!$A$10:$P$14,9,TRUE)</f>
        <v>5.3E-3</v>
      </c>
      <c r="BK101" s="5">
        <f>VLOOKUP(R101,'[1]Coefficient Normal'!$A$10:$P$14,10,TRUE)</f>
        <v>-4.8500000000000001E-2</v>
      </c>
      <c r="BL101" s="5">
        <f>VLOOKUP(R101,'[1]Coefficient Normal'!$A$10:$P$14,11,TRUE)</f>
        <v>1.2999999999999999E-3</v>
      </c>
      <c r="BM101" s="5">
        <f>VLOOKUP(R101,'[1]Coefficient Normal'!$A$10:$P$14,12,TRUE)</f>
        <v>-0.56599999999999995</v>
      </c>
      <c r="BN101" s="5">
        <f>VLOOKUP(R101,'[1]Coefficient Normal'!$A$10:$P$14,13,TRUE)</f>
        <v>-3.2099999999999997E-2</v>
      </c>
      <c r="BO101" s="5">
        <f>VLOOKUP(R101,'[1]Coefficient Normal'!$A$10:$P$14,14,TRUE)</f>
        <v>0.84970000000000001</v>
      </c>
      <c r="BP101" s="5">
        <f>VLOOKUP(R101,'[1]Coefficient Normal'!$A$10:$P$14,15,TRUE)</f>
        <v>9.01E-2</v>
      </c>
      <c r="BQ101" s="5"/>
      <c r="BR101" s="5"/>
      <c r="BS101" s="5"/>
      <c r="BT101" s="5"/>
      <c r="BU101" s="5"/>
      <c r="BV101" s="5"/>
      <c r="BW101" s="5"/>
      <c r="BX101" s="5"/>
      <c r="BY101" s="5"/>
      <c r="CB101" s="6">
        <f t="shared" si="107"/>
        <v>1</v>
      </c>
      <c r="CC101" s="6">
        <f t="shared" si="108"/>
        <v>1</v>
      </c>
      <c r="CD101" s="6">
        <f t="shared" si="109"/>
        <v>1</v>
      </c>
      <c r="CE101" s="5">
        <f t="shared" si="110"/>
        <v>1.0893192760087838</v>
      </c>
      <c r="CG101">
        <f t="shared" si="111"/>
        <v>-1.6094379124341003</v>
      </c>
      <c r="CN101" s="5">
        <f t="shared" si="112"/>
        <v>-1.5109682063358481</v>
      </c>
      <c r="CO101" s="5">
        <f t="shared" si="113"/>
        <v>-1.6459267925980565</v>
      </c>
      <c r="CP101" s="5">
        <f t="shared" si="114"/>
        <v>0.6706974246136157</v>
      </c>
      <c r="CQ101" s="5">
        <f t="shared" si="115"/>
        <v>-0.76514774854841916</v>
      </c>
      <c r="CR101" s="5">
        <f t="shared" si="116"/>
        <v>2.7491971028006073</v>
      </c>
      <c r="CS101" s="5">
        <f t="shared" si="117"/>
        <v>5.8992546019071369E-2</v>
      </c>
      <c r="CT101" s="5">
        <f t="shared" si="118"/>
        <v>-1.0598874677131811</v>
      </c>
      <c r="CU101" s="7">
        <f t="shared" si="133"/>
        <v>0.34649479998843213</v>
      </c>
      <c r="CV101">
        <f>VLOOKUP(R101,'[1]Coefficient Normal'!$A$10:$P$14,16,TRUE)</f>
        <v>0.50170000000000003</v>
      </c>
      <c r="CW101">
        <v>0.3</v>
      </c>
    </row>
    <row r="102" spans="1:101" x14ac:dyDescent="0.25">
      <c r="A102">
        <v>75</v>
      </c>
      <c r="B102">
        <v>3</v>
      </c>
      <c r="C102" t="str">
        <f t="shared" si="100"/>
        <v>Normal</v>
      </c>
      <c r="D102">
        <v>0.5</v>
      </c>
      <c r="E102">
        <f t="shared" si="119"/>
        <v>500</v>
      </c>
      <c r="F102">
        <v>9.5250000000000005E-3</v>
      </c>
      <c r="G102">
        <f t="shared" si="119"/>
        <v>9.5250000000000004</v>
      </c>
      <c r="H102" s="3">
        <f t="shared" si="120"/>
        <v>52.493438320209975</v>
      </c>
      <c r="I102" s="1">
        <v>100</v>
      </c>
      <c r="J102" s="4" t="s">
        <v>75</v>
      </c>
      <c r="K102" s="1">
        <f t="shared" si="121"/>
        <v>14</v>
      </c>
      <c r="L102" s="1">
        <f t="shared" si="122"/>
        <v>15</v>
      </c>
      <c r="M102" s="1">
        <f t="shared" si="123"/>
        <v>483000</v>
      </c>
      <c r="N102" s="1">
        <f t="shared" si="124"/>
        <v>565000</v>
      </c>
      <c r="O102" s="1">
        <f t="shared" si="125"/>
        <v>2.8799444073326219</v>
      </c>
      <c r="P102" s="3">
        <f>100*IF(J102='[1]Estimation Model Normal-Slip'!$J$8,'[1]Estimation Model Normal-Slip'!$O$8,IF(J102='[1]Estimation Model Normal-Slip'!$J$9,'[1]Estimation Model Normal-Slip'!$O$9,IF(J102='[1]Estimation Model Normal-Slip'!$J$10,'[1]Estimation Model Normal-Slip'!$O$10,IF(J102='[1]Estimation Model Normal-Slip'!$J$11,'[1]Estimation Model Normal-Slip'!$O$11,IF(J102='[1]Estimation Model Normal-Slip'!$J$12,'[1]Estimation Model Normal-Slip'!$O$12,IF(J102='[1]Estimation Model Normal-Slip'!$J$13,'[1]Estimation Model Normal-Slip'!$O$13,2))))))</f>
        <v>2.7690517990613435</v>
      </c>
      <c r="Q102" s="1">
        <f t="shared" si="126"/>
        <v>1.0577709909520427</v>
      </c>
      <c r="R102" s="1">
        <v>75</v>
      </c>
      <c r="S102" s="1" t="s">
        <v>78</v>
      </c>
      <c r="T102" t="s">
        <v>80</v>
      </c>
      <c r="U102">
        <f t="shared" si="127"/>
        <v>18.5</v>
      </c>
      <c r="V102" s="1">
        <f t="shared" si="128"/>
        <v>40</v>
      </c>
      <c r="W102">
        <f t="shared" si="129"/>
        <v>0</v>
      </c>
      <c r="X102">
        <f t="shared" si="130"/>
        <v>0</v>
      </c>
      <c r="Y102">
        <v>0.9</v>
      </c>
      <c r="Z102" s="1">
        <v>1.2</v>
      </c>
      <c r="AA102" s="1">
        <f t="shared" si="101"/>
        <v>2.4</v>
      </c>
      <c r="AB102">
        <f t="shared" si="131"/>
        <v>25.335757420374399</v>
      </c>
      <c r="AE102">
        <f>IF(T102="medium dense",'[1]Coefficient Normal'!$E$18 + ('[1]Coefficient Normal'!$E$19*AA102) + ('[1]Coefficient Normal'!$E$20*(AA102^2)) + ('[1]Coefficient Normal'!$E$21*(AA102^3)) + ('[1]Coefficient Normal'!$E$22*(AA102^4)),IF(T102="dense",'[1]Coefficient Normal'!$F$18 + ('[1]Coefficient Normal'!$F$19*AA102) + ('[1]Coefficient Normal'!$F$20*(AA102^2)) + ('[1]Coefficient Normal'!$F$21*(AA102^3)) + ('[1]Coefficient Normal'!$F$22*(AA102^4)),IF(T102="very dense",'[1]Coefficient Normal'!$G$18 + ('[1]Coefficient Normal'!$G$19*AA102) + ('[1]Coefficient Normal'!$G$20*(AA102^2)) + ('[1]Coefficient Normal'!$G$21*(AA102^3)) + ('[1]Coefficient Normal'!$G$22*(AA102^4)),0)))</f>
        <v>15.970859354576</v>
      </c>
      <c r="AF102">
        <f t="shared" si="102"/>
        <v>80</v>
      </c>
      <c r="AG102">
        <f t="shared" si="103"/>
        <v>362.27653883579364</v>
      </c>
      <c r="AH102">
        <f t="shared" si="132"/>
        <v>5.8924078396237283</v>
      </c>
      <c r="AI102">
        <f t="shared" si="104"/>
        <v>3.9606881774094269</v>
      </c>
      <c r="AJ102">
        <f t="shared" si="105"/>
        <v>3.2322167346868085</v>
      </c>
      <c r="AK102" s="1">
        <v>0.2</v>
      </c>
      <c r="AL102" s="5">
        <f>VLOOKUP(R102,'[1]Coefficient Normal'!$A$3:$H$7,2,TRUE)</f>
        <v>5.5951000000000004</v>
      </c>
      <c r="AM102" s="5">
        <f>VLOOKUP(R102,'[1]Coefficient Normal'!$A$3:$H$7,3,TRUE)</f>
        <v>1.6E-2</v>
      </c>
      <c r="AN102" s="5">
        <f>VLOOKUP(R102,'[1]Coefficient Normal'!$A$3:$H$7,4,TRUE)</f>
        <v>1.2641</v>
      </c>
      <c r="AO102" s="5">
        <f>VLOOKUP(R102,'[1]Coefficient Normal'!$A$3:$H$7,5,TRUE)</f>
        <v>-0.52429999999999999</v>
      </c>
      <c r="AP102" s="5">
        <f>VLOOKUP(R102,'[1]Coefficient Normal'!$A$3:$H$7,6,TRUE)</f>
        <v>0.35830000000000001</v>
      </c>
      <c r="AQ102" s="5">
        <f>VLOOKUP(R102,'[1]Coefficient Normal'!$A$3:$H$7,7,TRUE)</f>
        <v>-0.35920000000000002</v>
      </c>
      <c r="AR102" s="5">
        <f>VLOOKUP(R102,'[1]Coefficient Normal'!$A$3:$H$7,8,TRUE)</f>
        <v>-0.2482</v>
      </c>
      <c r="AS102" s="5"/>
      <c r="AT102" s="5"/>
      <c r="AU102" s="5"/>
      <c r="AV102" s="5"/>
      <c r="AW102" s="5"/>
      <c r="AY102" s="5">
        <f t="shared" si="106"/>
        <v>0.17619681713022817</v>
      </c>
      <c r="BC102" s="5">
        <f>VLOOKUP(R102,'[1]Coefficient Normal'!$A$10:$P$14,2,TRUE)</f>
        <v>-2.3450000000000002</v>
      </c>
      <c r="BD102" s="5">
        <f>VLOOKUP(R102,'[1]Coefficient Normal'!$A$10:$P$14,3,TRUE)</f>
        <v>0.19470000000000001</v>
      </c>
      <c r="BE102" s="5">
        <f>VLOOKUP(R102,'[1]Coefficient Normal'!$A$10:$P$14,4,TRUE)</f>
        <v>-0.2044</v>
      </c>
      <c r="BF102" s="5">
        <f>VLOOKUP(R102,'[1]Coefficient Normal'!$A$10:$P$14,5,TRUE)</f>
        <v>0.4143</v>
      </c>
      <c r="BG102" s="5">
        <f>VLOOKUP(R102,'[1]Coefficient Normal'!$A$10:$P$14,6,TRUE)</f>
        <v>-0.55710000000000004</v>
      </c>
      <c r="BH102" s="5">
        <f>VLOOKUP(R102,'[1]Coefficient Normal'!$A$10:$P$14,7,TRUE)</f>
        <v>1.0931</v>
      </c>
      <c r="BI102" s="5">
        <f>VLOOKUP(R102,'[1]Coefficient Normal'!$A$10:$P$14,8,TRUE)</f>
        <v>1E-4</v>
      </c>
      <c r="BJ102" s="5">
        <f>VLOOKUP(R102,'[1]Coefficient Normal'!$A$10:$P$14,9,TRUE)</f>
        <v>3.5000000000000001E-3</v>
      </c>
      <c r="BK102" s="5">
        <f>VLOOKUP(R102,'[1]Coefficient Normal'!$A$10:$P$14,10,TRUE)</f>
        <v>-4.07E-2</v>
      </c>
      <c r="BL102" s="5">
        <f>VLOOKUP(R102,'[1]Coefficient Normal'!$A$10:$P$14,11,TRUE)</f>
        <v>1.6000000000000001E-3</v>
      </c>
      <c r="BM102" s="5">
        <f>VLOOKUP(R102,'[1]Coefficient Normal'!$A$10:$P$14,12,TRUE)</f>
        <v>-0.65949999999999998</v>
      </c>
      <c r="BN102" s="5">
        <f>VLOOKUP(R102,'[1]Coefficient Normal'!$A$10:$P$14,13,TRUE)</f>
        <v>-3.0099999999999998E-2</v>
      </c>
      <c r="BO102" s="5">
        <f>VLOOKUP(R102,'[1]Coefficient Normal'!$A$10:$P$14,14,TRUE)</f>
        <v>0.84219999999999995</v>
      </c>
      <c r="BP102" s="5">
        <f>VLOOKUP(R102,'[1]Coefficient Normal'!$A$10:$P$14,15,TRUE)</f>
        <v>0.50680000000000003</v>
      </c>
      <c r="BQ102" s="5"/>
      <c r="BR102" s="5"/>
      <c r="BS102" s="5"/>
      <c r="BT102" s="5"/>
      <c r="BU102" s="5"/>
      <c r="BV102" s="5"/>
      <c r="BW102" s="5"/>
      <c r="BX102" s="5"/>
      <c r="BY102" s="5"/>
      <c r="CB102" s="6">
        <f t="shared" si="107"/>
        <v>1</v>
      </c>
      <c r="CC102" s="6">
        <f t="shared" si="108"/>
        <v>1</v>
      </c>
      <c r="CD102" s="6">
        <f t="shared" si="109"/>
        <v>0</v>
      </c>
      <c r="CE102" s="5">
        <f t="shared" si="110"/>
        <v>1.1389230770543735</v>
      </c>
      <c r="CG102">
        <f t="shared" si="111"/>
        <v>-1.6094379124341003</v>
      </c>
      <c r="CN102" s="5">
        <f t="shared" si="112"/>
        <v>-1.7856347295643284</v>
      </c>
      <c r="CO102" s="5">
        <f t="shared" si="113"/>
        <v>-2.0337006006905591</v>
      </c>
      <c r="CP102" s="5">
        <f t="shared" si="114"/>
        <v>0.7711459881416155</v>
      </c>
      <c r="CQ102" s="5">
        <f t="shared" si="115"/>
        <v>-0.66066510056998362</v>
      </c>
      <c r="CR102" s="5">
        <f t="shared" si="116"/>
        <v>2.4412245679561106</v>
      </c>
      <c r="CS102" s="5">
        <f t="shared" si="117"/>
        <v>0.38615229428994552</v>
      </c>
      <c r="CT102" s="5">
        <f t="shared" si="118"/>
        <v>-1.4408428508728706</v>
      </c>
      <c r="CU102" s="7">
        <f t="shared" si="133"/>
        <v>0.23672814804672532</v>
      </c>
      <c r="CV102">
        <f>VLOOKUP(R102,'[1]Coefficient Normal'!$A$10:$P$14,16,TRUE)</f>
        <v>0.43780000000000002</v>
      </c>
      <c r="CW102">
        <v>0.3</v>
      </c>
    </row>
    <row r="103" spans="1:101" x14ac:dyDescent="0.25">
      <c r="A103">
        <v>76</v>
      </c>
      <c r="B103">
        <v>2</v>
      </c>
      <c r="C103" t="str">
        <f t="shared" si="100"/>
        <v>Normal</v>
      </c>
      <c r="D103">
        <v>1.0668</v>
      </c>
      <c r="E103">
        <f t="shared" si="119"/>
        <v>1066.8</v>
      </c>
      <c r="F103">
        <v>9.5250000000000005E-3</v>
      </c>
      <c r="G103">
        <f t="shared" si="119"/>
        <v>9.5250000000000004</v>
      </c>
      <c r="H103" s="3">
        <f t="shared" si="120"/>
        <v>111.99999999999999</v>
      </c>
      <c r="I103" s="1">
        <v>300</v>
      </c>
      <c r="J103" s="4" t="s">
        <v>70</v>
      </c>
      <c r="K103" s="1">
        <f t="shared" si="121"/>
        <v>8</v>
      </c>
      <c r="L103" s="1">
        <f t="shared" si="122"/>
        <v>10</v>
      </c>
      <c r="M103" s="1">
        <f t="shared" si="123"/>
        <v>359000</v>
      </c>
      <c r="N103" s="1">
        <f t="shared" si="124"/>
        <v>455000</v>
      </c>
      <c r="O103" s="1">
        <f t="shared" si="125"/>
        <v>1.9969902892117808</v>
      </c>
      <c r="P103" s="3">
        <f>100*IF(J103='[1]Estimation Model Normal-Slip'!$J$8,'[1]Estimation Model Normal-Slip'!$O$8,IF(J103='[1]Estimation Model Normal-Slip'!$J$9,'[1]Estimation Model Normal-Slip'!$O$9,IF(J103='[1]Estimation Model Normal-Slip'!$J$10,'[1]Estimation Model Normal-Slip'!$O$10,IF(J103='[1]Estimation Model Normal-Slip'!$J$11,'[1]Estimation Model Normal-Slip'!$O$11,IF(J103='[1]Estimation Model Normal-Slip'!$J$12,'[1]Estimation Model Normal-Slip'!$O$12,IF(J103='[1]Estimation Model Normal-Slip'!$J$13,'[1]Estimation Model Normal-Slip'!$O$13,2))))))</f>
        <v>1.9041242414694344</v>
      </c>
      <c r="Q103" s="1">
        <f t="shared" si="126"/>
        <v>0.69164119173371341</v>
      </c>
      <c r="R103" s="1">
        <v>90</v>
      </c>
      <c r="S103" s="1" t="s">
        <v>78</v>
      </c>
      <c r="T103" t="s">
        <v>81</v>
      </c>
      <c r="U103">
        <f t="shared" si="127"/>
        <v>19</v>
      </c>
      <c r="V103" s="1">
        <f t="shared" si="128"/>
        <v>43</v>
      </c>
      <c r="W103">
        <f t="shared" si="129"/>
        <v>0</v>
      </c>
      <c r="X103">
        <f t="shared" si="130"/>
        <v>0</v>
      </c>
      <c r="Y103">
        <v>0.9</v>
      </c>
      <c r="Z103" s="1">
        <v>2.5</v>
      </c>
      <c r="AA103" s="1">
        <f t="shared" si="101"/>
        <v>2.3434570678665168</v>
      </c>
      <c r="AB103">
        <f t="shared" si="131"/>
        <v>127.53838306794918</v>
      </c>
      <c r="AE103">
        <f>IF(T103="medium dense",'[1]Coefficient Normal'!$E$18 + ('[1]Coefficient Normal'!$E$19*AA103) + ('[1]Coefficient Normal'!$E$20*(AA103^2)) + ('[1]Coefficient Normal'!$E$21*(AA103^3)) + ('[1]Coefficient Normal'!$E$22*(AA103^4)),IF(T103="dense",'[1]Coefficient Normal'!$F$18 + ('[1]Coefficient Normal'!$F$19*AA103) + ('[1]Coefficient Normal'!$F$20*(AA103^2)) + ('[1]Coefficient Normal'!$F$21*(AA103^3)) + ('[1]Coefficient Normal'!$F$22*(AA103^4)),IF(T103="very dense",'[1]Coefficient Normal'!$G$18 + ('[1]Coefficient Normal'!$G$19*AA103) + ('[1]Coefficient Normal'!$G$20*(AA103^2)) + ('[1]Coefficient Normal'!$G$21*(AA103^3)) + ('[1]Coefficient Normal'!$G$22*(AA103^4)),0)))</f>
        <v>18.621858727008274</v>
      </c>
      <c r="AF103">
        <f t="shared" si="102"/>
        <v>80</v>
      </c>
      <c r="AG103">
        <f t="shared" si="103"/>
        <v>1808.5527496736904</v>
      </c>
      <c r="AH103">
        <f t="shared" si="132"/>
        <v>7.5002822186049887</v>
      </c>
      <c r="AI103">
        <f t="shared" si="104"/>
        <v>4.7184988712950942</v>
      </c>
      <c r="AJ103">
        <f t="shared" si="105"/>
        <v>4.848417362964117</v>
      </c>
      <c r="AK103" s="1">
        <v>0.25</v>
      </c>
      <c r="AL103" s="5">
        <f>VLOOKUP(R103,'[1]Coefficient Normal'!$A$3:$H$7,2,TRUE)</f>
        <v>14.575100000000001</v>
      </c>
      <c r="AM103" s="5">
        <f>VLOOKUP(R103,'[1]Coefficient Normal'!$A$3:$H$7,3,TRUE)</f>
        <v>0.1356</v>
      </c>
      <c r="AN103" s="5">
        <f>VLOOKUP(R103,'[1]Coefficient Normal'!$A$3:$H$7,4,TRUE)</f>
        <v>2.9990000000000001</v>
      </c>
      <c r="AO103" s="5">
        <f>VLOOKUP(R103,'[1]Coefficient Normal'!$A$3:$H$7,5,TRUE)</f>
        <v>-0.94710000000000005</v>
      </c>
      <c r="AP103" s="5">
        <f>VLOOKUP(R103,'[1]Coefficient Normal'!$A$3:$H$7,6,TRUE)</f>
        <v>0.6603</v>
      </c>
      <c r="AQ103" s="5">
        <f>VLOOKUP(R103,'[1]Coefficient Normal'!$A$3:$H$7,7,TRUE)</f>
        <v>-1.2488999999999999</v>
      </c>
      <c r="AR103" s="5">
        <f>VLOOKUP(R103,'[1]Coefficient Normal'!$A$3:$H$7,8,TRUE)</f>
        <v>-0.44140000000000001</v>
      </c>
      <c r="AS103" s="5"/>
      <c r="AT103" s="5"/>
      <c r="AU103" s="5"/>
      <c r="AV103" s="5"/>
      <c r="AW103" s="5"/>
      <c r="AY103" s="5">
        <f t="shared" si="106"/>
        <v>2.3065291097276841E-2</v>
      </c>
      <c r="BC103" s="5">
        <f>VLOOKUP(R103,'[1]Coefficient Normal'!$A$10:$P$14,2,TRUE)</f>
        <v>5.1353999999999997</v>
      </c>
      <c r="BD103" s="5">
        <f>VLOOKUP(R103,'[1]Coefficient Normal'!$A$10:$P$14,3,TRUE)</f>
        <v>-4.9599999999999998E-2</v>
      </c>
      <c r="BE103" s="5">
        <f>VLOOKUP(R103,'[1]Coefficient Normal'!$A$10:$P$14,4,TRUE)</f>
        <v>0.44590000000000002</v>
      </c>
      <c r="BF103" s="5">
        <f>VLOOKUP(R103,'[1]Coefficient Normal'!$A$10:$P$14,5,TRUE)</f>
        <v>-0.83709999999999996</v>
      </c>
      <c r="BG103" s="5">
        <f>VLOOKUP(R103,'[1]Coefficient Normal'!$A$10:$P$14,6,TRUE)</f>
        <v>0.63090000000000002</v>
      </c>
      <c r="BH103" s="5">
        <f>VLOOKUP(R103,'[1]Coefficient Normal'!$A$10:$P$14,7,TRUE)</f>
        <v>0.91390000000000005</v>
      </c>
      <c r="BI103" s="5">
        <f>VLOOKUP(R103,'[1]Coefficient Normal'!$A$10:$P$14,8,TRUE)</f>
        <v>2.5000000000000001E-3</v>
      </c>
      <c r="BJ103" s="5">
        <f>VLOOKUP(R103,'[1]Coefficient Normal'!$A$10:$P$14,9,TRUE)</f>
        <v>1.6000000000000001E-3</v>
      </c>
      <c r="BK103" s="5">
        <f>VLOOKUP(R103,'[1]Coefficient Normal'!$A$10:$P$14,10,TRUE)</f>
        <v>-9.7500000000000003E-2</v>
      </c>
      <c r="BL103" s="5">
        <f>VLOOKUP(R103,'[1]Coefficient Normal'!$A$10:$P$14,11,TRUE)</f>
        <v>1.1999999999999999E-3</v>
      </c>
      <c r="BM103" s="5">
        <f>VLOOKUP(R103,'[1]Coefficient Normal'!$A$10:$P$14,12,TRUE)</f>
        <v>0.46479999999999999</v>
      </c>
      <c r="BN103" s="5">
        <f>VLOOKUP(R103,'[1]Coefficient Normal'!$A$10:$P$14,13,TRUE)</f>
        <v>8.0000000000000004E-4</v>
      </c>
      <c r="BO103" s="5">
        <f>VLOOKUP(R103,'[1]Coefficient Normal'!$A$10:$P$14,14,TRUE)</f>
        <v>6.7900000000000002E-2</v>
      </c>
      <c r="BP103" s="5">
        <f>VLOOKUP(R103,'[1]Coefficient Normal'!$A$10:$P$14,15,TRUE)</f>
        <v>0.58979999999999999</v>
      </c>
      <c r="BQ103" s="5"/>
      <c r="BR103" s="5"/>
      <c r="BS103" s="5"/>
      <c r="BT103" s="5"/>
      <c r="BU103" s="5"/>
      <c r="BV103" s="5"/>
      <c r="BW103" s="5"/>
      <c r="BX103" s="5"/>
      <c r="BY103" s="5"/>
      <c r="CB103" s="6">
        <f t="shared" si="107"/>
        <v>1</v>
      </c>
      <c r="CC103" s="6">
        <f t="shared" si="108"/>
        <v>1</v>
      </c>
      <c r="CD103" s="6">
        <f t="shared" si="109"/>
        <v>0</v>
      </c>
      <c r="CE103" s="5">
        <f t="shared" si="110"/>
        <v>1.2696459576698729</v>
      </c>
      <c r="CG103">
        <f t="shared" si="111"/>
        <v>-1.3862943611198906</v>
      </c>
      <c r="CN103" s="5">
        <f t="shared" si="112"/>
        <v>-1.4093596522171674</v>
      </c>
      <c r="CO103" s="5">
        <f t="shared" si="113"/>
        <v>-1.7893877853405444</v>
      </c>
      <c r="CP103" s="5">
        <f t="shared" si="114"/>
        <v>-0.23403754401623666</v>
      </c>
      <c r="CQ103" s="5">
        <f t="shared" si="115"/>
        <v>2.1619093021456997</v>
      </c>
      <c r="CR103" s="5">
        <f t="shared" si="116"/>
        <v>-6.2784862451942356</v>
      </c>
      <c r="CS103" s="5">
        <f t="shared" si="117"/>
        <v>4.0796210557198086E-2</v>
      </c>
      <c r="CT103" s="5">
        <f t="shared" si="118"/>
        <v>-0.96380606184811912</v>
      </c>
      <c r="CU103" s="7">
        <f t="shared" si="133"/>
        <v>0.38143834176838154</v>
      </c>
      <c r="CV103">
        <f>VLOOKUP(R103,'[1]Coefficient Normal'!$A$10:$P$14,16,TRUE)</f>
        <v>0.34749999999999998</v>
      </c>
      <c r="CW103">
        <v>0.3</v>
      </c>
    </row>
    <row r="104" spans="1:101" x14ac:dyDescent="0.25">
      <c r="A104">
        <v>77</v>
      </c>
      <c r="B104">
        <v>5</v>
      </c>
      <c r="C104" t="str">
        <f t="shared" si="100"/>
        <v>Normal</v>
      </c>
      <c r="D104">
        <v>0.60960000000000003</v>
      </c>
      <c r="E104">
        <f t="shared" si="119"/>
        <v>609.6</v>
      </c>
      <c r="F104">
        <v>9.5250000000000005E-3</v>
      </c>
      <c r="G104">
        <f t="shared" si="119"/>
        <v>9.5250000000000004</v>
      </c>
      <c r="H104" s="3">
        <f t="shared" si="120"/>
        <v>64</v>
      </c>
      <c r="I104" s="1">
        <v>30</v>
      </c>
      <c r="J104" s="4" t="s">
        <v>75</v>
      </c>
      <c r="K104" s="1">
        <f t="shared" si="121"/>
        <v>14</v>
      </c>
      <c r="L104" s="1">
        <f t="shared" si="122"/>
        <v>15</v>
      </c>
      <c r="M104" s="1">
        <f t="shared" si="123"/>
        <v>483000</v>
      </c>
      <c r="N104" s="1">
        <f t="shared" si="124"/>
        <v>565000</v>
      </c>
      <c r="O104" s="1">
        <f t="shared" si="125"/>
        <v>2.8799444073326219</v>
      </c>
      <c r="P104" s="3">
        <f>100*IF(J104='[1]Estimation Model Normal-Slip'!$J$8,'[1]Estimation Model Normal-Slip'!$O$8,IF(J104='[1]Estimation Model Normal-Slip'!$J$9,'[1]Estimation Model Normal-Slip'!$O$9,IF(J104='[1]Estimation Model Normal-Slip'!$J$10,'[1]Estimation Model Normal-Slip'!$O$10,IF(J104='[1]Estimation Model Normal-Slip'!$J$11,'[1]Estimation Model Normal-Slip'!$O$11,IF(J104='[1]Estimation Model Normal-Slip'!$J$12,'[1]Estimation Model Normal-Slip'!$O$12,IF(J104='[1]Estimation Model Normal-Slip'!$J$13,'[1]Estimation Model Normal-Slip'!$O$13,2))))))</f>
        <v>2.7690517990613435</v>
      </c>
      <c r="Q104" s="1">
        <f t="shared" si="126"/>
        <v>1.0577709909520427</v>
      </c>
      <c r="R104" s="1">
        <v>45</v>
      </c>
      <c r="S104" s="1" t="s">
        <v>78</v>
      </c>
      <c r="T104" t="s">
        <v>79</v>
      </c>
      <c r="U104">
        <f t="shared" si="127"/>
        <v>18</v>
      </c>
      <c r="V104" s="1">
        <f t="shared" si="128"/>
        <v>37</v>
      </c>
      <c r="W104">
        <f t="shared" si="129"/>
        <v>0</v>
      </c>
      <c r="X104">
        <f t="shared" si="130"/>
        <v>0</v>
      </c>
      <c r="Y104">
        <v>0.9</v>
      </c>
      <c r="Z104" s="1">
        <v>1</v>
      </c>
      <c r="AA104" s="1">
        <f t="shared" si="101"/>
        <v>1.8</v>
      </c>
      <c r="AB104">
        <f t="shared" si="131"/>
        <v>22.643916192420797</v>
      </c>
      <c r="AE104">
        <f>IF(T104="medium dense",'[1]Coefficient Normal'!$E$18 + ('[1]Coefficient Normal'!$E$19*AA104) + ('[1]Coefficient Normal'!$E$20*(AA104^2)) + ('[1]Coefficient Normal'!$E$21*(AA104^3)) + ('[1]Coefficient Normal'!$E$22*(AA104^4)),IF(T104="dense",'[1]Coefficient Normal'!$F$18 + ('[1]Coefficient Normal'!$F$19*AA104) + ('[1]Coefficient Normal'!$F$20*(AA104^2)) + ('[1]Coefficient Normal'!$F$21*(AA104^3)) + ('[1]Coefficient Normal'!$F$22*(AA104^4)),IF(T104="very dense",'[1]Coefficient Normal'!$G$18 + ('[1]Coefficient Normal'!$G$19*AA104) + ('[1]Coefficient Normal'!$G$20*(AA104^2)) + ('[1]Coefficient Normal'!$G$21*(AA104^3)) + ('[1]Coefficient Normal'!$G$22*(AA104^4)),0)))</f>
        <v>12.698394373823998</v>
      </c>
      <c r="AF104">
        <f t="shared" si="102"/>
        <v>64.071522599936642</v>
      </c>
      <c r="AG104">
        <f t="shared" si="103"/>
        <v>353.62475395575746</v>
      </c>
      <c r="AH104">
        <f t="shared" si="132"/>
        <v>5.8682363338442034</v>
      </c>
      <c r="AI104">
        <f t="shared" si="104"/>
        <v>4.1588830833596715</v>
      </c>
      <c r="AJ104">
        <f t="shared" si="105"/>
        <v>3.1198912150732698</v>
      </c>
      <c r="AK104" s="1">
        <v>0.28000000000000003</v>
      </c>
      <c r="AL104" s="5">
        <f>VLOOKUP(R104,'[1]Coefficient Normal'!$A$3:$H$7,2,TRUE)</f>
        <v>3.7532999999999999</v>
      </c>
      <c r="AM104" s="5">
        <f>VLOOKUP(R104,'[1]Coefficient Normal'!$A$3:$H$7,3,TRUE)</f>
        <v>0.14510000000000001</v>
      </c>
      <c r="AN104" s="5">
        <f>VLOOKUP(R104,'[1]Coefficient Normal'!$A$3:$H$7,4,TRUE)</f>
        <v>1.2497</v>
      </c>
      <c r="AO104" s="5">
        <f>VLOOKUP(R104,'[1]Coefficient Normal'!$A$3:$H$7,5,TRUE)</f>
        <v>-0.46100000000000002</v>
      </c>
      <c r="AP104" s="5">
        <f>VLOOKUP(R104,'[1]Coefficient Normal'!$A$3:$H$7,6,TRUE)</f>
        <v>0.39140000000000003</v>
      </c>
      <c r="AQ104" s="5">
        <f>VLOOKUP(R104,'[1]Coefficient Normal'!$A$3:$H$7,7,TRUE)</f>
        <v>-0.21310000000000001</v>
      </c>
      <c r="AR104" s="5">
        <f>VLOOKUP(R104,'[1]Coefficient Normal'!$A$3:$H$7,8,TRUE)</f>
        <v>-0.34139999999999998</v>
      </c>
      <c r="AS104" s="5"/>
      <c r="AT104" s="5"/>
      <c r="AU104" s="5"/>
      <c r="AV104" s="5"/>
      <c r="AW104" s="5"/>
      <c r="AY104" s="5">
        <f t="shared" si="106"/>
        <v>-0.19061367663895701</v>
      </c>
      <c r="BC104" s="5">
        <f>VLOOKUP(R104,'[1]Coefficient Normal'!$A$10:$P$14,2,TRUE)</f>
        <v>-1.1082000000000001</v>
      </c>
      <c r="BD104" s="5">
        <f>VLOOKUP(R104,'[1]Coefficient Normal'!$A$10:$P$14,3,TRUE)</f>
        <v>0.10630000000000001</v>
      </c>
      <c r="BE104" s="5">
        <f>VLOOKUP(R104,'[1]Coefficient Normal'!$A$10:$P$14,4,TRUE)</f>
        <v>-0.1439</v>
      </c>
      <c r="BF104" s="5">
        <f>VLOOKUP(R104,'[1]Coefficient Normal'!$A$10:$P$14,5,TRUE)</f>
        <v>0.27879999999999999</v>
      </c>
      <c r="BG104" s="5">
        <f>VLOOKUP(R104,'[1]Coefficient Normal'!$A$10:$P$14,6,TRUE)</f>
        <v>-0.31030000000000002</v>
      </c>
      <c r="BH104" s="5">
        <f>VLOOKUP(R104,'[1]Coefficient Normal'!$A$10:$P$14,7,TRUE)</f>
        <v>1.2553000000000001</v>
      </c>
      <c r="BI104" s="5">
        <f>VLOOKUP(R104,'[1]Coefficient Normal'!$A$10:$P$14,8,TRUE)</f>
        <v>2.9999999999999997E-4</v>
      </c>
      <c r="BJ104" s="5">
        <f>VLOOKUP(R104,'[1]Coefficient Normal'!$A$10:$P$14,9,TRUE)</f>
        <v>5.1999999999999998E-3</v>
      </c>
      <c r="BK104" s="5">
        <f>VLOOKUP(R104,'[1]Coefficient Normal'!$A$10:$P$14,10,TRUE)</f>
        <v>-8.5900000000000004E-2</v>
      </c>
      <c r="BL104" s="5">
        <f>VLOOKUP(R104,'[1]Coefficient Normal'!$A$10:$P$14,11,TRUE)</f>
        <v>5.9999999999999995E-4</v>
      </c>
      <c r="BM104" s="5">
        <f>VLOOKUP(R104,'[1]Coefficient Normal'!$A$10:$P$14,12,TRUE)</f>
        <v>-0.21759999999999999</v>
      </c>
      <c r="BN104" s="5">
        <f>VLOOKUP(R104,'[1]Coefficient Normal'!$A$10:$P$14,13,TRUE)</f>
        <v>-2.69E-2</v>
      </c>
      <c r="BO104" s="5">
        <f>VLOOKUP(R104,'[1]Coefficient Normal'!$A$10:$P$14,14,TRUE)</f>
        <v>0.57389999999999997</v>
      </c>
      <c r="BP104" s="5">
        <f>VLOOKUP(R104,'[1]Coefficient Normal'!$A$10:$P$14,15,TRUE)</f>
        <v>0.34460000000000002</v>
      </c>
      <c r="BQ104" s="5"/>
      <c r="BR104" s="5"/>
      <c r="BS104" s="5"/>
      <c r="BT104" s="5"/>
      <c r="BU104" s="5"/>
      <c r="BV104" s="5"/>
      <c r="BW104" s="5"/>
      <c r="BX104" s="5"/>
      <c r="BY104" s="5"/>
      <c r="CB104" s="6">
        <f t="shared" si="107"/>
        <v>1</v>
      </c>
      <c r="CC104" s="6">
        <f t="shared" si="108"/>
        <v>1</v>
      </c>
      <c r="CD104" s="6">
        <f t="shared" si="109"/>
        <v>1</v>
      </c>
      <c r="CE104" s="5">
        <f t="shared" si="110"/>
        <v>0.93649317485772643</v>
      </c>
      <c r="CG104">
        <f t="shared" si="111"/>
        <v>-1.2729656758128873</v>
      </c>
      <c r="CN104" s="5">
        <f t="shared" si="112"/>
        <v>-1.0823519991739303</v>
      </c>
      <c r="CO104" s="5">
        <f t="shared" si="113"/>
        <v>-1.0136152600200012</v>
      </c>
      <c r="CP104" s="5">
        <f t="shared" si="114"/>
        <v>0.44208927176113311</v>
      </c>
      <c r="CQ104" s="5">
        <f t="shared" si="115"/>
        <v>-0.44895234584904353</v>
      </c>
      <c r="CR104" s="5">
        <f t="shared" si="116"/>
        <v>1.6360642898757638</v>
      </c>
      <c r="CS104" s="5">
        <f t="shared" si="117"/>
        <v>0.15358369081139006</v>
      </c>
      <c r="CT104" s="5">
        <f t="shared" si="118"/>
        <v>-0.33903035342075799</v>
      </c>
      <c r="CU104" s="7">
        <f t="shared" si="133"/>
        <v>0.71246082313784431</v>
      </c>
      <c r="CV104">
        <f>VLOOKUP(R104,'[1]Coefficient Normal'!$A$10:$P$14,16,TRUE)</f>
        <v>0.3997</v>
      </c>
      <c r="CW104">
        <v>0.3</v>
      </c>
    </row>
    <row r="105" spans="1:101" x14ac:dyDescent="0.25">
      <c r="A105">
        <v>78</v>
      </c>
      <c r="B105">
        <v>2</v>
      </c>
      <c r="C105" t="str">
        <f t="shared" si="100"/>
        <v>Normal</v>
      </c>
      <c r="D105">
        <v>0.40960000000000002</v>
      </c>
      <c r="E105">
        <f t="shared" si="119"/>
        <v>409.6</v>
      </c>
      <c r="F105">
        <v>9.5250000000000005E-3</v>
      </c>
      <c r="G105">
        <f t="shared" si="119"/>
        <v>9.5250000000000004</v>
      </c>
      <c r="H105" s="3">
        <f t="shared" si="120"/>
        <v>43.00262467191601</v>
      </c>
      <c r="I105" s="1">
        <v>50</v>
      </c>
      <c r="J105" s="4" t="s">
        <v>77</v>
      </c>
      <c r="K105" s="1">
        <f t="shared" si="121"/>
        <v>15</v>
      </c>
      <c r="L105" s="1">
        <f t="shared" si="122"/>
        <v>20</v>
      </c>
      <c r="M105" s="1">
        <f t="shared" si="123"/>
        <v>552000</v>
      </c>
      <c r="N105" s="1">
        <f t="shared" si="124"/>
        <v>625000</v>
      </c>
      <c r="O105" s="1">
        <f t="shared" si="125"/>
        <v>2.9888368774026359</v>
      </c>
      <c r="P105" s="3">
        <f>100*IF(J105='[1]Estimation Model Normal-Slip'!$J$8,'[1]Estimation Model Normal-Slip'!$O$8,IF(J105='[1]Estimation Model Normal-Slip'!$J$9,'[1]Estimation Model Normal-Slip'!$O$9,IF(J105='[1]Estimation Model Normal-Slip'!$J$10,'[1]Estimation Model Normal-Slip'!$O$10,IF(J105='[1]Estimation Model Normal-Slip'!$J$11,'[1]Estimation Model Normal-Slip'!$O$11,IF(J105='[1]Estimation Model Normal-Slip'!$J$12,'[1]Estimation Model Normal-Slip'!$O$12,IF(J105='[1]Estimation Model Normal-Slip'!$J$13,'[1]Estimation Model Normal-Slip'!$O$13,2))))))</f>
        <v>2.8464933991254466</v>
      </c>
      <c r="Q105" s="1">
        <f t="shared" si="126"/>
        <v>1.0948843075076633</v>
      </c>
      <c r="R105" s="1">
        <v>60</v>
      </c>
      <c r="S105" s="1" t="s">
        <v>78</v>
      </c>
      <c r="T105" t="s">
        <v>80</v>
      </c>
      <c r="U105">
        <f t="shared" si="127"/>
        <v>18.5</v>
      </c>
      <c r="V105" s="1">
        <f t="shared" si="128"/>
        <v>40</v>
      </c>
      <c r="W105">
        <f t="shared" si="129"/>
        <v>0</v>
      </c>
      <c r="X105">
        <f t="shared" si="130"/>
        <v>0</v>
      </c>
      <c r="Y105">
        <v>0.9</v>
      </c>
      <c r="Z105" s="1">
        <v>1.2</v>
      </c>
      <c r="AA105" s="1">
        <f t="shared" si="101"/>
        <v>2.9296874999999996</v>
      </c>
      <c r="AB105">
        <f t="shared" si="131"/>
        <v>20.755052478770708</v>
      </c>
      <c r="AE105">
        <f>IF(T105="medium dense",'[1]Coefficient Normal'!$E$18 + ('[1]Coefficient Normal'!$E$19*AA105) + ('[1]Coefficient Normal'!$E$20*(AA105^2)) + ('[1]Coefficient Normal'!$E$21*(AA105^3)) + ('[1]Coefficient Normal'!$E$22*(AA105^4)),IF(T105="dense",'[1]Coefficient Normal'!$F$18 + ('[1]Coefficient Normal'!$F$19*AA105) + ('[1]Coefficient Normal'!$F$20*(AA105^2)) + ('[1]Coefficient Normal'!$F$21*(AA105^3)) + ('[1]Coefficient Normal'!$F$22*(AA105^4)),IF(T105="very dense",'[1]Coefficient Normal'!$G$18 + ('[1]Coefficient Normal'!$G$19*AA105) + ('[1]Coefficient Normal'!$G$20*(AA105^2)) + ('[1]Coefficient Normal'!$G$21*(AA105^3)) + ('[1]Coefficient Normal'!$G$22*(AA105^4)),0)))</f>
        <v>16.165411783848704</v>
      </c>
      <c r="AF105">
        <f t="shared" si="102"/>
        <v>80</v>
      </c>
      <c r="AG105">
        <f t="shared" si="103"/>
        <v>271.14542759995038</v>
      </c>
      <c r="AH105">
        <f t="shared" si="132"/>
        <v>5.6026553101537404</v>
      </c>
      <c r="AI105">
        <f t="shared" si="104"/>
        <v>3.7612611527125335</v>
      </c>
      <c r="AJ105">
        <f t="shared" si="105"/>
        <v>3.0327897099899146</v>
      </c>
      <c r="AK105" s="1">
        <v>0.18</v>
      </c>
      <c r="AL105" s="5">
        <f>VLOOKUP(R105,'[1]Coefficient Normal'!$A$3:$H$7,2,TRUE)</f>
        <v>4.3182999999999998</v>
      </c>
      <c r="AM105" s="5">
        <f>VLOOKUP(R105,'[1]Coefficient Normal'!$A$3:$H$7,3,TRUE)</f>
        <v>-2.7900000000000001E-2</v>
      </c>
      <c r="AN105" s="5">
        <f>VLOOKUP(R105,'[1]Coefficient Normal'!$A$3:$H$7,4,TRUE)</f>
        <v>1.0497000000000001</v>
      </c>
      <c r="AO105" s="5">
        <f>VLOOKUP(R105,'[1]Coefficient Normal'!$A$3:$H$7,5,TRUE)</f>
        <v>-0.46910000000000002</v>
      </c>
      <c r="AP105" s="5">
        <f>VLOOKUP(R105,'[1]Coefficient Normal'!$A$3:$H$7,6,TRUE)</f>
        <v>0.29149999999999998</v>
      </c>
      <c r="AQ105" s="5">
        <f>VLOOKUP(R105,'[1]Coefficient Normal'!$A$3:$H$7,7,TRUE)</f>
        <v>-0.28610000000000002</v>
      </c>
      <c r="AR105" s="5">
        <f>VLOOKUP(R105,'[1]Coefficient Normal'!$A$3:$H$7,8,TRUE)</f>
        <v>-0.1348</v>
      </c>
      <c r="AS105" s="5"/>
      <c r="AT105" s="5"/>
      <c r="AU105" s="5"/>
      <c r="AV105" s="5"/>
      <c r="AW105" s="5"/>
      <c r="AY105" s="5">
        <f t="shared" si="106"/>
        <v>-0.18476915335014066</v>
      </c>
      <c r="BC105" s="5">
        <f>VLOOKUP(R105,'[1]Coefficient Normal'!$A$10:$P$14,2,TRUE)</f>
        <v>-2.1276999999999999</v>
      </c>
      <c r="BD105" s="5">
        <f>VLOOKUP(R105,'[1]Coefficient Normal'!$A$10:$P$14,3,TRUE)</f>
        <v>0.14760000000000001</v>
      </c>
      <c r="BE105" s="5">
        <f>VLOOKUP(R105,'[1]Coefficient Normal'!$A$10:$P$14,4,TRUE)</f>
        <v>-0.21829999999999999</v>
      </c>
      <c r="BF105" s="5">
        <f>VLOOKUP(R105,'[1]Coefficient Normal'!$A$10:$P$14,5,TRUE)</f>
        <v>0.42270000000000002</v>
      </c>
      <c r="BG105" s="5">
        <f>VLOOKUP(R105,'[1]Coefficient Normal'!$A$10:$P$14,6,TRUE)</f>
        <v>-0.53720000000000001</v>
      </c>
      <c r="BH105" s="5">
        <f>VLOOKUP(R105,'[1]Coefficient Normal'!$A$10:$P$14,7,TRUE)</f>
        <v>1.252</v>
      </c>
      <c r="BI105" s="5">
        <f>VLOOKUP(R105,'[1]Coefficient Normal'!$A$10:$P$14,8,TRUE)</f>
        <v>-5.9999999999999995E-4</v>
      </c>
      <c r="BJ105" s="5">
        <f>VLOOKUP(R105,'[1]Coefficient Normal'!$A$10:$P$14,9,TRUE)</f>
        <v>5.3E-3</v>
      </c>
      <c r="BK105" s="5">
        <f>VLOOKUP(R105,'[1]Coefficient Normal'!$A$10:$P$14,10,TRUE)</f>
        <v>-4.8500000000000001E-2</v>
      </c>
      <c r="BL105" s="5">
        <f>VLOOKUP(R105,'[1]Coefficient Normal'!$A$10:$P$14,11,TRUE)</f>
        <v>1.2999999999999999E-3</v>
      </c>
      <c r="BM105" s="5">
        <f>VLOOKUP(R105,'[1]Coefficient Normal'!$A$10:$P$14,12,TRUE)</f>
        <v>-0.56599999999999995</v>
      </c>
      <c r="BN105" s="5">
        <f>VLOOKUP(R105,'[1]Coefficient Normal'!$A$10:$P$14,13,TRUE)</f>
        <v>-3.2099999999999997E-2</v>
      </c>
      <c r="BO105" s="5">
        <f>VLOOKUP(R105,'[1]Coefficient Normal'!$A$10:$P$14,14,TRUE)</f>
        <v>0.84970000000000001</v>
      </c>
      <c r="BP105" s="5">
        <f>VLOOKUP(R105,'[1]Coefficient Normal'!$A$10:$P$14,15,TRUE)</f>
        <v>9.01E-2</v>
      </c>
      <c r="BQ105" s="5"/>
      <c r="BR105" s="5"/>
      <c r="BS105" s="5"/>
      <c r="BT105" s="5"/>
      <c r="BU105" s="5"/>
      <c r="BV105" s="5"/>
      <c r="BW105" s="5"/>
      <c r="BX105" s="5"/>
      <c r="BY105" s="5"/>
      <c r="CB105" s="6">
        <f t="shared" si="107"/>
        <v>1</v>
      </c>
      <c r="CC105" s="6">
        <f t="shared" si="108"/>
        <v>1</v>
      </c>
      <c r="CD105" s="6">
        <f t="shared" si="109"/>
        <v>1</v>
      </c>
      <c r="CE105" s="5">
        <f t="shared" si="110"/>
        <v>1.0304503805862284</v>
      </c>
      <c r="CG105">
        <f t="shared" si="111"/>
        <v>-1.7147984280919266</v>
      </c>
      <c r="CN105" s="5">
        <f t="shared" si="112"/>
        <v>-1.5300292747417861</v>
      </c>
      <c r="CO105" s="5">
        <f t="shared" si="113"/>
        <v>-1.5766192484657444</v>
      </c>
      <c r="CP105" s="5">
        <f t="shared" si="114"/>
        <v>0.55516214614036996</v>
      </c>
      <c r="CQ105" s="5">
        <f t="shared" si="115"/>
        <v>-0.66205799369079832</v>
      </c>
      <c r="CR105" s="5">
        <f t="shared" si="116"/>
        <v>2.3682423996019861</v>
      </c>
      <c r="CS105" s="5">
        <f t="shared" si="117"/>
        <v>0.47949086306397387</v>
      </c>
      <c r="CT105" s="5">
        <f t="shared" si="118"/>
        <v>-0.96348183335021309</v>
      </c>
      <c r="CU105" s="7">
        <f t="shared" si="133"/>
        <v>0.3815620350003287</v>
      </c>
      <c r="CV105">
        <f>VLOOKUP(R105,'[1]Coefficient Normal'!$A$10:$P$14,16,TRUE)</f>
        <v>0.50170000000000003</v>
      </c>
      <c r="CW105">
        <v>0.3</v>
      </c>
    </row>
    <row r="106" spans="1:101" x14ac:dyDescent="0.25">
      <c r="A106">
        <v>79</v>
      </c>
      <c r="B106">
        <v>4</v>
      </c>
      <c r="C106" t="str">
        <f t="shared" si="100"/>
        <v>Normal</v>
      </c>
      <c r="D106">
        <v>0.89600000000000002</v>
      </c>
      <c r="E106">
        <f t="shared" si="119"/>
        <v>896</v>
      </c>
      <c r="F106">
        <v>9.5250000000000005E-3</v>
      </c>
      <c r="G106">
        <f t="shared" si="119"/>
        <v>9.5250000000000004</v>
      </c>
      <c r="H106" s="3">
        <f t="shared" si="120"/>
        <v>94.068241469816272</v>
      </c>
      <c r="I106" s="1">
        <v>100</v>
      </c>
      <c r="J106" s="4" t="s">
        <v>70</v>
      </c>
      <c r="K106" s="1">
        <f t="shared" si="121"/>
        <v>8</v>
      </c>
      <c r="L106" s="1">
        <f t="shared" si="122"/>
        <v>10</v>
      </c>
      <c r="M106" s="1">
        <f t="shared" si="123"/>
        <v>359000</v>
      </c>
      <c r="N106" s="1">
        <f t="shared" si="124"/>
        <v>455000</v>
      </c>
      <c r="O106" s="1">
        <f t="shared" si="125"/>
        <v>1.9969902892117808</v>
      </c>
      <c r="P106" s="3">
        <f>100*IF(J106='[1]Estimation Model Normal-Slip'!$J$8,'[1]Estimation Model Normal-Slip'!$O$8,IF(J106='[1]Estimation Model Normal-Slip'!$J$9,'[1]Estimation Model Normal-Slip'!$O$9,IF(J106='[1]Estimation Model Normal-Slip'!$J$10,'[1]Estimation Model Normal-Slip'!$O$10,IF(J106='[1]Estimation Model Normal-Slip'!$J$11,'[1]Estimation Model Normal-Slip'!$O$11,IF(J106='[1]Estimation Model Normal-Slip'!$J$12,'[1]Estimation Model Normal-Slip'!$O$12,IF(J106='[1]Estimation Model Normal-Slip'!$J$13,'[1]Estimation Model Normal-Slip'!$O$13,2))))))</f>
        <v>1.9041242414694344</v>
      </c>
      <c r="Q106" s="1">
        <f t="shared" si="126"/>
        <v>0.69164119173371341</v>
      </c>
      <c r="R106" s="1">
        <v>75</v>
      </c>
      <c r="S106" s="1" t="s">
        <v>78</v>
      </c>
      <c r="T106" t="s">
        <v>81</v>
      </c>
      <c r="U106">
        <f t="shared" si="127"/>
        <v>19</v>
      </c>
      <c r="V106" s="1">
        <f t="shared" si="128"/>
        <v>43</v>
      </c>
      <c r="W106">
        <f t="shared" si="129"/>
        <v>0</v>
      </c>
      <c r="X106">
        <f t="shared" si="130"/>
        <v>0</v>
      </c>
      <c r="Y106">
        <v>0.9</v>
      </c>
      <c r="Z106" s="1">
        <v>0.8</v>
      </c>
      <c r="AA106" s="1">
        <f t="shared" si="101"/>
        <v>1.8</v>
      </c>
      <c r="AB106">
        <f t="shared" si="131"/>
        <v>34.278032614587922</v>
      </c>
      <c r="AE106">
        <f>IF(T106="medium dense",'[1]Coefficient Normal'!$E$18 + ('[1]Coefficient Normal'!$E$19*AA106) + ('[1]Coefficient Normal'!$E$20*(AA106^2)) + ('[1]Coefficient Normal'!$E$21*(AA106^3)) + ('[1]Coefficient Normal'!$E$22*(AA106^4)),IF(T106="dense",'[1]Coefficient Normal'!$F$18 + ('[1]Coefficient Normal'!$F$19*AA106) + ('[1]Coefficient Normal'!$F$20*(AA106^2)) + ('[1]Coefficient Normal'!$F$21*(AA106^3)) + ('[1]Coefficient Normal'!$F$22*(AA106^4)),IF(T106="very dense",'[1]Coefficient Normal'!$G$18 + ('[1]Coefficient Normal'!$G$19*AA106) + ('[1]Coefficient Normal'!$G$20*(AA106^2)) + ('[1]Coefficient Normal'!$G$21*(AA106^3)) + ('[1]Coefficient Normal'!$G$22*(AA106^4)),0)))</f>
        <v>18.784824717152006</v>
      </c>
      <c r="AF106">
        <f t="shared" si="102"/>
        <v>80</v>
      </c>
      <c r="AG106">
        <f t="shared" si="103"/>
        <v>865.97444478783666</v>
      </c>
      <c r="AH106">
        <f t="shared" si="132"/>
        <v>6.7638553986441545</v>
      </c>
      <c r="AI106">
        <f t="shared" si="104"/>
        <v>4.5440204919621658</v>
      </c>
      <c r="AJ106">
        <f t="shared" si="105"/>
        <v>3.5345047004428238</v>
      </c>
      <c r="AK106" s="1">
        <v>0.4</v>
      </c>
      <c r="AL106" s="5">
        <f>VLOOKUP(R106,'[1]Coefficient Normal'!$A$3:$H$7,2,TRUE)</f>
        <v>5.5951000000000004</v>
      </c>
      <c r="AM106" s="5">
        <f>VLOOKUP(R106,'[1]Coefficient Normal'!$A$3:$H$7,3,TRUE)</f>
        <v>1.6E-2</v>
      </c>
      <c r="AN106" s="5">
        <f>VLOOKUP(R106,'[1]Coefficient Normal'!$A$3:$H$7,4,TRUE)</f>
        <v>1.2641</v>
      </c>
      <c r="AO106" s="5">
        <f>VLOOKUP(R106,'[1]Coefficient Normal'!$A$3:$H$7,5,TRUE)</f>
        <v>-0.52429999999999999</v>
      </c>
      <c r="AP106" s="5">
        <f>VLOOKUP(R106,'[1]Coefficient Normal'!$A$3:$H$7,6,TRUE)</f>
        <v>0.35830000000000001</v>
      </c>
      <c r="AQ106" s="5">
        <f>VLOOKUP(R106,'[1]Coefficient Normal'!$A$3:$H$7,7,TRUE)</f>
        <v>-0.35920000000000002</v>
      </c>
      <c r="AR106" s="5">
        <f>VLOOKUP(R106,'[1]Coefficient Normal'!$A$3:$H$7,8,TRUE)</f>
        <v>-0.2482</v>
      </c>
      <c r="AS106" s="5"/>
      <c r="AT106" s="5"/>
      <c r="AU106" s="5"/>
      <c r="AV106" s="5"/>
      <c r="AW106" s="5"/>
      <c r="AY106" s="5">
        <f t="shared" si="106"/>
        <v>8.8509920075637738E-2</v>
      </c>
      <c r="BC106" s="5">
        <f>VLOOKUP(R106,'[1]Coefficient Normal'!$A$10:$P$14,2,TRUE)</f>
        <v>-2.3450000000000002</v>
      </c>
      <c r="BD106" s="5">
        <f>VLOOKUP(R106,'[1]Coefficient Normal'!$A$10:$P$14,3,TRUE)</f>
        <v>0.19470000000000001</v>
      </c>
      <c r="BE106" s="5">
        <f>VLOOKUP(R106,'[1]Coefficient Normal'!$A$10:$P$14,4,TRUE)</f>
        <v>-0.2044</v>
      </c>
      <c r="BF106" s="5">
        <f>VLOOKUP(R106,'[1]Coefficient Normal'!$A$10:$P$14,5,TRUE)</f>
        <v>0.4143</v>
      </c>
      <c r="BG106" s="5">
        <f>VLOOKUP(R106,'[1]Coefficient Normal'!$A$10:$P$14,6,TRUE)</f>
        <v>-0.55710000000000004</v>
      </c>
      <c r="BH106" s="5">
        <f>VLOOKUP(R106,'[1]Coefficient Normal'!$A$10:$P$14,7,TRUE)</f>
        <v>1.0931</v>
      </c>
      <c r="BI106" s="5">
        <f>VLOOKUP(R106,'[1]Coefficient Normal'!$A$10:$P$14,8,TRUE)</f>
        <v>1E-4</v>
      </c>
      <c r="BJ106" s="5">
        <f>VLOOKUP(R106,'[1]Coefficient Normal'!$A$10:$P$14,9,TRUE)</f>
        <v>3.5000000000000001E-3</v>
      </c>
      <c r="BK106" s="5">
        <f>VLOOKUP(R106,'[1]Coefficient Normal'!$A$10:$P$14,10,TRUE)</f>
        <v>-4.07E-2</v>
      </c>
      <c r="BL106" s="5">
        <f>VLOOKUP(R106,'[1]Coefficient Normal'!$A$10:$P$14,11,TRUE)</f>
        <v>1.6000000000000001E-3</v>
      </c>
      <c r="BM106" s="5">
        <f>VLOOKUP(R106,'[1]Coefficient Normal'!$A$10:$P$14,12,TRUE)</f>
        <v>-0.65949999999999998</v>
      </c>
      <c r="BN106" s="5">
        <f>VLOOKUP(R106,'[1]Coefficient Normal'!$A$10:$P$14,13,TRUE)</f>
        <v>-3.0099999999999998E-2</v>
      </c>
      <c r="BO106" s="5">
        <f>VLOOKUP(R106,'[1]Coefficient Normal'!$A$10:$P$14,14,TRUE)</f>
        <v>0.84219999999999995</v>
      </c>
      <c r="BP106" s="5">
        <f>VLOOKUP(R106,'[1]Coefficient Normal'!$A$10:$P$14,15,TRUE)</f>
        <v>0.50680000000000003</v>
      </c>
      <c r="BQ106" s="5"/>
      <c r="BR106" s="5"/>
      <c r="BS106" s="5"/>
      <c r="BT106" s="5"/>
      <c r="BU106" s="5"/>
      <c r="BV106" s="5"/>
      <c r="BW106" s="5"/>
      <c r="BX106" s="5"/>
      <c r="BY106" s="5"/>
      <c r="CB106" s="6">
        <f t="shared" si="107"/>
        <v>1</v>
      </c>
      <c r="CC106" s="6">
        <f t="shared" si="108"/>
        <v>1</v>
      </c>
      <c r="CD106" s="6">
        <f t="shared" si="109"/>
        <v>0</v>
      </c>
      <c r="CE106" s="5">
        <f t="shared" si="110"/>
        <v>1.2063369896131648</v>
      </c>
      <c r="CG106">
        <f t="shared" si="111"/>
        <v>-0.916290731874155</v>
      </c>
      <c r="CN106" s="5">
        <f t="shared" si="112"/>
        <v>-1.0048006519497927</v>
      </c>
      <c r="CO106" s="5">
        <f t="shared" si="113"/>
        <v>-1.2121281936344583</v>
      </c>
      <c r="CP106" s="5">
        <f t="shared" si="114"/>
        <v>0.88472078978503377</v>
      </c>
      <c r="CQ106" s="5">
        <f t="shared" si="115"/>
        <v>-0.72245276077051324</v>
      </c>
      <c r="CR106" s="5">
        <f t="shared" si="116"/>
        <v>2.8022652916582733</v>
      </c>
      <c r="CS106" s="5">
        <f t="shared" si="117"/>
        <v>6.1177861852614784E-2</v>
      </c>
      <c r="CT106" s="5">
        <f t="shared" si="118"/>
        <v>-0.53141701110905004</v>
      </c>
      <c r="CU106" s="7">
        <f t="shared" si="133"/>
        <v>0.58777150055444438</v>
      </c>
      <c r="CV106">
        <f>VLOOKUP(R106,'[1]Coefficient Normal'!$A$10:$P$14,16,TRUE)</f>
        <v>0.43780000000000002</v>
      </c>
      <c r="CW106">
        <v>0.3</v>
      </c>
    </row>
    <row r="107" spans="1:101" x14ac:dyDescent="0.25">
      <c r="A107">
        <v>80</v>
      </c>
      <c r="B107">
        <v>1</v>
      </c>
      <c r="C107" t="str">
        <f t="shared" si="100"/>
        <v>Normal</v>
      </c>
      <c r="D107">
        <v>0.5</v>
      </c>
      <c r="E107">
        <f t="shared" si="119"/>
        <v>500</v>
      </c>
      <c r="F107">
        <v>9.5250000000000005E-3</v>
      </c>
      <c r="G107">
        <f t="shared" si="119"/>
        <v>9.5250000000000004</v>
      </c>
      <c r="H107" s="3">
        <f t="shared" si="120"/>
        <v>52.493438320209975</v>
      </c>
      <c r="I107" s="1">
        <v>300</v>
      </c>
      <c r="J107" s="4" t="s">
        <v>70</v>
      </c>
      <c r="K107" s="1">
        <f t="shared" si="121"/>
        <v>8</v>
      </c>
      <c r="L107" s="1">
        <f t="shared" si="122"/>
        <v>10</v>
      </c>
      <c r="M107" s="1">
        <f t="shared" si="123"/>
        <v>359000</v>
      </c>
      <c r="N107" s="1">
        <f t="shared" si="124"/>
        <v>455000</v>
      </c>
      <c r="O107" s="1">
        <f t="shared" si="125"/>
        <v>1.9969902892117808</v>
      </c>
      <c r="P107" s="3">
        <f>100*IF(J107='[1]Estimation Model Normal-Slip'!$J$8,'[1]Estimation Model Normal-Slip'!$O$8,IF(J107='[1]Estimation Model Normal-Slip'!$J$9,'[1]Estimation Model Normal-Slip'!$O$9,IF(J107='[1]Estimation Model Normal-Slip'!$J$10,'[1]Estimation Model Normal-Slip'!$O$10,IF(J107='[1]Estimation Model Normal-Slip'!$J$11,'[1]Estimation Model Normal-Slip'!$O$11,IF(J107='[1]Estimation Model Normal-Slip'!$J$12,'[1]Estimation Model Normal-Slip'!$O$12,IF(J107='[1]Estimation Model Normal-Slip'!$J$13,'[1]Estimation Model Normal-Slip'!$O$13,2))))))</f>
        <v>1.9041242414694344</v>
      </c>
      <c r="Q107" s="1">
        <f t="shared" si="126"/>
        <v>0.69164119173371341</v>
      </c>
      <c r="R107" s="1">
        <v>90</v>
      </c>
      <c r="S107" s="1" t="s">
        <v>78</v>
      </c>
      <c r="T107" t="s">
        <v>79</v>
      </c>
      <c r="U107">
        <f t="shared" si="127"/>
        <v>18</v>
      </c>
      <c r="V107" s="1">
        <f t="shared" si="128"/>
        <v>37</v>
      </c>
      <c r="W107">
        <f t="shared" si="129"/>
        <v>0</v>
      </c>
      <c r="X107">
        <f t="shared" si="130"/>
        <v>0</v>
      </c>
      <c r="Y107">
        <v>0.9</v>
      </c>
      <c r="Z107" s="1">
        <v>2</v>
      </c>
      <c r="AA107" s="1">
        <f t="shared" si="101"/>
        <v>4</v>
      </c>
      <c r="AB107">
        <f t="shared" si="131"/>
        <v>37.145531811713909</v>
      </c>
      <c r="AE107">
        <f>IF(T107="medium dense",'[1]Coefficient Normal'!$E$18 + ('[1]Coefficient Normal'!$E$19*AA107) + ('[1]Coefficient Normal'!$E$20*(AA107^2)) + ('[1]Coefficient Normal'!$E$21*(AA107^3)) + ('[1]Coefficient Normal'!$E$22*(AA107^4)),IF(T107="dense",'[1]Coefficient Normal'!$F$18 + ('[1]Coefficient Normal'!$F$19*AA107) + ('[1]Coefficient Normal'!$F$20*(AA107^2)) + ('[1]Coefficient Normal'!$F$21*(AA107^3)) + ('[1]Coefficient Normal'!$F$22*(AA107^4)),IF(T107="very dense",'[1]Coefficient Normal'!$G$18 + ('[1]Coefficient Normal'!$G$19*AA107) + ('[1]Coefficient Normal'!$G$20*(AA107^2)) + ('[1]Coefficient Normal'!$G$21*(AA107^3)) + ('[1]Coefficient Normal'!$G$22*(AA107^4)),0)))</f>
        <v>14.286272930000003</v>
      </c>
      <c r="AF107">
        <f t="shared" si="102"/>
        <v>64.071522599936642</v>
      </c>
      <c r="AG107">
        <f t="shared" si="103"/>
        <v>401.31383858985748</v>
      </c>
      <c r="AH107">
        <f t="shared" si="132"/>
        <v>5.9947437610786407</v>
      </c>
      <c r="AI107">
        <f t="shared" si="104"/>
        <v>3.9606881774094269</v>
      </c>
      <c r="AJ107">
        <f t="shared" si="105"/>
        <v>3.6148434896829706</v>
      </c>
      <c r="AK107" s="1">
        <v>1.2</v>
      </c>
      <c r="AL107" s="5">
        <f>VLOOKUP(R107,'[1]Coefficient Normal'!$A$3:$H$7,2,TRUE)</f>
        <v>14.575100000000001</v>
      </c>
      <c r="AM107" s="5">
        <f>VLOOKUP(R107,'[1]Coefficient Normal'!$A$3:$H$7,3,TRUE)</f>
        <v>0.1356</v>
      </c>
      <c r="AN107" s="5">
        <f>VLOOKUP(R107,'[1]Coefficient Normal'!$A$3:$H$7,4,TRUE)</f>
        <v>2.9990000000000001</v>
      </c>
      <c r="AO107" s="5">
        <f>VLOOKUP(R107,'[1]Coefficient Normal'!$A$3:$H$7,5,TRUE)</f>
        <v>-0.94710000000000005</v>
      </c>
      <c r="AP107" s="5">
        <f>VLOOKUP(R107,'[1]Coefficient Normal'!$A$3:$H$7,6,TRUE)</f>
        <v>0.6603</v>
      </c>
      <c r="AQ107" s="5">
        <f>VLOOKUP(R107,'[1]Coefficient Normal'!$A$3:$H$7,7,TRUE)</f>
        <v>-1.2488999999999999</v>
      </c>
      <c r="AR107" s="5">
        <f>VLOOKUP(R107,'[1]Coefficient Normal'!$A$3:$H$7,8,TRUE)</f>
        <v>-0.44140000000000001</v>
      </c>
      <c r="AS107" s="5"/>
      <c r="AT107" s="5"/>
      <c r="AU107" s="5"/>
      <c r="AV107" s="5"/>
      <c r="AW107" s="5"/>
      <c r="AY107" s="5">
        <f t="shared" si="106"/>
        <v>0.89288001558423113</v>
      </c>
      <c r="BC107" s="5">
        <f>VLOOKUP(R107,'[1]Coefficient Normal'!$A$10:$P$14,2,TRUE)</f>
        <v>5.1353999999999997</v>
      </c>
      <c r="BD107" s="5">
        <f>VLOOKUP(R107,'[1]Coefficient Normal'!$A$10:$P$14,3,TRUE)</f>
        <v>-4.9599999999999998E-2</v>
      </c>
      <c r="BE107" s="5">
        <f>VLOOKUP(R107,'[1]Coefficient Normal'!$A$10:$P$14,4,TRUE)</f>
        <v>0.44590000000000002</v>
      </c>
      <c r="BF107" s="5">
        <f>VLOOKUP(R107,'[1]Coefficient Normal'!$A$10:$P$14,5,TRUE)</f>
        <v>-0.83709999999999996</v>
      </c>
      <c r="BG107" s="5">
        <f>VLOOKUP(R107,'[1]Coefficient Normal'!$A$10:$P$14,6,TRUE)</f>
        <v>0.63090000000000002</v>
      </c>
      <c r="BH107" s="5">
        <f>VLOOKUP(R107,'[1]Coefficient Normal'!$A$10:$P$14,7,TRUE)</f>
        <v>0.91390000000000005</v>
      </c>
      <c r="BI107" s="5">
        <f>VLOOKUP(R107,'[1]Coefficient Normal'!$A$10:$P$14,8,TRUE)</f>
        <v>2.5000000000000001E-3</v>
      </c>
      <c r="BJ107" s="5">
        <f>VLOOKUP(R107,'[1]Coefficient Normal'!$A$10:$P$14,9,TRUE)</f>
        <v>1.6000000000000001E-3</v>
      </c>
      <c r="BK107" s="5">
        <f>VLOOKUP(R107,'[1]Coefficient Normal'!$A$10:$P$14,10,TRUE)</f>
        <v>-9.7500000000000003E-2</v>
      </c>
      <c r="BL107" s="5">
        <f>VLOOKUP(R107,'[1]Coefficient Normal'!$A$10:$P$14,11,TRUE)</f>
        <v>1.1999999999999999E-3</v>
      </c>
      <c r="BM107" s="5">
        <f>VLOOKUP(R107,'[1]Coefficient Normal'!$A$10:$P$14,12,TRUE)</f>
        <v>0.46479999999999999</v>
      </c>
      <c r="BN107" s="5">
        <f>VLOOKUP(R107,'[1]Coefficient Normal'!$A$10:$P$14,13,TRUE)</f>
        <v>8.0000000000000004E-4</v>
      </c>
      <c r="BO107" s="5">
        <f>VLOOKUP(R107,'[1]Coefficient Normal'!$A$10:$P$14,14,TRUE)</f>
        <v>6.7900000000000002E-2</v>
      </c>
      <c r="BP107" s="5">
        <f>VLOOKUP(R107,'[1]Coefficient Normal'!$A$10:$P$14,15,TRUE)</f>
        <v>0.58979999999999999</v>
      </c>
      <c r="BQ107" s="5"/>
      <c r="BR107" s="5"/>
      <c r="BS107" s="5"/>
      <c r="BT107" s="5"/>
      <c r="BU107" s="5"/>
      <c r="BV107" s="5"/>
      <c r="BW107" s="5"/>
      <c r="BX107" s="5"/>
      <c r="BY107" s="5"/>
      <c r="CB107" s="6">
        <f t="shared" si="107"/>
        <v>1</v>
      </c>
      <c r="CC107" s="6">
        <f t="shared" si="108"/>
        <v>1</v>
      </c>
      <c r="CD107" s="6">
        <f t="shared" si="109"/>
        <v>0</v>
      </c>
      <c r="CE107" s="5">
        <f t="shared" si="110"/>
        <v>0.97225595551353683</v>
      </c>
      <c r="CG107">
        <f t="shared" si="111"/>
        <v>0.18232155679395459</v>
      </c>
      <c r="CN107" s="5">
        <f t="shared" si="112"/>
        <v>-0.71055845879027657</v>
      </c>
      <c r="CO107" s="5">
        <f t="shared" si="113"/>
        <v>-0.69084469329936637</v>
      </c>
      <c r="CP107" s="5">
        <f t="shared" si="114"/>
        <v>-0.19645013359950758</v>
      </c>
      <c r="CQ107" s="5">
        <f t="shared" si="115"/>
        <v>1.6118587120496366</v>
      </c>
      <c r="CR107" s="5">
        <f t="shared" si="116"/>
        <v>-5.0182000023989302</v>
      </c>
      <c r="CS107" s="5">
        <f t="shared" si="117"/>
        <v>-0.43730655621526948</v>
      </c>
      <c r="CT107" s="5">
        <f t="shared" si="118"/>
        <v>0.40445732653656241</v>
      </c>
      <c r="CU107" s="7">
        <f t="shared" si="133"/>
        <v>1.4984890891045519</v>
      </c>
      <c r="CV107">
        <f>VLOOKUP(R107,'[1]Coefficient Normal'!$A$10:$P$14,16,TRUE)</f>
        <v>0.34749999999999998</v>
      </c>
      <c r="CW107">
        <v>0.3</v>
      </c>
    </row>
  </sheetData>
  <dataValidations disablePrompts="1" count="1">
    <dataValidation type="list" allowBlank="1" showInputMessage="1" showErrorMessage="1" sqref="J88:J107" xr:uid="{00000000-0002-0000-0000-000000000000}">
      <formula1>"Grade-B,X-42,X-52,X-60,X-70,X-80"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07"/>
  <sheetViews>
    <sheetView topLeftCell="BT46" zoomScale="85" zoomScaleNormal="85" workbookViewId="0">
      <selection activeCell="CU66" sqref="CU66:CV85"/>
    </sheetView>
  </sheetViews>
  <sheetFormatPr defaultRowHeight="15" x14ac:dyDescent="0.25"/>
  <cols>
    <col min="3" max="3" width="25.5703125" customWidth="1"/>
  </cols>
  <sheetData>
    <row r="1" spans="1:107" x14ac:dyDescent="0.25">
      <c r="A1" t="s">
        <v>0</v>
      </c>
      <c r="B1" t="s">
        <v>82</v>
      </c>
      <c r="C1" t="s">
        <v>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131</v>
      </c>
      <c r="AD1" t="s">
        <v>132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58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87</v>
      </c>
      <c r="AY1" t="s">
        <v>39</v>
      </c>
      <c r="AZ1" t="s">
        <v>102</v>
      </c>
      <c r="BA1" t="s">
        <v>103</v>
      </c>
      <c r="BB1" t="s">
        <v>104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84</v>
      </c>
      <c r="BZ1" t="s">
        <v>88</v>
      </c>
      <c r="CA1" t="s">
        <v>89</v>
      </c>
      <c r="CB1" t="s">
        <v>56</v>
      </c>
      <c r="CC1" t="s">
        <v>54</v>
      </c>
      <c r="CD1" t="s">
        <v>55</v>
      </c>
      <c r="CE1" t="s">
        <v>57</v>
      </c>
      <c r="CF1" t="s">
        <v>85</v>
      </c>
      <c r="CG1" t="s">
        <v>59</v>
      </c>
      <c r="CH1" t="s">
        <v>105</v>
      </c>
      <c r="CI1" t="s">
        <v>106</v>
      </c>
      <c r="CJ1" t="s">
        <v>86</v>
      </c>
      <c r="CK1" t="s">
        <v>107</v>
      </c>
      <c r="CL1" t="s">
        <v>98</v>
      </c>
      <c r="CM1" t="s">
        <v>99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125</v>
      </c>
      <c r="CW1" t="s">
        <v>126</v>
      </c>
      <c r="CX1" t="s">
        <v>68</v>
      </c>
      <c r="CY1" t="s">
        <v>127</v>
      </c>
      <c r="CZ1" t="s">
        <v>128</v>
      </c>
      <c r="DA1" t="s">
        <v>69</v>
      </c>
      <c r="DB1" t="s">
        <v>129</v>
      </c>
      <c r="DC1" t="s">
        <v>130</v>
      </c>
    </row>
    <row r="2" spans="1:107" x14ac:dyDescent="0.25">
      <c r="A2">
        <v>1</v>
      </c>
      <c r="B2">
        <v>105</v>
      </c>
      <c r="C2" t="str">
        <f t="shared" ref="C2:C21" si="0">IF(AND(B2&gt;=0,B2&lt;=5),"Normal",IF(AND(B2&gt;5,B2&lt;90),"SSTens",IF(AND(B2&gt;=90,B2&lt;175),"SSComp",IF(AND(B2&gt;=175,B2&lt;=180),"Reverse"))))</f>
        <v>SSComp</v>
      </c>
      <c r="D2">
        <v>0.20319999999999999</v>
      </c>
      <c r="E2">
        <f>D2*1000</f>
        <v>203.2</v>
      </c>
      <c r="I2">
        <v>15</v>
      </c>
      <c r="AK2">
        <v>0.2</v>
      </c>
      <c r="BC2">
        <f t="shared" ref="BC2:BC21" si="1">-6.50785 + 0.98692*D2 + 0.01601*I2 + (-0.04575 * BY2)</f>
        <v>-5.3809078560000003</v>
      </c>
      <c r="BD2">
        <f t="shared" ref="BD2:BD21" si="2">0.34262 + (-0.10918 * D2) + 0.00197 * I2+ 0.0027*BY2</f>
        <v>0.30948462400000004</v>
      </c>
      <c r="BY2">
        <f t="shared" ref="BY2:BY21" si="3">IF(AND(B2&gt;95,B2&lt;=120),B2-120,0)</f>
        <v>-15</v>
      </c>
      <c r="CE2">
        <f t="shared" ref="CE2:CE21" si="4" xml:space="preserve"> 4.54097 - 0.01093*I2</f>
        <v>4.3770199999999999</v>
      </c>
      <c r="CF2">
        <f t="shared" ref="CF2:CF21" si="5">(LN(AK2) - BC2) / CE2</f>
        <v>0.86165243557623683</v>
      </c>
      <c r="CJ2">
        <f t="shared" ref="CJ2:CJ21" si="6">IF(CF2&gt;=1,5,ATANH(CF2))</f>
        <v>1.2997253384540037</v>
      </c>
      <c r="CT2">
        <f t="shared" ref="CT2:CT21" si="7">(CJ2 / BD2) - 4</f>
        <v>0.19964430431284885</v>
      </c>
      <c r="CU2">
        <f>MIN(EXP(CT2),100)</f>
        <v>1.2209683877232429</v>
      </c>
      <c r="CV2">
        <f>IF(OR($C2="SSComp",$C2="Reverse"),CU2,0.00001)</f>
        <v>1.2209683877232429</v>
      </c>
      <c r="CW2">
        <f>IF(OR($C2="SSTens",$C2="Normal"),CU2,0.00001)</f>
        <v>1.0000000000000001E-5</v>
      </c>
      <c r="CX2">
        <v>0.57099999999999995</v>
      </c>
      <c r="CY2">
        <f>IF(OR($C2="SSComp",$C2="Reverse"),CX2,0.01)</f>
        <v>0.57099999999999995</v>
      </c>
      <c r="CZ2">
        <f>IF(OR($C2="SSTens",$C2="Normal"),CX2,0.01)</f>
        <v>0.01</v>
      </c>
      <c r="DA2">
        <v>0.3</v>
      </c>
      <c r="DB2">
        <v>0.3</v>
      </c>
      <c r="DC2">
        <v>0.3</v>
      </c>
    </row>
    <row r="3" spans="1:107" x14ac:dyDescent="0.25">
      <c r="A3">
        <v>2</v>
      </c>
      <c r="B3">
        <v>145</v>
      </c>
      <c r="C3" t="str">
        <f t="shared" si="0"/>
        <v>SSComp</v>
      </c>
      <c r="D3">
        <v>0.30480000000000002</v>
      </c>
      <c r="E3">
        <f t="shared" ref="E3:E21" si="8">D3*1000</f>
        <v>304.8</v>
      </c>
      <c r="I3">
        <v>30</v>
      </c>
      <c r="AK3">
        <v>0.1</v>
      </c>
      <c r="BC3">
        <f t="shared" si="1"/>
        <v>-5.7267367840000007</v>
      </c>
      <c r="BD3">
        <f t="shared" si="2"/>
        <v>0.36844193599999997</v>
      </c>
      <c r="BY3">
        <f t="shared" si="3"/>
        <v>0</v>
      </c>
      <c r="CE3">
        <f t="shared" si="4"/>
        <v>4.2130700000000001</v>
      </c>
      <c r="CF3">
        <f t="shared" si="5"/>
        <v>0.81274502702446316</v>
      </c>
      <c r="CJ3">
        <f t="shared" si="6"/>
        <v>1.135063192462112</v>
      </c>
      <c r="CT3">
        <f t="shared" si="7"/>
        <v>-0.91928881716083488</v>
      </c>
      <c r="CU3">
        <f t="shared" ref="CU3:CU21" si="9">MIN(EXP(CT3),100)</f>
        <v>0.39880256179319534</v>
      </c>
      <c r="CV3">
        <f t="shared" ref="CV3:CV21" si="10">IF(OR($C3="SSComp",$C3="Reverse"),CU3,0.00001)</f>
        <v>0.39880256179319534</v>
      </c>
      <c r="CW3">
        <f t="shared" ref="CW3:CW21" si="11">IF(OR($C3="SSTens",$C3="Normal"),CU3,0.00001)</f>
        <v>1.0000000000000001E-5</v>
      </c>
      <c r="CX3">
        <v>0.57099999999999995</v>
      </c>
      <c r="CY3">
        <f>IF(OR($C3="SSComp",$C3="Reverse"),CX3,0.01)</f>
        <v>0.57099999999999995</v>
      </c>
      <c r="CZ3">
        <f>IF(OR($C3="SSTens",$C3="Normal"),CX3,0.01)</f>
        <v>0.01</v>
      </c>
      <c r="DA3">
        <v>0.3</v>
      </c>
      <c r="DB3">
        <v>0.3</v>
      </c>
      <c r="DC3">
        <v>0.3</v>
      </c>
    </row>
    <row r="4" spans="1:107" x14ac:dyDescent="0.25">
      <c r="A4">
        <v>3</v>
      </c>
      <c r="B4">
        <v>165</v>
      </c>
      <c r="C4" t="str">
        <f t="shared" si="0"/>
        <v>SSComp</v>
      </c>
      <c r="D4">
        <v>0.40639999999999998</v>
      </c>
      <c r="E4">
        <f t="shared" si="8"/>
        <v>406.4</v>
      </c>
      <c r="I4">
        <v>50</v>
      </c>
      <c r="AK4">
        <v>0.2</v>
      </c>
      <c r="BC4">
        <f t="shared" si="1"/>
        <v>-5.3062657120000001</v>
      </c>
      <c r="BD4">
        <f t="shared" si="2"/>
        <v>0.396749248</v>
      </c>
      <c r="BY4">
        <f t="shared" si="3"/>
        <v>0</v>
      </c>
      <c r="CE4">
        <f t="shared" si="4"/>
        <v>3.9944699999999997</v>
      </c>
      <c r="CF4">
        <f t="shared" si="5"/>
        <v>0.92548643488770721</v>
      </c>
      <c r="CJ4">
        <f t="shared" si="6"/>
        <v>1.6259763586968217</v>
      </c>
      <c r="CT4">
        <f t="shared" si="7"/>
        <v>9.8246857160575018E-2</v>
      </c>
      <c r="CU4">
        <f t="shared" si="9"/>
        <v>1.1032350929790506</v>
      </c>
      <c r="CV4">
        <f t="shared" si="10"/>
        <v>1.1032350929790506</v>
      </c>
      <c r="CW4">
        <f t="shared" si="11"/>
        <v>1.0000000000000001E-5</v>
      </c>
      <c r="CX4">
        <v>0.57099999999999995</v>
      </c>
      <c r="CY4">
        <f t="shared" ref="CY4:CY21" si="12">IF(OR($C4="SSComp",$C4="Reverse"),CX4,0.01)</f>
        <v>0.57099999999999995</v>
      </c>
      <c r="CZ4">
        <f t="shared" ref="CZ4:CZ21" si="13">IF(OR($C4="SSTens",$C4="Normal"),CX4,0.01)</f>
        <v>0.01</v>
      </c>
      <c r="DA4">
        <v>0.3</v>
      </c>
      <c r="DB4">
        <v>0.3</v>
      </c>
      <c r="DC4">
        <v>0.3</v>
      </c>
    </row>
    <row r="5" spans="1:107" x14ac:dyDescent="0.25">
      <c r="A5">
        <v>4</v>
      </c>
      <c r="B5">
        <v>105</v>
      </c>
      <c r="C5" t="str">
        <f t="shared" si="0"/>
        <v>SSComp</v>
      </c>
      <c r="D5">
        <v>0.50800000000000001</v>
      </c>
      <c r="E5">
        <f t="shared" si="8"/>
        <v>508</v>
      </c>
      <c r="I5">
        <v>100</v>
      </c>
      <c r="AK5">
        <v>0.7</v>
      </c>
      <c r="BC5">
        <f t="shared" si="1"/>
        <v>-3.7192446400000003</v>
      </c>
      <c r="BD5">
        <f t="shared" si="2"/>
        <v>0.44365656000000003</v>
      </c>
      <c r="BY5">
        <f t="shared" si="3"/>
        <v>-15</v>
      </c>
      <c r="CE5">
        <f t="shared" si="4"/>
        <v>3.4479699999999998</v>
      </c>
      <c r="CF5">
        <f t="shared" si="5"/>
        <v>0.97523171491088034</v>
      </c>
      <c r="CJ5">
        <f t="shared" si="6"/>
        <v>2.1894384933683062</v>
      </c>
      <c r="CT5">
        <f t="shared" si="7"/>
        <v>0.93498505548595112</v>
      </c>
      <c r="CU5">
        <f t="shared" si="9"/>
        <v>2.5471753911561468</v>
      </c>
      <c r="CV5">
        <f t="shared" si="10"/>
        <v>2.5471753911561468</v>
      </c>
      <c r="CW5">
        <f t="shared" si="11"/>
        <v>1.0000000000000001E-5</v>
      </c>
      <c r="CX5">
        <v>0.57099999999999995</v>
      </c>
      <c r="CY5">
        <f t="shared" si="12"/>
        <v>0.57099999999999995</v>
      </c>
      <c r="CZ5">
        <f t="shared" si="13"/>
        <v>0.01</v>
      </c>
      <c r="DA5">
        <v>0.3</v>
      </c>
      <c r="DB5">
        <v>0.3</v>
      </c>
      <c r="DC5">
        <v>0.3</v>
      </c>
    </row>
    <row r="6" spans="1:107" x14ac:dyDescent="0.25">
      <c r="A6">
        <v>5</v>
      </c>
      <c r="B6">
        <v>145</v>
      </c>
      <c r="C6" t="str">
        <f t="shared" si="0"/>
        <v>SSComp</v>
      </c>
      <c r="D6">
        <v>0.60960000000000003</v>
      </c>
      <c r="E6">
        <f t="shared" si="8"/>
        <v>609.6</v>
      </c>
      <c r="I6">
        <v>15</v>
      </c>
      <c r="AK6">
        <v>0.2</v>
      </c>
      <c r="BC6">
        <f t="shared" si="1"/>
        <v>-5.6660735680000007</v>
      </c>
      <c r="BD6">
        <f t="shared" si="2"/>
        <v>0.30561387200000001</v>
      </c>
      <c r="BY6">
        <f t="shared" si="3"/>
        <v>0</v>
      </c>
      <c r="CE6">
        <f t="shared" si="4"/>
        <v>4.3770199999999999</v>
      </c>
      <c r="CF6">
        <f t="shared" si="5"/>
        <v>0.92680308876036677</v>
      </c>
      <c r="CJ6">
        <f t="shared" si="6"/>
        <v>1.6352321269547774</v>
      </c>
      <c r="CT6">
        <f t="shared" si="7"/>
        <v>1.3506475876028867</v>
      </c>
      <c r="CU6">
        <f t="shared" si="9"/>
        <v>3.8599243606680402</v>
      </c>
      <c r="CV6">
        <f t="shared" si="10"/>
        <v>3.8599243606680402</v>
      </c>
      <c r="CW6">
        <f t="shared" si="11"/>
        <v>1.0000000000000001E-5</v>
      </c>
      <c r="CX6">
        <v>0.57099999999999995</v>
      </c>
      <c r="CY6">
        <f t="shared" si="12"/>
        <v>0.57099999999999995</v>
      </c>
      <c r="CZ6">
        <f t="shared" si="13"/>
        <v>0.01</v>
      </c>
      <c r="DA6">
        <v>0.3</v>
      </c>
      <c r="DB6">
        <v>0.3</v>
      </c>
      <c r="DC6">
        <v>0.3</v>
      </c>
    </row>
    <row r="7" spans="1:107" x14ac:dyDescent="0.25">
      <c r="A7">
        <v>6</v>
      </c>
      <c r="B7">
        <v>165</v>
      </c>
      <c r="C7" t="str">
        <f t="shared" si="0"/>
        <v>SSComp</v>
      </c>
      <c r="D7">
        <v>0.76200000000000001</v>
      </c>
      <c r="E7">
        <f t="shared" si="8"/>
        <v>762</v>
      </c>
      <c r="I7">
        <v>30</v>
      </c>
      <c r="AK7">
        <v>0.3</v>
      </c>
      <c r="BC7">
        <f t="shared" si="1"/>
        <v>-5.2755169600000009</v>
      </c>
      <c r="BD7">
        <f t="shared" si="2"/>
        <v>0.31852483999999998</v>
      </c>
      <c r="BY7">
        <f t="shared" si="3"/>
        <v>0</v>
      </c>
      <c r="CE7">
        <f t="shared" si="4"/>
        <v>4.2130700000000001</v>
      </c>
      <c r="CF7">
        <f t="shared" si="5"/>
        <v>0.96640790579650115</v>
      </c>
      <c r="CJ7">
        <f t="shared" si="6"/>
        <v>2.0348365057620685</v>
      </c>
      <c r="CT7">
        <f t="shared" si="7"/>
        <v>2.38831340677251</v>
      </c>
      <c r="CU7">
        <f t="shared" si="9"/>
        <v>10.895102831591004</v>
      </c>
      <c r="CV7">
        <f t="shared" si="10"/>
        <v>10.895102831591004</v>
      </c>
      <c r="CW7">
        <f t="shared" si="11"/>
        <v>1.0000000000000001E-5</v>
      </c>
      <c r="CX7">
        <v>0.57099999999999995</v>
      </c>
      <c r="CY7">
        <f t="shared" si="12"/>
        <v>0.57099999999999995</v>
      </c>
      <c r="CZ7">
        <f t="shared" si="13"/>
        <v>0.01</v>
      </c>
      <c r="DA7">
        <v>0.3</v>
      </c>
      <c r="DB7">
        <v>0.3</v>
      </c>
      <c r="DC7">
        <v>0.3</v>
      </c>
    </row>
    <row r="8" spans="1:107" x14ac:dyDescent="0.25">
      <c r="A8">
        <v>7</v>
      </c>
      <c r="B8">
        <v>105</v>
      </c>
      <c r="C8" t="str">
        <f t="shared" si="0"/>
        <v>SSComp</v>
      </c>
      <c r="D8">
        <v>0.86360000000000003</v>
      </c>
      <c r="E8">
        <f t="shared" si="8"/>
        <v>863.6</v>
      </c>
      <c r="I8">
        <v>50</v>
      </c>
      <c r="AK8">
        <v>0.5</v>
      </c>
      <c r="BC8">
        <f t="shared" si="1"/>
        <v>-4.1687958880000009</v>
      </c>
      <c r="BD8">
        <f t="shared" si="2"/>
        <v>0.30633215199999997</v>
      </c>
      <c r="BY8">
        <f t="shared" si="3"/>
        <v>-15</v>
      </c>
      <c r="CE8">
        <f t="shared" si="4"/>
        <v>3.9944699999999997</v>
      </c>
      <c r="CF8">
        <f t="shared" si="5"/>
        <v>0.87011511100097283</v>
      </c>
      <c r="CJ8">
        <f t="shared" si="6"/>
        <v>1.3335533378406192</v>
      </c>
      <c r="CT8">
        <f t="shared" si="7"/>
        <v>0.35329210183794046</v>
      </c>
      <c r="CU8">
        <f t="shared" si="9"/>
        <v>1.4237469618042953</v>
      </c>
      <c r="CV8">
        <f t="shared" si="10"/>
        <v>1.4237469618042953</v>
      </c>
      <c r="CW8">
        <f t="shared" si="11"/>
        <v>1.0000000000000001E-5</v>
      </c>
      <c r="CX8">
        <v>0.57099999999999995</v>
      </c>
      <c r="CY8">
        <f t="shared" si="12"/>
        <v>0.57099999999999995</v>
      </c>
      <c r="CZ8">
        <f t="shared" si="13"/>
        <v>0.01</v>
      </c>
      <c r="DA8">
        <v>0.3</v>
      </c>
      <c r="DB8">
        <v>0.3</v>
      </c>
      <c r="DC8">
        <v>0.3</v>
      </c>
    </row>
    <row r="9" spans="1:107" x14ac:dyDescent="0.25">
      <c r="A9">
        <v>8</v>
      </c>
      <c r="B9">
        <v>145</v>
      </c>
      <c r="C9" t="str">
        <f t="shared" si="0"/>
        <v>SSComp</v>
      </c>
      <c r="D9">
        <v>1.0668</v>
      </c>
      <c r="E9">
        <f t="shared" si="8"/>
        <v>1066.8</v>
      </c>
      <c r="I9">
        <v>100</v>
      </c>
      <c r="AK9">
        <v>0.65</v>
      </c>
      <c r="BC9">
        <f t="shared" si="1"/>
        <v>-3.8540037440000008</v>
      </c>
      <c r="BD9">
        <f t="shared" si="2"/>
        <v>0.423146776</v>
      </c>
      <c r="BY9">
        <f t="shared" si="3"/>
        <v>0</v>
      </c>
      <c r="CE9">
        <f t="shared" si="4"/>
        <v>3.4479699999999998</v>
      </c>
      <c r="CF9">
        <f t="shared" si="5"/>
        <v>0.99282210341376143</v>
      </c>
      <c r="CJ9">
        <f t="shared" si="6"/>
        <v>2.8131503349727711</v>
      </c>
      <c r="CT9">
        <f t="shared" si="7"/>
        <v>2.6481667698509677</v>
      </c>
      <c r="CU9">
        <f t="shared" si="9"/>
        <v>14.128114804444175</v>
      </c>
      <c r="CV9">
        <f t="shared" si="10"/>
        <v>14.128114804444175</v>
      </c>
      <c r="CW9">
        <f t="shared" si="11"/>
        <v>1.0000000000000001E-5</v>
      </c>
      <c r="CX9">
        <v>0.57099999999999995</v>
      </c>
      <c r="CY9">
        <f t="shared" si="12"/>
        <v>0.57099999999999995</v>
      </c>
      <c r="CZ9">
        <f t="shared" si="13"/>
        <v>0.01</v>
      </c>
      <c r="DA9">
        <v>0.3</v>
      </c>
      <c r="DB9">
        <v>0.3</v>
      </c>
      <c r="DC9">
        <v>0.3</v>
      </c>
    </row>
    <row r="10" spans="1:107" x14ac:dyDescent="0.25">
      <c r="A10">
        <v>9</v>
      </c>
      <c r="B10">
        <v>165</v>
      </c>
      <c r="C10" t="str">
        <f t="shared" si="0"/>
        <v>SSComp</v>
      </c>
      <c r="D10">
        <v>0.60960000000000003</v>
      </c>
      <c r="E10">
        <f t="shared" si="8"/>
        <v>609.6</v>
      </c>
      <c r="I10">
        <v>150</v>
      </c>
      <c r="AK10">
        <v>0.54</v>
      </c>
      <c r="BC10">
        <f t="shared" si="1"/>
        <v>-3.5047235680000006</v>
      </c>
      <c r="BD10">
        <f t="shared" si="2"/>
        <v>0.57156387200000003</v>
      </c>
      <c r="BY10">
        <f t="shared" si="3"/>
        <v>0</v>
      </c>
      <c r="CE10">
        <f t="shared" si="4"/>
        <v>2.9014699999999998</v>
      </c>
      <c r="CF10">
        <f t="shared" si="5"/>
        <v>0.99554275197613074</v>
      </c>
      <c r="CJ10">
        <f t="shared" si="6"/>
        <v>3.0520699039355779</v>
      </c>
      <c r="CT10">
        <f t="shared" si="7"/>
        <v>1.3398579816737923</v>
      </c>
      <c r="CU10">
        <f t="shared" si="9"/>
        <v>3.8185011697117019</v>
      </c>
      <c r="CV10">
        <f t="shared" si="10"/>
        <v>3.8185011697117019</v>
      </c>
      <c r="CW10">
        <f t="shared" si="11"/>
        <v>1.0000000000000001E-5</v>
      </c>
      <c r="CX10">
        <v>0.57099999999999995</v>
      </c>
      <c r="CY10">
        <f t="shared" si="12"/>
        <v>0.57099999999999995</v>
      </c>
      <c r="CZ10">
        <f t="shared" si="13"/>
        <v>0.01</v>
      </c>
      <c r="DA10">
        <v>0.3</v>
      </c>
      <c r="DB10">
        <v>0.3</v>
      </c>
      <c r="DC10">
        <v>0.3</v>
      </c>
    </row>
    <row r="11" spans="1:107" x14ac:dyDescent="0.25">
      <c r="A11">
        <v>10</v>
      </c>
      <c r="B11">
        <v>105</v>
      </c>
      <c r="C11" t="str">
        <f t="shared" si="0"/>
        <v>SSComp</v>
      </c>
      <c r="D11">
        <v>0.60960000000000003</v>
      </c>
      <c r="E11">
        <f t="shared" si="8"/>
        <v>609.6</v>
      </c>
      <c r="I11">
        <v>200</v>
      </c>
      <c r="AK11">
        <v>0.5</v>
      </c>
      <c r="BC11">
        <f t="shared" si="1"/>
        <v>-2.0179735680000004</v>
      </c>
      <c r="BD11">
        <f t="shared" si="2"/>
        <v>0.62956387200000008</v>
      </c>
      <c r="BY11">
        <f t="shared" si="3"/>
        <v>-15</v>
      </c>
      <c r="CE11">
        <f t="shared" si="4"/>
        <v>2.3549699999999998</v>
      </c>
      <c r="CF11">
        <f t="shared" si="5"/>
        <v>0.56256614200607868</v>
      </c>
      <c r="CJ11">
        <f t="shared" si="6"/>
        <v>0.63657959947907028</v>
      </c>
      <c r="CT11">
        <f t="shared" si="7"/>
        <v>-2.9888562101621514</v>
      </c>
      <c r="CU11">
        <f t="shared" si="9"/>
        <v>5.034498788963291E-2</v>
      </c>
      <c r="CV11">
        <f t="shared" si="10"/>
        <v>5.034498788963291E-2</v>
      </c>
      <c r="CW11">
        <f t="shared" si="11"/>
        <v>1.0000000000000001E-5</v>
      </c>
      <c r="CX11">
        <v>0.57099999999999995</v>
      </c>
      <c r="CY11">
        <f t="shared" si="12"/>
        <v>0.57099999999999995</v>
      </c>
      <c r="CZ11">
        <f t="shared" si="13"/>
        <v>0.01</v>
      </c>
      <c r="DA11">
        <v>0.3</v>
      </c>
      <c r="DB11">
        <v>0.3</v>
      </c>
      <c r="DC11">
        <v>0.3</v>
      </c>
    </row>
    <row r="12" spans="1:107" x14ac:dyDescent="0.25">
      <c r="A12">
        <v>11</v>
      </c>
      <c r="B12">
        <v>145</v>
      </c>
      <c r="C12" t="str">
        <f t="shared" si="0"/>
        <v>SSComp</v>
      </c>
      <c r="D12">
        <v>0.20319999999999999</v>
      </c>
      <c r="E12">
        <f t="shared" si="8"/>
        <v>203.2</v>
      </c>
      <c r="I12">
        <v>15</v>
      </c>
      <c r="AK12">
        <v>0.7</v>
      </c>
      <c r="BC12">
        <f t="shared" si="1"/>
        <v>-6.0671578560000006</v>
      </c>
      <c r="BD12">
        <f t="shared" si="2"/>
        <v>0.34998462400000002</v>
      </c>
      <c r="BY12">
        <f t="shared" si="3"/>
        <v>0</v>
      </c>
      <c r="CE12">
        <f t="shared" si="4"/>
        <v>4.3770199999999999</v>
      </c>
      <c r="CF12">
        <f t="shared" si="5"/>
        <v>1.3046508611021352</v>
      </c>
      <c r="CJ12">
        <f t="shared" si="6"/>
        <v>5</v>
      </c>
      <c r="CT12">
        <f t="shared" si="7"/>
        <v>10.286341905123237</v>
      </c>
      <c r="CU12">
        <f t="shared" si="9"/>
        <v>100</v>
      </c>
      <c r="CV12">
        <f t="shared" si="10"/>
        <v>100</v>
      </c>
      <c r="CW12">
        <f t="shared" si="11"/>
        <v>1.0000000000000001E-5</v>
      </c>
      <c r="CX12">
        <v>0.57099999999999995</v>
      </c>
      <c r="CY12">
        <f t="shared" si="12"/>
        <v>0.57099999999999995</v>
      </c>
      <c r="CZ12">
        <f t="shared" si="13"/>
        <v>0.01</v>
      </c>
      <c r="DA12">
        <v>0.3</v>
      </c>
      <c r="DB12">
        <v>0.3</v>
      </c>
      <c r="DC12">
        <v>0.3</v>
      </c>
    </row>
    <row r="13" spans="1:107" x14ac:dyDescent="0.25">
      <c r="A13">
        <v>12</v>
      </c>
      <c r="B13">
        <v>165</v>
      </c>
      <c r="C13" t="str">
        <f t="shared" si="0"/>
        <v>SSComp</v>
      </c>
      <c r="D13">
        <v>0.30480000000000002</v>
      </c>
      <c r="E13">
        <f t="shared" si="8"/>
        <v>304.8</v>
      </c>
      <c r="I13">
        <v>30</v>
      </c>
      <c r="AK13">
        <v>0.6</v>
      </c>
      <c r="BC13">
        <f t="shared" si="1"/>
        <v>-5.7267367840000007</v>
      </c>
      <c r="BD13">
        <f t="shared" si="2"/>
        <v>0.36844193599999997</v>
      </c>
      <c r="BY13">
        <f t="shared" si="3"/>
        <v>0</v>
      </c>
      <c r="CE13">
        <f t="shared" si="4"/>
        <v>4.2130700000000001</v>
      </c>
      <c r="CF13">
        <f t="shared" si="5"/>
        <v>1.2380309750927494</v>
      </c>
      <c r="CJ13">
        <f t="shared" si="6"/>
        <v>5</v>
      </c>
      <c r="CT13">
        <f t="shared" si="7"/>
        <v>9.570659339929211</v>
      </c>
      <c r="CU13">
        <f t="shared" si="9"/>
        <v>100</v>
      </c>
      <c r="CV13">
        <f t="shared" si="10"/>
        <v>100</v>
      </c>
      <c r="CW13">
        <f t="shared" si="11"/>
        <v>1.0000000000000001E-5</v>
      </c>
      <c r="CX13">
        <v>0.57099999999999995</v>
      </c>
      <c r="CY13">
        <f t="shared" si="12"/>
        <v>0.57099999999999995</v>
      </c>
      <c r="CZ13">
        <f t="shared" si="13"/>
        <v>0.01</v>
      </c>
      <c r="DA13">
        <v>0.3</v>
      </c>
      <c r="DB13">
        <v>0.3</v>
      </c>
      <c r="DC13">
        <v>0.3</v>
      </c>
    </row>
    <row r="14" spans="1:107" x14ac:dyDescent="0.25">
      <c r="A14">
        <v>13</v>
      </c>
      <c r="B14">
        <v>105</v>
      </c>
      <c r="C14" t="str">
        <f t="shared" si="0"/>
        <v>SSComp</v>
      </c>
      <c r="D14">
        <v>0.40639999999999998</v>
      </c>
      <c r="E14">
        <f t="shared" si="8"/>
        <v>406.4</v>
      </c>
      <c r="I14">
        <v>50</v>
      </c>
      <c r="AK14">
        <v>0.5</v>
      </c>
      <c r="BC14">
        <f t="shared" si="1"/>
        <v>-4.6200157119999998</v>
      </c>
      <c r="BD14">
        <f t="shared" si="2"/>
        <v>0.35624924800000002</v>
      </c>
      <c r="BY14">
        <f t="shared" si="3"/>
        <v>-15</v>
      </c>
      <c r="CE14">
        <f t="shared" si="4"/>
        <v>3.9944699999999997</v>
      </c>
      <c r="CF14">
        <f t="shared" si="5"/>
        <v>0.98307623575594627</v>
      </c>
      <c r="CJ14">
        <f t="shared" si="6"/>
        <v>2.3818428849754718</v>
      </c>
      <c r="CT14">
        <f t="shared" si="7"/>
        <v>2.6858888779337766</v>
      </c>
      <c r="CU14">
        <f t="shared" si="9"/>
        <v>14.671236524486245</v>
      </c>
      <c r="CV14">
        <f t="shared" si="10"/>
        <v>14.671236524486245</v>
      </c>
      <c r="CW14">
        <f t="shared" si="11"/>
        <v>1.0000000000000001E-5</v>
      </c>
      <c r="CX14">
        <v>0.57099999999999995</v>
      </c>
      <c r="CY14">
        <f t="shared" si="12"/>
        <v>0.57099999999999995</v>
      </c>
      <c r="CZ14">
        <f t="shared" si="13"/>
        <v>0.01</v>
      </c>
      <c r="DA14">
        <v>0.3</v>
      </c>
      <c r="DB14">
        <v>0.3</v>
      </c>
      <c r="DC14">
        <v>0.3</v>
      </c>
    </row>
    <row r="15" spans="1:107" x14ac:dyDescent="0.25">
      <c r="A15">
        <v>14</v>
      </c>
      <c r="B15">
        <v>145</v>
      </c>
      <c r="C15" t="str">
        <f t="shared" si="0"/>
        <v>SSComp</v>
      </c>
      <c r="D15">
        <v>0.50800000000000001</v>
      </c>
      <c r="E15">
        <f t="shared" si="8"/>
        <v>508</v>
      </c>
      <c r="I15">
        <v>100</v>
      </c>
      <c r="AK15">
        <v>0.2</v>
      </c>
      <c r="BC15">
        <f t="shared" si="1"/>
        <v>-4.4054946400000006</v>
      </c>
      <c r="BD15">
        <f t="shared" si="2"/>
        <v>0.48415656000000001</v>
      </c>
      <c r="BY15">
        <f t="shared" si="3"/>
        <v>0</v>
      </c>
      <c r="CE15">
        <f t="shared" si="4"/>
        <v>3.4479699999999998</v>
      </c>
      <c r="CF15">
        <f t="shared" si="5"/>
        <v>0.81092838034144732</v>
      </c>
      <c r="CJ15">
        <f t="shared" si="6"/>
        <v>1.129734513403053</v>
      </c>
      <c r="CT15">
        <f t="shared" si="7"/>
        <v>-1.6665925720327883</v>
      </c>
      <c r="CU15">
        <f t="shared" si="9"/>
        <v>0.18888959802468036</v>
      </c>
      <c r="CV15">
        <f t="shared" si="10"/>
        <v>0.18888959802468036</v>
      </c>
      <c r="CW15">
        <f t="shared" si="11"/>
        <v>1.0000000000000001E-5</v>
      </c>
      <c r="CX15">
        <v>0.57099999999999995</v>
      </c>
      <c r="CY15">
        <f t="shared" si="12"/>
        <v>0.57099999999999995</v>
      </c>
      <c r="CZ15">
        <f t="shared" si="13"/>
        <v>0.01</v>
      </c>
      <c r="DA15">
        <v>0.3</v>
      </c>
      <c r="DB15">
        <v>0.3</v>
      </c>
      <c r="DC15">
        <v>0.3</v>
      </c>
    </row>
    <row r="16" spans="1:107" x14ac:dyDescent="0.25">
      <c r="A16">
        <v>15</v>
      </c>
      <c r="B16">
        <v>165</v>
      </c>
      <c r="C16" t="str">
        <f t="shared" si="0"/>
        <v>SSComp</v>
      </c>
      <c r="D16">
        <v>0.60960000000000003</v>
      </c>
      <c r="E16">
        <f t="shared" si="8"/>
        <v>609.6</v>
      </c>
      <c r="I16">
        <v>15</v>
      </c>
      <c r="AK16">
        <v>0.4</v>
      </c>
      <c r="BC16">
        <f t="shared" si="1"/>
        <v>-5.6660735680000007</v>
      </c>
      <c r="BD16">
        <f t="shared" si="2"/>
        <v>0.30561387200000001</v>
      </c>
      <c r="BY16">
        <f t="shared" si="3"/>
        <v>0</v>
      </c>
      <c r="CE16">
        <f t="shared" si="4"/>
        <v>4.3770199999999999</v>
      </c>
      <c r="CF16">
        <f t="shared" si="5"/>
        <v>1.0851636127150084</v>
      </c>
      <c r="CJ16">
        <f t="shared" si="6"/>
        <v>5</v>
      </c>
      <c r="CT16">
        <f t="shared" si="7"/>
        <v>12.360513897091685</v>
      </c>
      <c r="CU16">
        <f t="shared" si="9"/>
        <v>100</v>
      </c>
      <c r="CV16">
        <f t="shared" si="10"/>
        <v>100</v>
      </c>
      <c r="CW16">
        <f t="shared" si="11"/>
        <v>1.0000000000000001E-5</v>
      </c>
      <c r="CX16">
        <v>0.57099999999999995</v>
      </c>
      <c r="CY16">
        <f t="shared" si="12"/>
        <v>0.57099999999999995</v>
      </c>
      <c r="CZ16">
        <f t="shared" si="13"/>
        <v>0.01</v>
      </c>
      <c r="DA16">
        <v>0.3</v>
      </c>
      <c r="DB16">
        <v>0.3</v>
      </c>
      <c r="DC16">
        <v>0.3</v>
      </c>
    </row>
    <row r="17" spans="1:107" x14ac:dyDescent="0.25">
      <c r="A17">
        <v>16</v>
      </c>
      <c r="B17">
        <v>105</v>
      </c>
      <c r="C17" t="str">
        <f t="shared" si="0"/>
        <v>SSComp</v>
      </c>
      <c r="D17">
        <v>0.76200000000000001</v>
      </c>
      <c r="E17">
        <f t="shared" si="8"/>
        <v>762</v>
      </c>
      <c r="I17">
        <v>30</v>
      </c>
      <c r="AK17">
        <v>0.3</v>
      </c>
      <c r="BC17">
        <f t="shared" si="1"/>
        <v>-4.5892669600000007</v>
      </c>
      <c r="BD17">
        <f t="shared" si="2"/>
        <v>0.27802484</v>
      </c>
      <c r="BY17">
        <f t="shared" si="3"/>
        <v>-15</v>
      </c>
      <c r="CE17">
        <f t="shared" si="4"/>
        <v>4.2130700000000001</v>
      </c>
      <c r="CF17">
        <f t="shared" si="5"/>
        <v>0.80352193428404106</v>
      </c>
      <c r="CJ17">
        <f t="shared" si="6"/>
        <v>1.1084729310554529</v>
      </c>
      <c r="CT17">
        <f t="shared" si="7"/>
        <v>-1.3043542960215593E-2</v>
      </c>
      <c r="CU17">
        <f t="shared" si="9"/>
        <v>0.98704115539080384</v>
      </c>
      <c r="CV17">
        <f t="shared" si="10"/>
        <v>0.98704115539080384</v>
      </c>
      <c r="CW17">
        <f t="shared" si="11"/>
        <v>1.0000000000000001E-5</v>
      </c>
      <c r="CX17">
        <v>0.57099999999999995</v>
      </c>
      <c r="CY17">
        <f t="shared" si="12"/>
        <v>0.57099999999999995</v>
      </c>
      <c r="CZ17">
        <f t="shared" si="13"/>
        <v>0.01</v>
      </c>
      <c r="DA17">
        <v>0.3</v>
      </c>
      <c r="DB17">
        <v>0.3</v>
      </c>
      <c r="DC17">
        <v>0.3</v>
      </c>
    </row>
    <row r="18" spans="1:107" x14ac:dyDescent="0.25">
      <c r="A18">
        <v>17</v>
      </c>
      <c r="B18">
        <v>145</v>
      </c>
      <c r="C18" t="str">
        <f t="shared" si="0"/>
        <v>SSComp</v>
      </c>
      <c r="D18">
        <v>0.86360000000000003</v>
      </c>
      <c r="E18">
        <f t="shared" si="8"/>
        <v>863.6</v>
      </c>
      <c r="I18">
        <v>50</v>
      </c>
      <c r="AK18">
        <v>0.5</v>
      </c>
      <c r="BC18">
        <f t="shared" si="1"/>
        <v>-4.8550458880000011</v>
      </c>
      <c r="BD18">
        <f t="shared" si="2"/>
        <v>0.34683215199999995</v>
      </c>
      <c r="BY18">
        <f t="shared" si="3"/>
        <v>0</v>
      </c>
      <c r="CE18">
        <f t="shared" si="4"/>
        <v>3.9944699999999997</v>
      </c>
      <c r="CF18">
        <f t="shared" si="5"/>
        <v>1.0419151245196625</v>
      </c>
      <c r="CJ18">
        <f t="shared" si="6"/>
        <v>5</v>
      </c>
      <c r="CT18">
        <f t="shared" si="7"/>
        <v>10.416195185964192</v>
      </c>
      <c r="CU18">
        <f t="shared" si="9"/>
        <v>100</v>
      </c>
      <c r="CV18">
        <f t="shared" si="10"/>
        <v>100</v>
      </c>
      <c r="CW18">
        <f t="shared" si="11"/>
        <v>1.0000000000000001E-5</v>
      </c>
      <c r="CX18">
        <v>0.57099999999999995</v>
      </c>
      <c r="CY18">
        <f t="shared" si="12"/>
        <v>0.57099999999999995</v>
      </c>
      <c r="CZ18">
        <f t="shared" si="13"/>
        <v>0.01</v>
      </c>
      <c r="DA18">
        <v>0.3</v>
      </c>
      <c r="DB18">
        <v>0.3</v>
      </c>
      <c r="DC18">
        <v>0.3</v>
      </c>
    </row>
    <row r="19" spans="1:107" x14ac:dyDescent="0.25">
      <c r="A19">
        <v>18</v>
      </c>
      <c r="B19">
        <v>165</v>
      </c>
      <c r="C19" t="str">
        <f t="shared" si="0"/>
        <v>SSComp</v>
      </c>
      <c r="D19">
        <v>1.0668</v>
      </c>
      <c r="E19">
        <f t="shared" si="8"/>
        <v>1066.8</v>
      </c>
      <c r="I19">
        <v>100</v>
      </c>
      <c r="AK19">
        <v>0.7</v>
      </c>
      <c r="BC19">
        <f t="shared" si="1"/>
        <v>-3.8540037440000008</v>
      </c>
      <c r="BD19">
        <f t="shared" si="2"/>
        <v>0.423146776</v>
      </c>
      <c r="BY19">
        <f t="shared" si="3"/>
        <v>0</v>
      </c>
      <c r="CE19">
        <f t="shared" si="4"/>
        <v>3.4479699999999998</v>
      </c>
      <c r="CF19">
        <f t="shared" si="5"/>
        <v>1.0143153217868104</v>
      </c>
      <c r="CJ19">
        <f t="shared" si="6"/>
        <v>5</v>
      </c>
      <c r="CT19">
        <f t="shared" si="7"/>
        <v>7.8162308768246405</v>
      </c>
      <c r="CU19">
        <f t="shared" si="9"/>
        <v>100</v>
      </c>
      <c r="CV19">
        <f t="shared" si="10"/>
        <v>100</v>
      </c>
      <c r="CW19">
        <f t="shared" si="11"/>
        <v>1.0000000000000001E-5</v>
      </c>
      <c r="CX19">
        <v>0.57099999999999995</v>
      </c>
      <c r="CY19">
        <f t="shared" si="12"/>
        <v>0.57099999999999995</v>
      </c>
      <c r="CZ19">
        <f t="shared" si="13"/>
        <v>0.01</v>
      </c>
      <c r="DA19">
        <v>0.3</v>
      </c>
      <c r="DB19">
        <v>0.3</v>
      </c>
      <c r="DC19">
        <v>0.3</v>
      </c>
    </row>
    <row r="20" spans="1:107" x14ac:dyDescent="0.25">
      <c r="A20">
        <v>19</v>
      </c>
      <c r="B20">
        <v>115</v>
      </c>
      <c r="C20" t="str">
        <f t="shared" si="0"/>
        <v>SSComp</v>
      </c>
      <c r="D20">
        <v>0.60960000000000003</v>
      </c>
      <c r="E20">
        <f t="shared" si="8"/>
        <v>609.6</v>
      </c>
      <c r="I20">
        <v>150</v>
      </c>
      <c r="AK20">
        <v>0.6</v>
      </c>
      <c r="BC20">
        <f t="shared" si="1"/>
        <v>-3.2759735680000004</v>
      </c>
      <c r="BD20">
        <f t="shared" si="2"/>
        <v>0.55806387200000007</v>
      </c>
      <c r="BY20">
        <f t="shared" si="3"/>
        <v>-5</v>
      </c>
      <c r="CE20">
        <f t="shared" si="4"/>
        <v>2.9014699999999998</v>
      </c>
      <c r="CF20">
        <f t="shared" si="5"/>
        <v>0.95301621048434415</v>
      </c>
      <c r="CJ20">
        <f t="shared" si="6"/>
        <v>1.8636637964233149</v>
      </c>
      <c r="CT20">
        <f t="shared" si="7"/>
        <v>-0.66048298424285967</v>
      </c>
      <c r="CU20">
        <f t="shared" si="9"/>
        <v>0.51660176371546651</v>
      </c>
      <c r="CV20">
        <f t="shared" si="10"/>
        <v>0.51660176371546651</v>
      </c>
      <c r="CW20">
        <f t="shared" si="11"/>
        <v>1.0000000000000001E-5</v>
      </c>
      <c r="CX20">
        <v>0.57099999999999995</v>
      </c>
      <c r="CY20">
        <f t="shared" si="12"/>
        <v>0.57099999999999995</v>
      </c>
      <c r="CZ20">
        <f t="shared" si="13"/>
        <v>0.01</v>
      </c>
      <c r="DA20">
        <v>0.3</v>
      </c>
      <c r="DB20">
        <v>0.3</v>
      </c>
      <c r="DC20">
        <v>0.3</v>
      </c>
    </row>
    <row r="21" spans="1:107" x14ac:dyDescent="0.25">
      <c r="A21">
        <v>20</v>
      </c>
      <c r="B21">
        <v>135</v>
      </c>
      <c r="C21" t="str">
        <f t="shared" si="0"/>
        <v>SSComp</v>
      </c>
      <c r="D21">
        <v>0.60960000000000003</v>
      </c>
      <c r="E21">
        <f t="shared" si="8"/>
        <v>609.6</v>
      </c>
      <c r="I21">
        <v>200</v>
      </c>
      <c r="AK21">
        <v>1.5</v>
      </c>
      <c r="BC21">
        <f t="shared" si="1"/>
        <v>-2.7042235680000006</v>
      </c>
      <c r="BD21">
        <f t="shared" si="2"/>
        <v>0.67006387200000006</v>
      </c>
      <c r="BY21">
        <f t="shared" si="3"/>
        <v>0</v>
      </c>
      <c r="CE21">
        <f t="shared" si="4"/>
        <v>2.3549699999999998</v>
      </c>
      <c r="CF21">
        <f t="shared" si="5"/>
        <v>1.3204791042383408</v>
      </c>
      <c r="CJ21">
        <f t="shared" si="6"/>
        <v>5</v>
      </c>
      <c r="CT21">
        <f t="shared" si="7"/>
        <v>3.4619752070441425</v>
      </c>
      <c r="CU21">
        <f t="shared" si="9"/>
        <v>31.879883737745445</v>
      </c>
      <c r="CV21">
        <f t="shared" si="10"/>
        <v>31.879883737745445</v>
      </c>
      <c r="CW21">
        <f t="shared" si="11"/>
        <v>1.0000000000000001E-5</v>
      </c>
      <c r="CX21">
        <v>0.57099999999999995</v>
      </c>
      <c r="CY21">
        <f t="shared" si="12"/>
        <v>0.57099999999999995</v>
      </c>
      <c r="CZ21">
        <f t="shared" si="13"/>
        <v>0.01</v>
      </c>
      <c r="DA21">
        <v>0.3</v>
      </c>
      <c r="DB21">
        <v>0.3</v>
      </c>
      <c r="DC21">
        <v>0.3</v>
      </c>
    </row>
    <row r="23" spans="1:107" x14ac:dyDescent="0.25">
      <c r="A23" t="s">
        <v>0</v>
      </c>
      <c r="B23" t="s">
        <v>82</v>
      </c>
      <c r="C23" t="s">
        <v>83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12</v>
      </c>
      <c r="S23" t="s">
        <v>16</v>
      </c>
      <c r="T23" t="s">
        <v>17</v>
      </c>
      <c r="U23" t="s">
        <v>18</v>
      </c>
      <c r="V23" t="s">
        <v>19</v>
      </c>
      <c r="W23" t="s">
        <v>20</v>
      </c>
      <c r="X23" t="s">
        <v>21</v>
      </c>
      <c r="Y23" t="s">
        <v>22</v>
      </c>
      <c r="Z23" t="s">
        <v>23</v>
      </c>
      <c r="AB23" t="s">
        <v>25</v>
      </c>
      <c r="AC23" t="s">
        <v>131</v>
      </c>
      <c r="AD23" t="s">
        <v>132</v>
      </c>
      <c r="AK23" t="s">
        <v>58</v>
      </c>
      <c r="AL23" t="s">
        <v>32</v>
      </c>
      <c r="AM23" t="s">
        <v>33</v>
      </c>
      <c r="AN23" t="s">
        <v>34</v>
      </c>
      <c r="AS23" t="s">
        <v>133</v>
      </c>
      <c r="AT23" t="s">
        <v>134</v>
      </c>
      <c r="AU23" t="s">
        <v>135</v>
      </c>
      <c r="AV23" t="s">
        <v>136</v>
      </c>
      <c r="AW23" t="s">
        <v>137</v>
      </c>
      <c r="AX23" t="s">
        <v>87</v>
      </c>
      <c r="AY23" t="s">
        <v>39</v>
      </c>
      <c r="BC23" t="s">
        <v>40</v>
      </c>
      <c r="BD23" t="s">
        <v>41</v>
      </c>
      <c r="BE23" t="s">
        <v>42</v>
      </c>
      <c r="BH23" t="s">
        <v>45</v>
      </c>
      <c r="BI23" t="s">
        <v>46</v>
      </c>
      <c r="BJ23" t="s">
        <v>47</v>
      </c>
      <c r="BK23" t="s">
        <v>48</v>
      </c>
      <c r="BL23" t="s">
        <v>49</v>
      </c>
      <c r="BM23" t="s">
        <v>50</v>
      </c>
      <c r="BN23" t="s">
        <v>51</v>
      </c>
      <c r="BO23" t="s">
        <v>52</v>
      </c>
      <c r="BP23" t="s">
        <v>53</v>
      </c>
      <c r="BQ23" t="s">
        <v>90</v>
      </c>
      <c r="BR23" t="s">
        <v>91</v>
      </c>
      <c r="BS23" t="s">
        <v>92</v>
      </c>
      <c r="BT23" t="s">
        <v>93</v>
      </c>
      <c r="BU23" t="s">
        <v>94</v>
      </c>
      <c r="BV23" t="s">
        <v>95</v>
      </c>
      <c r="BW23" t="s">
        <v>96</v>
      </c>
      <c r="BX23" t="s">
        <v>97</v>
      </c>
      <c r="BZ23" t="s">
        <v>88</v>
      </c>
      <c r="CA23" t="s">
        <v>89</v>
      </c>
      <c r="CB23" t="s">
        <v>56</v>
      </c>
      <c r="CC23" t="s">
        <v>54</v>
      </c>
      <c r="CD23" t="s">
        <v>55</v>
      </c>
      <c r="CE23" t="s">
        <v>57</v>
      </c>
      <c r="CL23" t="s">
        <v>98</v>
      </c>
      <c r="CM23" t="s">
        <v>99</v>
      </c>
      <c r="CT23" t="s">
        <v>66</v>
      </c>
      <c r="CU23" t="s">
        <v>67</v>
      </c>
      <c r="CX23" t="s">
        <v>68</v>
      </c>
      <c r="DA23" t="s">
        <v>69</v>
      </c>
    </row>
    <row r="24" spans="1:107" x14ac:dyDescent="0.25">
      <c r="A24">
        <v>1</v>
      </c>
      <c r="B24">
        <v>39</v>
      </c>
      <c r="C24" t="str">
        <f>IF(AND(B24&gt;=0,B24&lt;=5),"Normal",IF(AND(B24&gt;5,B24&lt;90),"SSTens",IF(AND(B24&gt;=90,B24&lt;175),"SSComp",IF(AND(B24&gt;=175,B24&lt;=180),"Reverse"))))</f>
        <v>SSTens</v>
      </c>
      <c r="D24">
        <v>0.20319999999999999</v>
      </c>
      <c r="E24">
        <f t="shared" ref="E24:E63" si="14">D24*1000</f>
        <v>203.2</v>
      </c>
      <c r="F24">
        <v>5.5599999999999998E-3</v>
      </c>
      <c r="G24">
        <f t="shared" ref="G24:G63" si="15">F24*1000</f>
        <v>5.56</v>
      </c>
      <c r="H24">
        <f t="shared" ref="H24:H63" si="16">D24/F24</f>
        <v>36.546762589928058</v>
      </c>
      <c r="I24">
        <v>15</v>
      </c>
      <c r="J24" t="s">
        <v>70</v>
      </c>
      <c r="K24">
        <f>IF(J24="Grade-B",3,IF(J24="X-42",3,IF(J24="X-52",8,IF(J24="X-60",8,IF(J24="X-70",14,IF(J24="X-80",15,8))))))</f>
        <v>8</v>
      </c>
      <c r="L24">
        <f>IF(J24="Grade-B",8,IF(J24="X-42",9,IF(J24="X-52",10,IF(J24="X-60",12,IF(J24="X-70",15,IF(J24="X-80",20,10))))))</f>
        <v>10</v>
      </c>
      <c r="M24">
        <f>IF(J24="Grade-B",241,IF(J24="X-42",290,IF(J24="X-52",359,IF(J24="X-60",414,IF(J24="X-70",483,IF(J24="X-80",552,359))))))*1000</f>
        <v>359000</v>
      </c>
      <c r="N24">
        <f>IF(J24="Grade-B",344,IF(J24="X-42",414,IF(J24="X-52",455,IF(J24="X-60",517,IF(J24="X-70",565,IF(J24="X-80",625,M24*1.2/1000))))))*1000</f>
        <v>455000</v>
      </c>
      <c r="O24">
        <f>N24/200000000*(1+K24/(1+L24)*(N24/M24)^L24)*100</f>
        <v>1.9969902892117808</v>
      </c>
      <c r="S24" t="s">
        <v>78</v>
      </c>
      <c r="T24" t="s">
        <v>79</v>
      </c>
      <c r="U24">
        <f>IF(T24="medium dense",18,IF(T24="dense",18.5,IF(T24="very dense",19,IF(T24="soft",17.5,IF(T24="medium stiff",18,IF(T24="stiff",18.5,0))))))</f>
        <v>18</v>
      </c>
      <c r="V24">
        <f>IF(T24="medium dense",37,IF(T24="dense",40,IF(T24="very dense",43,0)))</f>
        <v>37</v>
      </c>
      <c r="W24">
        <f>IF(T24="soft",37.5,IF(T24="medium stiff",75,IF(T24="stiff",125,0)))</f>
        <v>0</v>
      </c>
      <c r="X24">
        <f>IF(T24="soft",1.1,IF(T24="medium stiff",0.72,IF(T24="stiff",0.4,0)))</f>
        <v>0</v>
      </c>
      <c r="Y24">
        <v>0.9</v>
      </c>
      <c r="Z24">
        <v>1</v>
      </c>
      <c r="AB24">
        <f t="shared" ref="AB24:AB63" si="17">IF(S24="clay",X24*W24,IF(S24="sand",Z24*U24*TAN(RADIANS(Y24*V24))))*PI()*D24</f>
        <v>7.5479720641402661</v>
      </c>
      <c r="AC24">
        <f t="shared" ref="AC24:AC43" si="18">IF(AB24&lt;70,1,0)</f>
        <v>1</v>
      </c>
      <c r="AD24">
        <f t="shared" ref="AD24:AD43" si="19">IF(H24&lt;100,1,0)</f>
        <v>1</v>
      </c>
      <c r="AK24">
        <v>0.75</v>
      </c>
      <c r="AL24">
        <f t="shared" ref="AL24:AL43" si="20">IF(AND(B24&gt;=5,B24&lt;45),-0.05402*(B24-45)-1.82829,IF(AND(B24&gt;=45,B24&lt;85),0.00735*(B24-75)-1.60779))</f>
        <v>-1.50417</v>
      </c>
      <c r="AM24">
        <f t="shared" ref="AM24:AM43" si="21">AS24*LN(I24)+AT24*AC24+AU24*(1-AC24)+AV24*AD24*(H24-100)+AW24*(1-AD24)</f>
        <v>0.47067295541438414</v>
      </c>
      <c r="AN24">
        <f t="shared" ref="AN24:AN43" si="22">IF(AND(B24&gt;=5,B24&lt;45),0.01347*(B24-45)+0.37664,IF(AND(B24&gt;=45,B24&lt;85),0.00484*(B24-75)+0.52187))</f>
        <v>0.29581999999999997</v>
      </c>
      <c r="AS24">
        <f t="shared" ref="AS24:AS43" si="23">IF(AND(B24&gt;=5,B24&lt;45),-0.00301*(B24-45)-0.01591,IF(AND(B24&gt;=45,B24&lt;85),-0.02185*(B24-75)-0.67156))</f>
        <v>2.1499999999999991E-3</v>
      </c>
      <c r="AT24">
        <f t="shared" ref="AT24:AT43" si="24">IF(AND(B24&gt;=5,B24&lt;45),0.02182*(B24-45)+0.49488,IF(AND(B24&gt;=45,B24&lt;85),0.05619*(B24-75)+2.18087))</f>
        <v>0.36396000000000001</v>
      </c>
      <c r="AU24">
        <f t="shared" ref="AU24:AU43" si="25">IF(AND(B24&gt;=5,B24&lt;45),0.02436*(B24-45)+0.47831,IF(AND(B24&gt;=45,B24&lt;85),0.0643*(B24-75)+2.40733))</f>
        <v>0.33215</v>
      </c>
      <c r="AV24">
        <f t="shared" ref="AV24:AV43" si="26">IF(AND(B24&gt;=5,B24&lt;45),-0.00001*(B24-45)-0.00165,IF(AND(B24&gt;=45,B24&lt;85),-0.00153))</f>
        <v>-1.5900000000000001E-3</v>
      </c>
      <c r="AW24">
        <f t="shared" ref="AW24:AW43" si="27">IF(AND(B24&gt;=5,B24&lt;45),0.00228*(B24-45)+0.10021,IF(AND(B24&gt;=45,B24&lt;85),0.00144*(B24-75)+0.14358))</f>
        <v>8.6529999999999996E-2</v>
      </c>
      <c r="AY24">
        <f t="shared" ref="AY24:AY43" si="28">AL24+AM24*LN(O24)+AN24*LN(I24)</f>
        <v>-0.37753778571031071</v>
      </c>
      <c r="BC24">
        <f t="shared" ref="BC24:BC43" si="29">IF(AND(B24&gt;=5,B24&lt;45),-0.02174*(B24-45)+0.16235,IF(AND(B24&gt;=45,B24&lt;85),-0.02787*(B24-75)-0.67388))</f>
        <v>0.29278999999999999</v>
      </c>
      <c r="BD24">
        <f t="shared" ref="BD24:BD43" si="30">IF(AND(B24&gt;=5,B24&lt;45),0.00203*(B24-45)+0.24407,IF(AND(B24&gt;=45,B24&lt;85),0.00361*(B24-75)+0.35249))</f>
        <v>0.23189000000000001</v>
      </c>
      <c r="BE24">
        <f t="shared" ref="BE24:BE43" si="31">IF(AND(B24&gt;=5,B24&lt;45),-0.02801*(B24-45)+1.64437,IF(AND(B24&gt;=45,B24&lt;85),0.00794*(B24-75)+1.8827))</f>
        <v>1.81243</v>
      </c>
      <c r="BH24">
        <f t="shared" ref="BH24:BH43" si="32">IF(AND(B24&gt;=5,B24&lt;45),-0.0001*(B24-45)-0.00387,IF(AND(B24&gt;=45,B24&lt;85),-0.00002*(B24-75)-0.00456))</f>
        <v>-3.2700000000000003E-3</v>
      </c>
      <c r="BI24">
        <f t="shared" ref="BI24:BI43" si="33">IF(AND(B24&gt;=5,B24&lt;45),-0.00114*(B24-45)+0.00514,IF(AND(B24&gt;=45,B24&lt;85),0.00057*(B24-75)+0.02215))</f>
        <v>1.1979999999999999E-2</v>
      </c>
      <c r="BJ24">
        <f t="shared" ref="BJ24:BJ43" si="34">IF(AND(B24&gt;=5,B24&lt;45),0.01436*(B24-45)-0.12124,IF(AND(B24&gt;=45,B24&lt;85),-0.00844*(B24-75)-0.37439))</f>
        <v>-0.2074</v>
      </c>
      <c r="BK24">
        <f t="shared" ref="BK24:BK43" si="35">IF(AND(B24&gt;=5,B24&lt;45),0.00002*(B24-45)+0.00092,IF(AND(B24&gt;=45,B24&lt;85),0.00002*(B24-75)+0.00156))</f>
        <v>8.0000000000000004E-4</v>
      </c>
      <c r="BL24">
        <f t="shared" ref="BL24:BL43" si="36">IF(AND(B24&gt;=5,B24&lt;45),0.01326*(B24-45)+0.97745,IF(AND(B24&gt;=45,B24&lt;85),-0.00799*(B24-75)+0.73788))</f>
        <v>0.89789000000000008</v>
      </c>
      <c r="BM24">
        <f t="shared" ref="BM24:BM43" si="37">IF(AND(B24&gt;=5,B24&lt;45),0.00061*(B24-45)+0.00602,IF(AND(B24&gt;=45,B24&lt;85),-0.00081*(B24-75)-0.01826))</f>
        <v>2.3600000000000001E-3</v>
      </c>
      <c r="BN24">
        <f t="shared" ref="BN24:BN43" si="38">IF(AND(B24&gt;=5,B24&lt;45),-0.00728*(B24-45)-0.06927,IF(AND(B24&gt;=45,B24&lt;85),0.00522*(B24-75)+0.08748))</f>
        <v>-2.5590000000000002E-2</v>
      </c>
      <c r="BO24">
        <f t="shared" ref="BO24:BO43" si="39">IF(AND(B24&gt;=5,B24&lt;45),0.0148*(B24-45)+0.46008,IF(AND(B24&gt;=45,B24&lt;85),-0.00924*(B24-75)+0.18293))</f>
        <v>0.37128</v>
      </c>
      <c r="BP24">
        <f t="shared" ref="BP24:BP43" si="40">IF(AND(B24&gt;=5,B24&lt;45),0.00272*(B24-45)+0.11565,IF(AND(B24&gt;=45,B24&lt;85),0.00122*(B24-75)+0.15234))</f>
        <v>9.9330000000000002E-2</v>
      </c>
      <c r="CB24">
        <f t="shared" ref="CB24:CB63" si="41">IF(S24="sand",1,0)</f>
        <v>1</v>
      </c>
      <c r="CC24">
        <f t="shared" ref="CC24:CC43" si="42">IF(AK24&lt;EXP(AY24),1,0)</f>
        <v>0</v>
      </c>
      <c r="CD24">
        <f t="shared" ref="CD24:CD43" si="43">IF(I24&lt;50,1,0)</f>
        <v>1</v>
      </c>
      <c r="CE24">
        <f t="shared" ref="CE24:CE63" si="44">CL24+CM24</f>
        <v>0.96671071957490984</v>
      </c>
      <c r="CL24">
        <f t="shared" ref="CL24:CL43" si="45">CC24*(BH24+BI24*AB24+BJ24*CD24*(I24-50)+BK24*(1-CD24)+BL24*H24)</f>
        <v>0</v>
      </c>
      <c r="CM24">
        <f t="shared" ref="CM24:CM43" si="46">(1-CC24)*(BM24+BN24*CD24*(I24-50)+BO24*(1-CD24)+BP24*LN(O24))</f>
        <v>0.96671071957490984</v>
      </c>
      <c r="CT24">
        <f t="shared" ref="CT24:CT43" si="47">BC24+CE24*LN(AK24/EXP(AY24))+BD24*LN(H24)+CB24*BE24*LN(AB24)</f>
        <v>4.877558685546262</v>
      </c>
      <c r="CU24">
        <f>MAX(MIN(EXP(CT24),100),0.00001)</f>
        <v>100</v>
      </c>
      <c r="CV24">
        <f>IF(OR($C24="SSComp",$C24="Reverse"),CU24,0.00001)</f>
        <v>1.0000000000000001E-5</v>
      </c>
      <c r="CW24">
        <f>IF(OR($C24="SSTens",$C24="Normal"),CU24,0.00001)</f>
        <v>100</v>
      </c>
      <c r="CX24">
        <f t="shared" ref="CX24:CX43" si="48">IF(AND(B24&gt;=5,B24&lt;45),0.00302*(B24-45)+0.53947,IF(AND(B24&gt;=45,B24&lt;85),0.00428*(B24-75)+0.66796))</f>
        <v>0.52134999999999998</v>
      </c>
      <c r="CY24">
        <f>IF(OR($C24="SSComp",$C24="Reverse"),CX24,0.01)</f>
        <v>0.01</v>
      </c>
      <c r="CZ24">
        <f>IF(OR($C24="SSTens",$C24="Normal"),CX24,0.01)</f>
        <v>0.52134999999999998</v>
      </c>
      <c r="DA24">
        <v>0.3</v>
      </c>
      <c r="DB24">
        <v>0.3</v>
      </c>
      <c r="DC24">
        <v>0.3</v>
      </c>
    </row>
    <row r="25" spans="1:107" x14ac:dyDescent="0.25">
      <c r="A25">
        <v>2</v>
      </c>
      <c r="B25">
        <v>69</v>
      </c>
      <c r="C25" t="str">
        <f t="shared" ref="C25:C63" si="49">IF(AND(B25&gt;=0,B25&lt;=5),"Normal",IF(AND(B25&gt;5,B25&lt;90),"SSTens",IF(AND(B25&gt;=90,B25&lt;175),"SSComp",IF(AND(B25&gt;=175,B25&lt;=180),"Reverse"))))</f>
        <v>SSTens</v>
      </c>
      <c r="D25">
        <v>0.30480000000000002</v>
      </c>
      <c r="E25">
        <f t="shared" si="14"/>
        <v>304.8</v>
      </c>
      <c r="F25">
        <v>7.1399999999999996E-3</v>
      </c>
      <c r="G25">
        <f t="shared" si="15"/>
        <v>7.14</v>
      </c>
      <c r="H25">
        <f t="shared" si="16"/>
        <v>42.689075630252105</v>
      </c>
      <c r="I25">
        <v>30</v>
      </c>
      <c r="J25" t="s">
        <v>73</v>
      </c>
      <c r="K25">
        <f t="shared" ref="K25:K43" si="50">IF(J25="Grade-B",3,IF(J25="X-42",3,IF(J25="X-52",8,IF(J25="X-60",8,IF(J25="X-70",14,IF(J25="X-80",15,8))))))</f>
        <v>8</v>
      </c>
      <c r="L25">
        <f t="shared" ref="L25:L43" si="51">IF(J25="Grade-B",8,IF(J25="X-42",9,IF(J25="X-52",10,IF(J25="X-60",12,IF(J25="X-70",15,IF(J25="X-80",20,10))))))</f>
        <v>12</v>
      </c>
      <c r="M25">
        <f t="shared" ref="M25:M43" si="52">IF(J25="Grade-B",241,IF(J25="X-42",290,IF(J25="X-52",359,IF(J25="X-60",414,IF(J25="X-70",483,IF(J25="X-80",552,359))))))*1000</f>
        <v>414000</v>
      </c>
      <c r="N25">
        <f t="shared" ref="N25:N43" si="53">IF(J25="Grade-B",344,IF(J25="X-42",414,IF(J25="X-52",455,IF(J25="X-60",517,IF(J25="X-70",565,IF(J25="X-80",625,M25*1.2/1000))))))*1000</f>
        <v>517000</v>
      </c>
      <c r="O25">
        <f t="shared" ref="O25:O43" si="54">N25/200000000*(1+K25/(1+L25)*(N25/M25)^L25)*100</f>
        <v>2.5466769467238102</v>
      </c>
      <c r="S25" t="s">
        <v>78</v>
      </c>
      <c r="T25" t="s">
        <v>79</v>
      </c>
      <c r="U25">
        <f t="shared" ref="U25:U43" si="55">IF(T25="medium dense",18,IF(T25="dense",18.5,IF(T25="very dense",19,IF(T25="soft",17.5,IF(T25="medium stiff",18,IF(T25="stiff",18.5,0))))))</f>
        <v>18</v>
      </c>
      <c r="V25">
        <f t="shared" ref="V25:V43" si="56">IF(T25="medium dense",37,IF(T25="dense",40,IF(T25="very dense",43,0)))</f>
        <v>37</v>
      </c>
      <c r="W25">
        <f t="shared" ref="W25:W43" si="57">IF(T25="soft",37.5,IF(T25="medium stiff",75,IF(T25="stiff",125,0)))</f>
        <v>0</v>
      </c>
      <c r="X25">
        <f t="shared" ref="X25:X43" si="58">IF(T25="soft",1.1,IF(T25="medium stiff",0.72,IF(T25="stiff",0.4,0)))</f>
        <v>0</v>
      </c>
      <c r="Y25">
        <v>0.9</v>
      </c>
      <c r="Z25">
        <v>2</v>
      </c>
      <c r="AB25">
        <f t="shared" si="17"/>
        <v>22.6439161924208</v>
      </c>
      <c r="AC25">
        <f t="shared" si="18"/>
        <v>1</v>
      </c>
      <c r="AD25">
        <f t="shared" si="19"/>
        <v>1</v>
      </c>
      <c r="AK25">
        <v>0.75</v>
      </c>
      <c r="AL25">
        <f t="shared" si="20"/>
        <v>-1.6518900000000001</v>
      </c>
      <c r="AM25">
        <f t="shared" si="21"/>
        <v>9.3204577392585711E-2</v>
      </c>
      <c r="AN25">
        <f t="shared" si="22"/>
        <v>0.49282999999999993</v>
      </c>
      <c r="AS25">
        <f t="shared" si="23"/>
        <v>-0.54046000000000005</v>
      </c>
      <c r="AT25">
        <f t="shared" si="24"/>
        <v>1.8437300000000001</v>
      </c>
      <c r="AU25">
        <f t="shared" si="25"/>
        <v>2.0215299999999998</v>
      </c>
      <c r="AV25">
        <f t="shared" si="26"/>
        <v>-1.5299999999999999E-3</v>
      </c>
      <c r="AW25">
        <f t="shared" si="27"/>
        <v>0.13494</v>
      </c>
      <c r="AY25">
        <f t="shared" si="28"/>
        <v>0.11144875203180549</v>
      </c>
      <c r="BC25">
        <f t="shared" si="29"/>
        <v>-0.50666000000000011</v>
      </c>
      <c r="BD25">
        <f t="shared" si="30"/>
        <v>0.33083000000000001</v>
      </c>
      <c r="BE25">
        <f t="shared" si="31"/>
        <v>1.8350600000000001</v>
      </c>
      <c r="BH25">
        <f t="shared" si="32"/>
        <v>-4.4399999999999995E-3</v>
      </c>
      <c r="BI25">
        <f t="shared" si="33"/>
        <v>1.873E-2</v>
      </c>
      <c r="BJ25">
        <f t="shared" si="34"/>
        <v>-0.32374999999999998</v>
      </c>
      <c r="BK25">
        <f t="shared" si="35"/>
        <v>1.4399999999999999E-3</v>
      </c>
      <c r="BL25">
        <f t="shared" si="36"/>
        <v>0.78581999999999996</v>
      </c>
      <c r="BM25">
        <f t="shared" si="37"/>
        <v>-1.3399999999999999E-2</v>
      </c>
      <c r="BN25">
        <f t="shared" si="38"/>
        <v>5.6160000000000002E-2</v>
      </c>
      <c r="BO25">
        <f t="shared" si="39"/>
        <v>0.23837000000000003</v>
      </c>
      <c r="BP25">
        <f t="shared" si="40"/>
        <v>0.14502000000000001</v>
      </c>
      <c r="CB25">
        <f t="shared" si="41"/>
        <v>1</v>
      </c>
      <c r="CC25">
        <f t="shared" si="42"/>
        <v>1</v>
      </c>
      <c r="CD25">
        <f t="shared" si="43"/>
        <v>1</v>
      </c>
      <c r="CE25">
        <f t="shared" si="44"/>
        <v>40.440609962048754</v>
      </c>
      <c r="CL25">
        <f t="shared" si="45"/>
        <v>40.440609962048754</v>
      </c>
      <c r="CM25">
        <f t="shared" si="46"/>
        <v>0</v>
      </c>
      <c r="CT25">
        <f t="shared" si="47"/>
        <v>-9.6806494452477772</v>
      </c>
      <c r="CU25">
        <f t="shared" ref="CU25:CU63" si="59">MAX(MIN(EXP(CT25),100),0.00001)</f>
        <v>6.2480912663588663E-5</v>
      </c>
      <c r="CV25">
        <f>IF(OR($C25="SSComp",$C25="Reverse"),CU25,0.00001)</f>
        <v>1.0000000000000001E-5</v>
      </c>
      <c r="CW25">
        <f>IF(OR($C25="SSTens",$C25="Normal"),CU25,0.00001)</f>
        <v>6.2480912663588663E-5</v>
      </c>
      <c r="CX25">
        <f t="shared" si="48"/>
        <v>0.64227999999999996</v>
      </c>
      <c r="CY25">
        <f>IF(OR($C25="SSComp",$C25="Reverse"),CX25,0.01)</f>
        <v>0.01</v>
      </c>
      <c r="CZ25">
        <f>IF(OR($C25="SSTens",$C25="Normal"),CX25,0.01)</f>
        <v>0.64227999999999996</v>
      </c>
      <c r="DA25">
        <v>0.3</v>
      </c>
      <c r="DB25">
        <v>0.3</v>
      </c>
      <c r="DC25">
        <v>0.3</v>
      </c>
    </row>
    <row r="26" spans="1:107" x14ac:dyDescent="0.25">
      <c r="A26">
        <v>3</v>
      </c>
      <c r="B26">
        <v>28</v>
      </c>
      <c r="C26" t="str">
        <f t="shared" si="49"/>
        <v>SSTens</v>
      </c>
      <c r="D26">
        <v>0.40639999999999998</v>
      </c>
      <c r="E26">
        <f t="shared" si="14"/>
        <v>406.4</v>
      </c>
      <c r="F26">
        <v>9.5299999999999985E-3</v>
      </c>
      <c r="G26">
        <f t="shared" si="15"/>
        <v>9.5299999999999994</v>
      </c>
      <c r="H26">
        <f t="shared" si="16"/>
        <v>42.644281217208821</v>
      </c>
      <c r="I26">
        <v>50</v>
      </c>
      <c r="J26" t="s">
        <v>75</v>
      </c>
      <c r="K26">
        <f t="shared" si="50"/>
        <v>14</v>
      </c>
      <c r="L26">
        <f t="shared" si="51"/>
        <v>15</v>
      </c>
      <c r="M26">
        <f t="shared" si="52"/>
        <v>483000</v>
      </c>
      <c r="N26">
        <f t="shared" si="53"/>
        <v>565000</v>
      </c>
      <c r="O26">
        <f t="shared" si="54"/>
        <v>2.8799444073326219</v>
      </c>
      <c r="S26" t="s">
        <v>78</v>
      </c>
      <c r="T26" t="s">
        <v>79</v>
      </c>
      <c r="U26">
        <f t="shared" si="55"/>
        <v>18</v>
      </c>
      <c r="V26">
        <f t="shared" si="56"/>
        <v>37</v>
      </c>
      <c r="W26">
        <f t="shared" si="57"/>
        <v>0</v>
      </c>
      <c r="X26">
        <f t="shared" si="58"/>
        <v>0</v>
      </c>
      <c r="Y26">
        <v>0.9</v>
      </c>
      <c r="Z26">
        <v>1</v>
      </c>
      <c r="AB26">
        <f t="shared" si="17"/>
        <v>15.095944128280532</v>
      </c>
      <c r="AC26">
        <f t="shared" si="18"/>
        <v>1</v>
      </c>
      <c r="AD26">
        <f t="shared" si="19"/>
        <v>1</v>
      </c>
      <c r="AK26">
        <v>0.75</v>
      </c>
      <c r="AL26">
        <f t="shared" si="20"/>
        <v>-0.90995000000000004</v>
      </c>
      <c r="AM26">
        <f t="shared" si="21"/>
        <v>0.34676439496992739</v>
      </c>
      <c r="AN26">
        <f t="shared" si="22"/>
        <v>0.14764999999999998</v>
      </c>
      <c r="AS26">
        <f t="shared" si="23"/>
        <v>3.526E-2</v>
      </c>
      <c r="AT26">
        <f t="shared" si="24"/>
        <v>0.12393999999999999</v>
      </c>
      <c r="AU26">
        <f t="shared" si="25"/>
        <v>6.4190000000000025E-2</v>
      </c>
      <c r="AV26">
        <f t="shared" si="26"/>
        <v>-1.48E-3</v>
      </c>
      <c r="AW26">
        <f t="shared" si="27"/>
        <v>6.1449999999999998E-2</v>
      </c>
      <c r="AY26">
        <f t="shared" si="28"/>
        <v>3.4457514445691229E-2</v>
      </c>
      <c r="BC26">
        <f t="shared" si="29"/>
        <v>0.53193000000000001</v>
      </c>
      <c r="BD26">
        <f t="shared" si="30"/>
        <v>0.20956000000000002</v>
      </c>
      <c r="BE26">
        <f t="shared" si="31"/>
        <v>2.1205400000000001</v>
      </c>
      <c r="BH26">
        <f t="shared" si="32"/>
        <v>-2.1700000000000001E-3</v>
      </c>
      <c r="BI26">
        <f t="shared" si="33"/>
        <v>2.4519999999999997E-2</v>
      </c>
      <c r="BJ26">
        <f t="shared" si="34"/>
        <v>-0.36536000000000002</v>
      </c>
      <c r="BK26">
        <f t="shared" si="35"/>
        <v>5.8E-4</v>
      </c>
      <c r="BL26">
        <f t="shared" si="36"/>
        <v>0.75203000000000009</v>
      </c>
      <c r="BM26">
        <f t="shared" si="37"/>
        <v>-4.3499999999999988E-3</v>
      </c>
      <c r="BN26">
        <f t="shared" si="38"/>
        <v>5.4489999999999997E-2</v>
      </c>
      <c r="BO26">
        <f t="shared" si="39"/>
        <v>0.20848</v>
      </c>
      <c r="BP26">
        <f t="shared" si="40"/>
        <v>6.9409999999999999E-2</v>
      </c>
      <c r="CB26">
        <f t="shared" si="41"/>
        <v>1</v>
      </c>
      <c r="CC26">
        <f t="shared" si="42"/>
        <v>1</v>
      </c>
      <c r="CD26">
        <f t="shared" si="43"/>
        <v>0</v>
      </c>
      <c r="CE26">
        <f t="shared" si="44"/>
        <v>32.43834135380299</v>
      </c>
      <c r="CL26">
        <f t="shared" si="45"/>
        <v>32.43834135380299</v>
      </c>
      <c r="CM26">
        <f t="shared" si="46"/>
        <v>0</v>
      </c>
      <c r="CT26">
        <f t="shared" si="47"/>
        <v>-3.3752384519824616</v>
      </c>
      <c r="CU26">
        <f t="shared" si="59"/>
        <v>3.4209959906251142E-2</v>
      </c>
      <c r="CV26">
        <f t="shared" ref="CV26:CV63" si="60">IF(OR($C26="SSComp",$C26="Reverse"),CU26,0.00001)</f>
        <v>1.0000000000000001E-5</v>
      </c>
      <c r="CW26">
        <f t="shared" ref="CW26:CW63" si="61">IF(OR($C26="SSTens",$C26="Normal"),CU26,0.00001)</f>
        <v>3.4209959906251142E-2</v>
      </c>
      <c r="CX26">
        <f t="shared" si="48"/>
        <v>0.48813000000000001</v>
      </c>
      <c r="CY26">
        <f t="shared" ref="CY26:CY63" si="62">IF(OR($C26="SSComp",$C26="Reverse"),CX26,0.01)</f>
        <v>0.01</v>
      </c>
      <c r="CZ26">
        <f t="shared" ref="CZ26:CZ43" si="63">IF(OR($C26="SSTens",$C26="Normal"),CX26,0.01)</f>
        <v>0.48813000000000001</v>
      </c>
      <c r="DA26">
        <v>0.3</v>
      </c>
      <c r="DB26">
        <v>0.3</v>
      </c>
      <c r="DC26">
        <v>0.3</v>
      </c>
    </row>
    <row r="27" spans="1:107" x14ac:dyDescent="0.25">
      <c r="A27">
        <v>4</v>
      </c>
      <c r="B27">
        <v>10</v>
      </c>
      <c r="C27" t="str">
        <f t="shared" si="49"/>
        <v>SSTens</v>
      </c>
      <c r="D27">
        <v>0.50800000000000001</v>
      </c>
      <c r="E27">
        <f t="shared" si="14"/>
        <v>508</v>
      </c>
      <c r="F27">
        <v>1.1130000000000001E-2</v>
      </c>
      <c r="G27">
        <f t="shared" si="15"/>
        <v>11.13</v>
      </c>
      <c r="H27">
        <f t="shared" si="16"/>
        <v>45.642407906558844</v>
      </c>
      <c r="I27">
        <v>100</v>
      </c>
      <c r="J27" t="s">
        <v>77</v>
      </c>
      <c r="K27">
        <f t="shared" si="50"/>
        <v>15</v>
      </c>
      <c r="L27">
        <f t="shared" si="51"/>
        <v>20</v>
      </c>
      <c r="M27">
        <f t="shared" si="52"/>
        <v>552000</v>
      </c>
      <c r="N27">
        <f t="shared" si="53"/>
        <v>625000</v>
      </c>
      <c r="O27">
        <f t="shared" si="54"/>
        <v>2.9888368774026359</v>
      </c>
      <c r="S27" t="s">
        <v>78</v>
      </c>
      <c r="T27" t="s">
        <v>79</v>
      </c>
      <c r="U27">
        <f t="shared" si="55"/>
        <v>18</v>
      </c>
      <c r="V27">
        <f t="shared" si="56"/>
        <v>37</v>
      </c>
      <c r="W27">
        <f t="shared" si="57"/>
        <v>0</v>
      </c>
      <c r="X27">
        <f t="shared" si="58"/>
        <v>0</v>
      </c>
      <c r="Y27">
        <v>0.9</v>
      </c>
      <c r="Z27">
        <v>2</v>
      </c>
      <c r="AB27">
        <f t="shared" si="17"/>
        <v>37.739860320701332</v>
      </c>
      <c r="AC27">
        <f t="shared" si="18"/>
        <v>1</v>
      </c>
      <c r="AD27">
        <f t="shared" si="19"/>
        <v>1</v>
      </c>
      <c r="AK27">
        <v>0.75</v>
      </c>
      <c r="AL27">
        <f t="shared" si="20"/>
        <v>6.2410000000000077E-2</v>
      </c>
      <c r="AM27">
        <f t="shared" si="21"/>
        <v>0.21373129115624845</v>
      </c>
      <c r="AN27">
        <f t="shared" si="22"/>
        <v>-9.4810000000000005E-2</v>
      </c>
      <c r="AS27">
        <f t="shared" si="23"/>
        <v>8.9439999999999992E-2</v>
      </c>
      <c r="AT27">
        <f t="shared" si="24"/>
        <v>-0.26881999999999995</v>
      </c>
      <c r="AU27">
        <f t="shared" si="25"/>
        <v>-0.37429000000000001</v>
      </c>
      <c r="AV27">
        <f t="shared" si="26"/>
        <v>-1.2999999999999999E-3</v>
      </c>
      <c r="AW27">
        <f t="shared" si="27"/>
        <v>2.0409999999999998E-2</v>
      </c>
      <c r="AY27">
        <f t="shared" si="28"/>
        <v>-0.14019514862320309</v>
      </c>
      <c r="BC27">
        <f t="shared" si="29"/>
        <v>0.9232499999999999</v>
      </c>
      <c r="BD27">
        <f t="shared" si="30"/>
        <v>0.17302000000000001</v>
      </c>
      <c r="BE27">
        <f t="shared" si="31"/>
        <v>2.6247199999999999</v>
      </c>
      <c r="BH27">
        <f t="shared" si="32"/>
        <v>-3.700000000000001E-4</v>
      </c>
      <c r="BI27">
        <f t="shared" si="33"/>
        <v>4.5039999999999997E-2</v>
      </c>
      <c r="BJ27">
        <f t="shared" si="34"/>
        <v>-0.62383999999999995</v>
      </c>
      <c r="BK27">
        <f t="shared" si="35"/>
        <v>2.1999999999999993E-4</v>
      </c>
      <c r="BL27">
        <f t="shared" si="36"/>
        <v>0.51335000000000008</v>
      </c>
      <c r="BM27">
        <f t="shared" si="37"/>
        <v>-1.5329999999999996E-2</v>
      </c>
      <c r="BN27">
        <f t="shared" si="38"/>
        <v>0.18553000000000003</v>
      </c>
      <c r="BO27">
        <f t="shared" si="39"/>
        <v>-5.7920000000000027E-2</v>
      </c>
      <c r="BP27">
        <f t="shared" si="40"/>
        <v>2.0449999999999996E-2</v>
      </c>
      <c r="CB27">
        <f t="shared" si="41"/>
        <v>1</v>
      </c>
      <c r="CC27">
        <f t="shared" si="42"/>
        <v>1</v>
      </c>
      <c r="CD27">
        <f t="shared" si="43"/>
        <v>0</v>
      </c>
      <c r="CE27">
        <f t="shared" si="44"/>
        <v>25.130183407676377</v>
      </c>
      <c r="CL27">
        <f t="shared" si="45"/>
        <v>25.130183407676377</v>
      </c>
      <c r="CM27">
        <f t="shared" si="46"/>
        <v>0</v>
      </c>
      <c r="CT27">
        <f t="shared" si="47"/>
        <v>7.407572921774018</v>
      </c>
      <c r="CU27">
        <f t="shared" si="59"/>
        <v>100</v>
      </c>
      <c r="CV27">
        <f t="shared" si="60"/>
        <v>1.0000000000000001E-5</v>
      </c>
      <c r="CW27">
        <f t="shared" si="61"/>
        <v>100</v>
      </c>
      <c r="CX27">
        <f t="shared" si="48"/>
        <v>0.43376999999999999</v>
      </c>
      <c r="CY27">
        <f t="shared" si="62"/>
        <v>0.01</v>
      </c>
      <c r="CZ27">
        <f t="shared" si="63"/>
        <v>0.43376999999999999</v>
      </c>
      <c r="DA27">
        <v>0.3</v>
      </c>
      <c r="DB27">
        <v>0.3</v>
      </c>
      <c r="DC27">
        <v>0.3</v>
      </c>
    </row>
    <row r="28" spans="1:107" x14ac:dyDescent="0.25">
      <c r="A28">
        <v>5</v>
      </c>
      <c r="B28">
        <v>59</v>
      </c>
      <c r="C28" t="str">
        <f t="shared" si="49"/>
        <v>SSTens</v>
      </c>
      <c r="D28">
        <v>0.60960000000000003</v>
      </c>
      <c r="E28">
        <f t="shared" si="14"/>
        <v>609.6</v>
      </c>
      <c r="F28">
        <v>9.5299999999999985E-3</v>
      </c>
      <c r="G28">
        <f t="shared" si="15"/>
        <v>9.5299999999999994</v>
      </c>
      <c r="H28">
        <f t="shared" si="16"/>
        <v>63.966421825813235</v>
      </c>
      <c r="I28">
        <v>15</v>
      </c>
      <c r="J28" t="s">
        <v>70</v>
      </c>
      <c r="K28">
        <f t="shared" si="50"/>
        <v>8</v>
      </c>
      <c r="L28">
        <f t="shared" si="51"/>
        <v>10</v>
      </c>
      <c r="M28">
        <f t="shared" si="52"/>
        <v>359000</v>
      </c>
      <c r="N28">
        <f t="shared" si="53"/>
        <v>455000</v>
      </c>
      <c r="O28">
        <f t="shared" si="54"/>
        <v>1.9969902892117808</v>
      </c>
      <c r="S28" t="s">
        <v>78</v>
      </c>
      <c r="T28" t="s">
        <v>80</v>
      </c>
      <c r="U28">
        <f t="shared" si="55"/>
        <v>18.5</v>
      </c>
      <c r="V28">
        <f t="shared" si="56"/>
        <v>40</v>
      </c>
      <c r="W28">
        <f t="shared" si="57"/>
        <v>0</v>
      </c>
      <c r="X28">
        <f t="shared" si="58"/>
        <v>0</v>
      </c>
      <c r="Y28">
        <v>0.9</v>
      </c>
      <c r="Z28">
        <v>1</v>
      </c>
      <c r="AB28">
        <f t="shared" si="17"/>
        <v>25.741129539100392</v>
      </c>
      <c r="AC28">
        <f t="shared" si="18"/>
        <v>1</v>
      </c>
      <c r="AD28">
        <f t="shared" si="19"/>
        <v>1</v>
      </c>
      <c r="AK28">
        <v>2.75</v>
      </c>
      <c r="AL28">
        <f t="shared" si="20"/>
        <v>-1.72539</v>
      </c>
      <c r="AM28">
        <f t="shared" si="21"/>
        <v>0.4650775318596384</v>
      </c>
      <c r="AN28">
        <f t="shared" si="22"/>
        <v>0.44442999999999994</v>
      </c>
      <c r="AS28">
        <f t="shared" si="23"/>
        <v>-0.32196000000000002</v>
      </c>
      <c r="AT28">
        <f t="shared" si="24"/>
        <v>1.2818300000000002</v>
      </c>
      <c r="AU28">
        <f t="shared" si="25"/>
        <v>1.37853</v>
      </c>
      <c r="AV28">
        <f t="shared" si="26"/>
        <v>-1.5299999999999999E-3</v>
      </c>
      <c r="AW28">
        <f t="shared" si="27"/>
        <v>0.12054000000000001</v>
      </c>
      <c r="AY28">
        <f t="shared" si="28"/>
        <v>-0.20018447074017054</v>
      </c>
      <c r="BC28">
        <f t="shared" si="29"/>
        <v>-0.22796000000000005</v>
      </c>
      <c r="BD28">
        <f t="shared" si="30"/>
        <v>0.29473000000000005</v>
      </c>
      <c r="BE28">
        <f t="shared" si="31"/>
        <v>1.75566</v>
      </c>
      <c r="BH28">
        <f t="shared" si="32"/>
        <v>-4.2399999999999998E-3</v>
      </c>
      <c r="BI28">
        <f t="shared" si="33"/>
        <v>1.303E-2</v>
      </c>
      <c r="BJ28">
        <f t="shared" si="34"/>
        <v>-0.23935000000000001</v>
      </c>
      <c r="BK28">
        <f t="shared" si="35"/>
        <v>1.24E-3</v>
      </c>
      <c r="BL28">
        <f t="shared" si="36"/>
        <v>0.86572000000000005</v>
      </c>
      <c r="BM28">
        <f t="shared" si="37"/>
        <v>-5.2999999999999992E-3</v>
      </c>
      <c r="BN28">
        <f t="shared" si="38"/>
        <v>3.9600000000000052E-3</v>
      </c>
      <c r="BO28">
        <f t="shared" si="39"/>
        <v>0.33077000000000001</v>
      </c>
      <c r="BP28">
        <f t="shared" si="40"/>
        <v>0.13281999999999999</v>
      </c>
      <c r="CB28">
        <f t="shared" si="41"/>
        <v>1</v>
      </c>
      <c r="CC28">
        <f t="shared" si="42"/>
        <v>0</v>
      </c>
      <c r="CD28">
        <f t="shared" si="43"/>
        <v>1</v>
      </c>
      <c r="CE28">
        <f t="shared" si="44"/>
        <v>-5.203621691392836E-2</v>
      </c>
      <c r="CL28">
        <f t="shared" si="45"/>
        <v>0</v>
      </c>
      <c r="CM28">
        <f t="shared" si="46"/>
        <v>-5.203621691392836E-2</v>
      </c>
      <c r="CT28">
        <f t="shared" si="47"/>
        <v>6.6371180474282649</v>
      </c>
      <c r="CU28">
        <f t="shared" si="59"/>
        <v>100</v>
      </c>
      <c r="CV28">
        <f t="shared" si="60"/>
        <v>1.0000000000000001E-5</v>
      </c>
      <c r="CW28">
        <f t="shared" si="61"/>
        <v>100</v>
      </c>
      <c r="CX28">
        <f t="shared" si="48"/>
        <v>0.59948000000000001</v>
      </c>
      <c r="CY28">
        <f t="shared" si="62"/>
        <v>0.01</v>
      </c>
      <c r="CZ28">
        <f t="shared" si="63"/>
        <v>0.59948000000000001</v>
      </c>
      <c r="DA28">
        <v>0.3</v>
      </c>
      <c r="DB28">
        <v>0.3</v>
      </c>
      <c r="DC28">
        <v>0.3</v>
      </c>
    </row>
    <row r="29" spans="1:107" x14ac:dyDescent="0.25">
      <c r="A29">
        <v>6</v>
      </c>
      <c r="B29">
        <v>17</v>
      </c>
      <c r="C29" t="str">
        <f t="shared" si="49"/>
        <v>SSTens</v>
      </c>
      <c r="D29">
        <v>0.76200000000000001</v>
      </c>
      <c r="E29">
        <f t="shared" si="14"/>
        <v>762</v>
      </c>
      <c r="F29">
        <v>1.2699999999999999E-2</v>
      </c>
      <c r="G29">
        <f t="shared" si="15"/>
        <v>12.7</v>
      </c>
      <c r="H29">
        <f t="shared" si="16"/>
        <v>60</v>
      </c>
      <c r="I29">
        <v>30</v>
      </c>
      <c r="J29" t="s">
        <v>73</v>
      </c>
      <c r="K29">
        <f t="shared" si="50"/>
        <v>8</v>
      </c>
      <c r="L29">
        <f t="shared" si="51"/>
        <v>12</v>
      </c>
      <c r="M29">
        <f t="shared" si="52"/>
        <v>414000</v>
      </c>
      <c r="N29">
        <f t="shared" si="53"/>
        <v>517000</v>
      </c>
      <c r="O29">
        <f t="shared" si="54"/>
        <v>2.5466769467238102</v>
      </c>
      <c r="S29" t="s">
        <v>78</v>
      </c>
      <c r="T29" t="s">
        <v>80</v>
      </c>
      <c r="U29">
        <f t="shared" si="55"/>
        <v>18.5</v>
      </c>
      <c r="V29">
        <f t="shared" si="56"/>
        <v>40</v>
      </c>
      <c r="W29">
        <f t="shared" si="57"/>
        <v>0</v>
      </c>
      <c r="X29">
        <f t="shared" si="58"/>
        <v>0</v>
      </c>
      <c r="Y29">
        <v>0.9</v>
      </c>
      <c r="Z29">
        <v>2</v>
      </c>
      <c r="AB29">
        <f t="shared" si="17"/>
        <v>64.352823847750969</v>
      </c>
      <c r="AC29">
        <f t="shared" si="18"/>
        <v>1</v>
      </c>
      <c r="AD29">
        <f t="shared" si="19"/>
        <v>1</v>
      </c>
      <c r="AK29">
        <v>3.5</v>
      </c>
      <c r="AL29">
        <f t="shared" si="20"/>
        <v>-0.31573000000000007</v>
      </c>
      <c r="AM29">
        <f t="shared" si="21"/>
        <v>0.17125986498424164</v>
      </c>
      <c r="AN29">
        <f t="shared" si="22"/>
        <v>-5.2000000000002045E-4</v>
      </c>
      <c r="AS29">
        <f t="shared" si="23"/>
        <v>6.8370000000000014E-2</v>
      </c>
      <c r="AT29">
        <f t="shared" si="24"/>
        <v>-0.11607999999999996</v>
      </c>
      <c r="AU29">
        <f t="shared" si="25"/>
        <v>-0.20377000000000001</v>
      </c>
      <c r="AV29">
        <f t="shared" si="26"/>
        <v>-1.3699999999999999E-3</v>
      </c>
      <c r="AW29">
        <f t="shared" si="27"/>
        <v>3.637E-2</v>
      </c>
      <c r="AY29">
        <f t="shared" si="28"/>
        <v>-0.15740672456772828</v>
      </c>
      <c r="BC29">
        <f t="shared" si="29"/>
        <v>0.77106999999999992</v>
      </c>
      <c r="BD29">
        <f t="shared" si="30"/>
        <v>0.18723000000000001</v>
      </c>
      <c r="BE29">
        <f t="shared" si="31"/>
        <v>2.4286500000000002</v>
      </c>
      <c r="BH29">
        <f t="shared" si="32"/>
        <v>-1.0700000000000002E-3</v>
      </c>
      <c r="BI29">
        <f t="shared" si="33"/>
        <v>3.7059999999999996E-2</v>
      </c>
      <c r="BJ29">
        <f t="shared" si="34"/>
        <v>-0.52332000000000001</v>
      </c>
      <c r="BK29">
        <f t="shared" si="35"/>
        <v>3.5999999999999997E-4</v>
      </c>
      <c r="BL29">
        <f t="shared" si="36"/>
        <v>0.6061700000000001</v>
      </c>
      <c r="BM29">
        <f t="shared" si="37"/>
        <v>-1.1059999999999997E-2</v>
      </c>
      <c r="BN29">
        <f t="shared" si="38"/>
        <v>0.13457</v>
      </c>
      <c r="BO29">
        <f t="shared" si="39"/>
        <v>4.5679999999999998E-2</v>
      </c>
      <c r="BP29">
        <f t="shared" si="40"/>
        <v>3.9489999999999997E-2</v>
      </c>
      <c r="CB29">
        <f t="shared" si="41"/>
        <v>1</v>
      </c>
      <c r="CC29">
        <f t="shared" si="42"/>
        <v>0</v>
      </c>
      <c r="CD29">
        <f t="shared" si="43"/>
        <v>1</v>
      </c>
      <c r="CE29">
        <f t="shared" si="44"/>
        <v>-2.6655451685221454</v>
      </c>
      <c r="CL29">
        <f t="shared" si="45"/>
        <v>0</v>
      </c>
      <c r="CM29">
        <f t="shared" si="46"/>
        <v>-2.6655451685221454</v>
      </c>
      <c r="CT29">
        <f t="shared" si="47"/>
        <v>7.892606588335858</v>
      </c>
      <c r="CU29">
        <f t="shared" si="59"/>
        <v>100</v>
      </c>
      <c r="CV29">
        <f t="shared" si="60"/>
        <v>1.0000000000000001E-5</v>
      </c>
      <c r="CW29">
        <f t="shared" si="61"/>
        <v>100</v>
      </c>
      <c r="CX29">
        <f t="shared" si="48"/>
        <v>0.45491000000000004</v>
      </c>
      <c r="CY29">
        <f t="shared" si="62"/>
        <v>0.01</v>
      </c>
      <c r="CZ29">
        <f t="shared" si="63"/>
        <v>0.45491000000000004</v>
      </c>
      <c r="DA29">
        <v>0.3</v>
      </c>
      <c r="DB29">
        <v>0.3</v>
      </c>
      <c r="DC29">
        <v>0.3</v>
      </c>
    </row>
    <row r="30" spans="1:107" x14ac:dyDescent="0.25">
      <c r="A30">
        <v>7</v>
      </c>
      <c r="B30">
        <v>11</v>
      </c>
      <c r="C30" t="str">
        <f t="shared" si="49"/>
        <v>SSTens</v>
      </c>
      <c r="D30">
        <v>0.86360000000000003</v>
      </c>
      <c r="E30">
        <f t="shared" si="14"/>
        <v>863.6</v>
      </c>
      <c r="F30">
        <v>1.1130000000000001E-2</v>
      </c>
      <c r="G30">
        <f t="shared" si="15"/>
        <v>11.13</v>
      </c>
      <c r="H30">
        <f t="shared" si="16"/>
        <v>77.592093441150041</v>
      </c>
      <c r="I30">
        <v>50</v>
      </c>
      <c r="J30" t="s">
        <v>75</v>
      </c>
      <c r="K30">
        <f t="shared" si="50"/>
        <v>14</v>
      </c>
      <c r="L30">
        <f t="shared" si="51"/>
        <v>15</v>
      </c>
      <c r="M30">
        <f t="shared" si="52"/>
        <v>483000</v>
      </c>
      <c r="N30">
        <f t="shared" si="53"/>
        <v>565000</v>
      </c>
      <c r="O30">
        <f t="shared" si="54"/>
        <v>2.8799444073326219</v>
      </c>
      <c r="S30" t="s">
        <v>78</v>
      </c>
      <c r="T30" t="s">
        <v>80</v>
      </c>
      <c r="U30">
        <f t="shared" si="55"/>
        <v>18.5</v>
      </c>
      <c r="V30">
        <f t="shared" si="56"/>
        <v>40</v>
      </c>
      <c r="W30">
        <f t="shared" si="57"/>
        <v>0</v>
      </c>
      <c r="X30">
        <f t="shared" si="58"/>
        <v>0</v>
      </c>
      <c r="Y30">
        <v>0.9</v>
      </c>
      <c r="Z30">
        <v>1</v>
      </c>
      <c r="AB30">
        <f t="shared" si="17"/>
        <v>36.46660018039222</v>
      </c>
      <c r="AC30">
        <f t="shared" si="18"/>
        <v>1</v>
      </c>
      <c r="AD30">
        <f t="shared" si="19"/>
        <v>1</v>
      </c>
      <c r="AK30">
        <v>1.5</v>
      </c>
      <c r="AL30">
        <f t="shared" si="20"/>
        <v>8.3899999999998975E-3</v>
      </c>
      <c r="AM30">
        <f t="shared" si="21"/>
        <v>0.1204705059512481</v>
      </c>
      <c r="AN30">
        <f t="shared" si="22"/>
        <v>-8.1340000000000023E-2</v>
      </c>
      <c r="AS30">
        <f t="shared" si="23"/>
        <v>8.6430000000000007E-2</v>
      </c>
      <c r="AT30">
        <f t="shared" si="24"/>
        <v>-0.247</v>
      </c>
      <c r="AU30">
        <f t="shared" si="25"/>
        <v>-0.34992999999999996</v>
      </c>
      <c r="AV30">
        <f t="shared" si="26"/>
        <v>-1.31E-3</v>
      </c>
      <c r="AW30">
        <f t="shared" si="27"/>
        <v>2.2690000000000002E-2</v>
      </c>
      <c r="AY30">
        <f t="shared" si="28"/>
        <v>-0.18238374480097994</v>
      </c>
      <c r="BC30">
        <f t="shared" si="29"/>
        <v>0.90150999999999992</v>
      </c>
      <c r="BD30">
        <f t="shared" si="30"/>
        <v>0.17505000000000001</v>
      </c>
      <c r="BE30">
        <f t="shared" si="31"/>
        <v>2.5967099999999999</v>
      </c>
      <c r="BH30">
        <f t="shared" si="32"/>
        <v>-4.6999999999999993E-4</v>
      </c>
      <c r="BI30">
        <f t="shared" si="33"/>
        <v>4.3899999999999995E-2</v>
      </c>
      <c r="BJ30">
        <f t="shared" si="34"/>
        <v>-0.60948000000000002</v>
      </c>
      <c r="BK30">
        <f t="shared" si="35"/>
        <v>2.3999999999999998E-4</v>
      </c>
      <c r="BL30">
        <f t="shared" si="36"/>
        <v>0.52661000000000002</v>
      </c>
      <c r="BM30">
        <f t="shared" si="37"/>
        <v>-1.4719999999999997E-2</v>
      </c>
      <c r="BN30">
        <f t="shared" si="38"/>
        <v>0.17824999999999999</v>
      </c>
      <c r="BO30">
        <f t="shared" si="39"/>
        <v>-4.3119999999999992E-2</v>
      </c>
      <c r="BP30">
        <f t="shared" si="40"/>
        <v>2.3169999999999996E-2</v>
      </c>
      <c r="CB30">
        <f t="shared" si="41"/>
        <v>1</v>
      </c>
      <c r="CC30">
        <f t="shared" si="42"/>
        <v>0</v>
      </c>
      <c r="CD30">
        <f t="shared" si="43"/>
        <v>0</v>
      </c>
      <c r="CE30">
        <f t="shared" si="44"/>
        <v>-3.333144613964116E-2</v>
      </c>
      <c r="CL30">
        <f t="shared" si="45"/>
        <v>0</v>
      </c>
      <c r="CM30">
        <f t="shared" si="46"/>
        <v>-3.333144613964116E-2</v>
      </c>
      <c r="CT30">
        <f t="shared" si="47"/>
        <v>10.982439666923916</v>
      </c>
      <c r="CU30">
        <f t="shared" si="59"/>
        <v>100</v>
      </c>
      <c r="CV30">
        <f t="shared" si="60"/>
        <v>1.0000000000000001E-5</v>
      </c>
      <c r="CW30">
        <f t="shared" si="61"/>
        <v>100</v>
      </c>
      <c r="CX30">
        <f t="shared" si="48"/>
        <v>0.43679000000000001</v>
      </c>
      <c r="CY30">
        <f t="shared" si="62"/>
        <v>0.01</v>
      </c>
      <c r="CZ30">
        <f t="shared" si="63"/>
        <v>0.43679000000000001</v>
      </c>
      <c r="DA30">
        <v>0.3</v>
      </c>
      <c r="DB30">
        <v>0.3</v>
      </c>
      <c r="DC30">
        <v>0.3</v>
      </c>
    </row>
    <row r="31" spans="1:107" x14ac:dyDescent="0.25">
      <c r="A31">
        <v>8</v>
      </c>
      <c r="B31">
        <v>47</v>
      </c>
      <c r="C31" t="str">
        <f t="shared" si="49"/>
        <v>SSTens</v>
      </c>
      <c r="D31">
        <v>1.0668</v>
      </c>
      <c r="E31">
        <f t="shared" si="14"/>
        <v>1066.8</v>
      </c>
      <c r="F31">
        <v>1.2699999999999999E-2</v>
      </c>
      <c r="G31">
        <f t="shared" si="15"/>
        <v>12.7</v>
      </c>
      <c r="H31">
        <f t="shared" si="16"/>
        <v>84</v>
      </c>
      <c r="I31">
        <v>100</v>
      </c>
      <c r="J31" t="s">
        <v>77</v>
      </c>
      <c r="K31">
        <f t="shared" si="50"/>
        <v>15</v>
      </c>
      <c r="L31">
        <f t="shared" si="51"/>
        <v>20</v>
      </c>
      <c r="M31">
        <f t="shared" si="52"/>
        <v>552000</v>
      </c>
      <c r="N31">
        <f t="shared" si="53"/>
        <v>625000</v>
      </c>
      <c r="O31">
        <f t="shared" si="54"/>
        <v>2.9888368774026359</v>
      </c>
      <c r="S31" t="s">
        <v>78</v>
      </c>
      <c r="T31" t="s">
        <v>81</v>
      </c>
      <c r="U31">
        <f t="shared" si="55"/>
        <v>19</v>
      </c>
      <c r="V31">
        <f t="shared" si="56"/>
        <v>43</v>
      </c>
      <c r="W31">
        <f t="shared" si="57"/>
        <v>0</v>
      </c>
      <c r="X31">
        <f t="shared" si="58"/>
        <v>0</v>
      </c>
      <c r="Y31">
        <v>0.9</v>
      </c>
      <c r="Z31">
        <v>2</v>
      </c>
      <c r="AB31">
        <f t="shared" si="17"/>
        <v>102.03070645435936</v>
      </c>
      <c r="AC31">
        <f t="shared" si="18"/>
        <v>0</v>
      </c>
      <c r="AD31">
        <f t="shared" si="19"/>
        <v>1</v>
      </c>
      <c r="AK31">
        <v>1.5</v>
      </c>
      <c r="AL31">
        <f t="shared" si="20"/>
        <v>-1.81359</v>
      </c>
      <c r="AM31">
        <f t="shared" si="21"/>
        <v>0.35620502968535167</v>
      </c>
      <c r="AN31">
        <f t="shared" si="22"/>
        <v>0.38634999999999997</v>
      </c>
      <c r="AS31">
        <f t="shared" si="23"/>
        <v>-5.9760000000000035E-2</v>
      </c>
      <c r="AT31">
        <f t="shared" si="24"/>
        <v>0.60755000000000026</v>
      </c>
      <c r="AU31">
        <f t="shared" si="25"/>
        <v>0.60693000000000019</v>
      </c>
      <c r="AV31">
        <f t="shared" si="26"/>
        <v>-1.5299999999999999E-3</v>
      </c>
      <c r="AW31">
        <f t="shared" si="27"/>
        <v>0.10326000000000002</v>
      </c>
      <c r="AY31">
        <f t="shared" si="28"/>
        <v>0.35562079861429208</v>
      </c>
      <c r="BC31">
        <f t="shared" si="29"/>
        <v>0.10647999999999991</v>
      </c>
      <c r="BD31">
        <f t="shared" si="30"/>
        <v>0.25141000000000002</v>
      </c>
      <c r="BE31">
        <f t="shared" si="31"/>
        <v>1.66038</v>
      </c>
      <c r="BH31">
        <f t="shared" si="32"/>
        <v>-4.0000000000000001E-3</v>
      </c>
      <c r="BI31">
        <f t="shared" si="33"/>
        <v>6.1900000000000011E-3</v>
      </c>
      <c r="BJ31">
        <f t="shared" si="34"/>
        <v>-0.13807000000000003</v>
      </c>
      <c r="BK31">
        <f t="shared" si="35"/>
        <v>1E-3</v>
      </c>
      <c r="BL31">
        <f t="shared" si="36"/>
        <v>0.96160000000000001</v>
      </c>
      <c r="BM31">
        <f t="shared" si="37"/>
        <v>4.4200000000000003E-3</v>
      </c>
      <c r="BN31">
        <f t="shared" si="38"/>
        <v>-5.8679999999999982E-2</v>
      </c>
      <c r="BO31">
        <f t="shared" si="39"/>
        <v>0.44164999999999999</v>
      </c>
      <c r="BP31">
        <f t="shared" si="40"/>
        <v>0.11818000000000001</v>
      </c>
      <c r="CB31">
        <f t="shared" si="41"/>
        <v>1</v>
      </c>
      <c r="CC31">
        <f t="shared" si="42"/>
        <v>0</v>
      </c>
      <c r="CD31">
        <f t="shared" si="43"/>
        <v>0</v>
      </c>
      <c r="CE31">
        <f t="shared" si="44"/>
        <v>0.57546342746125556</v>
      </c>
      <c r="CL31">
        <f t="shared" si="45"/>
        <v>0</v>
      </c>
      <c r="CM31">
        <f t="shared" si="46"/>
        <v>0.57546342746125556</v>
      </c>
      <c r="CT31">
        <f t="shared" si="47"/>
        <v>8.9288273599652541</v>
      </c>
      <c r="CU31">
        <f t="shared" si="59"/>
        <v>100</v>
      </c>
      <c r="CV31">
        <f t="shared" si="60"/>
        <v>1.0000000000000001E-5</v>
      </c>
      <c r="CW31">
        <f t="shared" si="61"/>
        <v>100</v>
      </c>
      <c r="CX31">
        <f t="shared" si="48"/>
        <v>0.54811999999999994</v>
      </c>
      <c r="CY31">
        <f t="shared" si="62"/>
        <v>0.01</v>
      </c>
      <c r="CZ31">
        <f t="shared" si="63"/>
        <v>0.54811999999999994</v>
      </c>
      <c r="DA31">
        <v>0.3</v>
      </c>
      <c r="DB31">
        <v>0.3</v>
      </c>
      <c r="DC31">
        <v>0.3</v>
      </c>
    </row>
    <row r="32" spans="1:107" x14ac:dyDescent="0.25">
      <c r="A32">
        <v>9</v>
      </c>
      <c r="B32">
        <v>30</v>
      </c>
      <c r="C32" t="str">
        <f t="shared" si="49"/>
        <v>SSTens</v>
      </c>
      <c r="D32">
        <v>0.60960000000000003</v>
      </c>
      <c r="E32">
        <f t="shared" si="14"/>
        <v>609.6</v>
      </c>
      <c r="F32">
        <v>1.1130000000000001E-2</v>
      </c>
      <c r="G32">
        <f t="shared" si="15"/>
        <v>11.13</v>
      </c>
      <c r="H32">
        <f t="shared" si="16"/>
        <v>54.770889487870619</v>
      </c>
      <c r="I32">
        <v>150</v>
      </c>
      <c r="J32" t="s">
        <v>100</v>
      </c>
      <c r="K32">
        <f t="shared" si="50"/>
        <v>3</v>
      </c>
      <c r="L32">
        <f t="shared" si="51"/>
        <v>9</v>
      </c>
      <c r="M32">
        <f t="shared" si="52"/>
        <v>290000</v>
      </c>
      <c r="N32">
        <f t="shared" si="53"/>
        <v>414000</v>
      </c>
      <c r="O32">
        <f t="shared" si="54"/>
        <v>1.7363704307629526</v>
      </c>
      <c r="S32" t="s">
        <v>78</v>
      </c>
      <c r="T32" t="s">
        <v>81</v>
      </c>
      <c r="U32">
        <f t="shared" si="55"/>
        <v>19</v>
      </c>
      <c r="V32">
        <f t="shared" si="56"/>
        <v>43</v>
      </c>
      <c r="W32">
        <f t="shared" si="57"/>
        <v>0</v>
      </c>
      <c r="X32">
        <f t="shared" si="58"/>
        <v>0</v>
      </c>
      <c r="Y32">
        <v>0.9</v>
      </c>
      <c r="Z32">
        <v>1</v>
      </c>
      <c r="AB32">
        <f t="shared" si="17"/>
        <v>29.151630415531248</v>
      </c>
      <c r="AC32">
        <f t="shared" si="18"/>
        <v>1</v>
      </c>
      <c r="AD32">
        <f t="shared" si="19"/>
        <v>1</v>
      </c>
      <c r="AK32">
        <v>1.5</v>
      </c>
      <c r="AL32">
        <f t="shared" si="20"/>
        <v>-1.01799</v>
      </c>
      <c r="AM32">
        <f t="shared" si="21"/>
        <v>0.38193464176756858</v>
      </c>
      <c r="AN32">
        <f t="shared" si="22"/>
        <v>0.17459</v>
      </c>
      <c r="AS32">
        <f t="shared" si="23"/>
        <v>2.9240000000000002E-2</v>
      </c>
      <c r="AT32">
        <f t="shared" si="24"/>
        <v>0.16758000000000001</v>
      </c>
      <c r="AU32">
        <f t="shared" si="25"/>
        <v>0.11291000000000001</v>
      </c>
      <c r="AV32">
        <f t="shared" si="26"/>
        <v>-1.5E-3</v>
      </c>
      <c r="AW32">
        <f t="shared" si="27"/>
        <v>6.6009999999999985E-2</v>
      </c>
      <c r="AY32">
        <f t="shared" si="28"/>
        <v>6.7567196067336521E-2</v>
      </c>
      <c r="BC32">
        <f t="shared" si="29"/>
        <v>0.48845</v>
      </c>
      <c r="BD32">
        <f t="shared" si="30"/>
        <v>0.21362</v>
      </c>
      <c r="BE32">
        <f t="shared" si="31"/>
        <v>2.0645199999999999</v>
      </c>
      <c r="BH32">
        <f t="shared" si="32"/>
        <v>-2.3700000000000001E-3</v>
      </c>
      <c r="BI32">
        <f t="shared" si="33"/>
        <v>2.2239999999999999E-2</v>
      </c>
      <c r="BJ32">
        <f t="shared" si="34"/>
        <v>-0.33663999999999999</v>
      </c>
      <c r="BK32">
        <f t="shared" si="35"/>
        <v>6.2E-4</v>
      </c>
      <c r="BL32">
        <f t="shared" si="36"/>
        <v>0.77855000000000008</v>
      </c>
      <c r="BM32">
        <f t="shared" si="37"/>
        <v>-3.13E-3</v>
      </c>
      <c r="BN32">
        <f t="shared" si="38"/>
        <v>3.9930000000000007E-2</v>
      </c>
      <c r="BO32">
        <f t="shared" si="39"/>
        <v>0.23807999999999999</v>
      </c>
      <c r="BP32">
        <f t="shared" si="40"/>
        <v>7.485E-2</v>
      </c>
      <c r="CB32">
        <f t="shared" si="41"/>
        <v>1</v>
      </c>
      <c r="CC32">
        <f t="shared" si="42"/>
        <v>0</v>
      </c>
      <c r="CD32">
        <f t="shared" si="43"/>
        <v>0</v>
      </c>
      <c r="CE32">
        <f t="shared" si="44"/>
        <v>0.27625200359756724</v>
      </c>
      <c r="CL32">
        <f t="shared" si="45"/>
        <v>0</v>
      </c>
      <c r="CM32">
        <f t="shared" si="46"/>
        <v>0.27625200359756724</v>
      </c>
      <c r="CT32">
        <f t="shared" si="47"/>
        <v>8.3995658523274574</v>
      </c>
      <c r="CU32">
        <f t="shared" si="59"/>
        <v>100</v>
      </c>
      <c r="CV32">
        <f t="shared" si="60"/>
        <v>1.0000000000000001E-5</v>
      </c>
      <c r="CW32">
        <f t="shared" si="61"/>
        <v>100</v>
      </c>
      <c r="CX32">
        <f t="shared" si="48"/>
        <v>0.49417</v>
      </c>
      <c r="CY32">
        <f t="shared" si="62"/>
        <v>0.01</v>
      </c>
      <c r="CZ32">
        <f t="shared" si="63"/>
        <v>0.49417</v>
      </c>
      <c r="DA32">
        <v>0.3</v>
      </c>
      <c r="DB32">
        <v>0.3</v>
      </c>
      <c r="DC32">
        <v>0.3</v>
      </c>
    </row>
    <row r="33" spans="1:107" x14ac:dyDescent="0.25">
      <c r="A33">
        <v>10</v>
      </c>
      <c r="B33">
        <v>35</v>
      </c>
      <c r="C33" t="str">
        <f t="shared" si="49"/>
        <v>SSTens</v>
      </c>
      <c r="D33">
        <v>0.60960000000000003</v>
      </c>
      <c r="E33">
        <f t="shared" si="14"/>
        <v>609.6</v>
      </c>
      <c r="F33">
        <v>1.1130000000000001E-2</v>
      </c>
      <c r="G33">
        <f t="shared" si="15"/>
        <v>11.13</v>
      </c>
      <c r="H33">
        <f t="shared" si="16"/>
        <v>54.770889487870619</v>
      </c>
      <c r="I33">
        <v>200</v>
      </c>
      <c r="J33" t="s">
        <v>101</v>
      </c>
      <c r="K33">
        <f t="shared" si="50"/>
        <v>3</v>
      </c>
      <c r="L33">
        <f t="shared" si="51"/>
        <v>8</v>
      </c>
      <c r="M33">
        <f t="shared" si="52"/>
        <v>241000</v>
      </c>
      <c r="N33">
        <f t="shared" si="53"/>
        <v>344000</v>
      </c>
      <c r="O33">
        <f t="shared" si="54"/>
        <v>1.1599577949833839</v>
      </c>
      <c r="S33" t="s">
        <v>78</v>
      </c>
      <c r="T33" t="s">
        <v>81</v>
      </c>
      <c r="U33">
        <f t="shared" si="55"/>
        <v>19</v>
      </c>
      <c r="V33">
        <f t="shared" si="56"/>
        <v>43</v>
      </c>
      <c r="W33">
        <f t="shared" si="57"/>
        <v>0</v>
      </c>
      <c r="X33">
        <f t="shared" si="58"/>
        <v>0</v>
      </c>
      <c r="Y33">
        <v>0.9</v>
      </c>
      <c r="Z33">
        <v>2</v>
      </c>
      <c r="AB33">
        <f t="shared" si="17"/>
        <v>58.303260831062495</v>
      </c>
      <c r="AC33">
        <f t="shared" si="18"/>
        <v>1</v>
      </c>
      <c r="AD33">
        <f t="shared" si="19"/>
        <v>1</v>
      </c>
      <c r="AK33">
        <v>2.75</v>
      </c>
      <c r="AL33">
        <f t="shared" si="20"/>
        <v>-1.28809</v>
      </c>
      <c r="AM33">
        <f t="shared" si="21"/>
        <v>0.42196824472511718</v>
      </c>
      <c r="AN33">
        <f t="shared" si="22"/>
        <v>0.24193999999999999</v>
      </c>
      <c r="AS33">
        <f t="shared" si="23"/>
        <v>1.4190000000000001E-2</v>
      </c>
      <c r="AT33">
        <f t="shared" si="24"/>
        <v>0.27667999999999998</v>
      </c>
      <c r="AU33">
        <f t="shared" si="25"/>
        <v>0.23471000000000003</v>
      </c>
      <c r="AV33">
        <f t="shared" si="26"/>
        <v>-1.5499999999999999E-3</v>
      </c>
      <c r="AW33">
        <f t="shared" si="27"/>
        <v>7.7409999999999993E-2</v>
      </c>
      <c r="AY33">
        <f t="shared" si="28"/>
        <v>5.6398079686577951E-2</v>
      </c>
      <c r="BC33">
        <f t="shared" si="29"/>
        <v>0.37974999999999998</v>
      </c>
      <c r="BD33">
        <f t="shared" si="30"/>
        <v>0.22377</v>
      </c>
      <c r="BE33">
        <f t="shared" si="31"/>
        <v>1.9244700000000001</v>
      </c>
      <c r="BH33">
        <f t="shared" si="32"/>
        <v>-2.8700000000000002E-3</v>
      </c>
      <c r="BI33">
        <f t="shared" si="33"/>
        <v>1.6539999999999999E-2</v>
      </c>
      <c r="BJ33">
        <f t="shared" si="34"/>
        <v>-0.26484000000000002</v>
      </c>
      <c r="BK33">
        <f t="shared" si="35"/>
        <v>7.2000000000000005E-4</v>
      </c>
      <c r="BL33">
        <f t="shared" si="36"/>
        <v>0.8448500000000001</v>
      </c>
      <c r="BM33">
        <f t="shared" si="37"/>
        <v>-7.9999999999999342E-5</v>
      </c>
      <c r="BN33">
        <f t="shared" si="38"/>
        <v>3.5300000000000054E-3</v>
      </c>
      <c r="BO33">
        <f t="shared" si="39"/>
        <v>0.31207999999999997</v>
      </c>
      <c r="BP33">
        <f t="shared" si="40"/>
        <v>8.8450000000000001E-2</v>
      </c>
      <c r="CB33">
        <f t="shared" si="41"/>
        <v>1</v>
      </c>
      <c r="CC33">
        <f t="shared" si="42"/>
        <v>0</v>
      </c>
      <c r="CD33">
        <f t="shared" si="43"/>
        <v>0</v>
      </c>
      <c r="CE33">
        <f t="shared" si="44"/>
        <v>0.32512453126164914</v>
      </c>
      <c r="CL33">
        <f t="shared" si="45"/>
        <v>0</v>
      </c>
      <c r="CM33">
        <f t="shared" si="46"/>
        <v>0.32512453126164914</v>
      </c>
      <c r="CT33">
        <f t="shared" si="47"/>
        <v>9.4103336233310273</v>
      </c>
      <c r="CU33">
        <f t="shared" si="59"/>
        <v>100</v>
      </c>
      <c r="CV33">
        <f t="shared" si="60"/>
        <v>1.0000000000000001E-5</v>
      </c>
      <c r="CW33">
        <f t="shared" si="61"/>
        <v>100</v>
      </c>
      <c r="CX33">
        <f t="shared" si="48"/>
        <v>0.50927</v>
      </c>
      <c r="CY33">
        <f t="shared" si="62"/>
        <v>0.01</v>
      </c>
      <c r="CZ33">
        <f t="shared" si="63"/>
        <v>0.50927</v>
      </c>
      <c r="DA33">
        <v>0.3</v>
      </c>
      <c r="DB33">
        <v>0.3</v>
      </c>
      <c r="DC33">
        <v>0.3</v>
      </c>
    </row>
    <row r="34" spans="1:107" x14ac:dyDescent="0.25">
      <c r="A34">
        <v>11</v>
      </c>
      <c r="B34">
        <v>41</v>
      </c>
      <c r="C34" t="str">
        <f t="shared" si="49"/>
        <v>SSTens</v>
      </c>
      <c r="D34">
        <v>0.20319999999999999</v>
      </c>
      <c r="E34">
        <f t="shared" si="14"/>
        <v>203.2</v>
      </c>
      <c r="F34">
        <v>5.5599999999999998E-3</v>
      </c>
      <c r="G34">
        <f t="shared" si="15"/>
        <v>5.56</v>
      </c>
      <c r="H34">
        <f t="shared" si="16"/>
        <v>36.546762589928058</v>
      </c>
      <c r="I34">
        <v>15</v>
      </c>
      <c r="J34" t="s">
        <v>70</v>
      </c>
      <c r="K34">
        <f t="shared" si="50"/>
        <v>8</v>
      </c>
      <c r="L34">
        <f t="shared" si="51"/>
        <v>10</v>
      </c>
      <c r="M34">
        <f t="shared" si="52"/>
        <v>359000</v>
      </c>
      <c r="N34">
        <f t="shared" si="53"/>
        <v>455000</v>
      </c>
      <c r="O34">
        <f t="shared" si="54"/>
        <v>1.9969902892117808</v>
      </c>
      <c r="S34" t="s">
        <v>71</v>
      </c>
      <c r="T34" t="s">
        <v>72</v>
      </c>
      <c r="U34">
        <f t="shared" si="55"/>
        <v>17.5</v>
      </c>
      <c r="V34">
        <f t="shared" si="56"/>
        <v>0</v>
      </c>
      <c r="W34">
        <f t="shared" si="57"/>
        <v>37.5</v>
      </c>
      <c r="X34">
        <f t="shared" si="58"/>
        <v>1.1000000000000001</v>
      </c>
      <c r="Y34">
        <v>0.9</v>
      </c>
      <c r="Z34">
        <v>0</v>
      </c>
      <c r="AB34">
        <f t="shared" si="17"/>
        <v>26.332829622389642</v>
      </c>
      <c r="AC34">
        <f t="shared" si="18"/>
        <v>1</v>
      </c>
      <c r="AD34">
        <f t="shared" si="19"/>
        <v>1</v>
      </c>
      <c r="AK34">
        <v>0.75</v>
      </c>
      <c r="AL34">
        <f t="shared" si="20"/>
        <v>-1.6122099999999999</v>
      </c>
      <c r="AM34">
        <f t="shared" si="21"/>
        <v>0.49927955795195023</v>
      </c>
      <c r="AN34">
        <f t="shared" si="22"/>
        <v>0.32275999999999999</v>
      </c>
      <c r="AS34">
        <f t="shared" si="23"/>
        <v>-3.8700000000000002E-3</v>
      </c>
      <c r="AT34">
        <f t="shared" si="24"/>
        <v>0.40759999999999996</v>
      </c>
      <c r="AU34">
        <f t="shared" si="25"/>
        <v>0.38087000000000004</v>
      </c>
      <c r="AV34">
        <f t="shared" si="26"/>
        <v>-1.6099999999999999E-3</v>
      </c>
      <c r="AW34">
        <f t="shared" si="27"/>
        <v>9.108999999999999E-2</v>
      </c>
      <c r="AY34">
        <f t="shared" si="28"/>
        <v>-0.39283740862208216</v>
      </c>
      <c r="BC34">
        <f t="shared" si="29"/>
        <v>0.24930999999999998</v>
      </c>
      <c r="BD34">
        <f t="shared" si="30"/>
        <v>0.23595000000000002</v>
      </c>
      <c r="BE34">
        <f t="shared" si="31"/>
        <v>1.75641</v>
      </c>
      <c r="BH34">
        <f t="shared" si="32"/>
        <v>-3.47E-3</v>
      </c>
      <c r="BI34">
        <f t="shared" si="33"/>
        <v>9.7000000000000003E-3</v>
      </c>
      <c r="BJ34">
        <f t="shared" si="34"/>
        <v>-0.17868000000000001</v>
      </c>
      <c r="BK34">
        <f t="shared" si="35"/>
        <v>8.4000000000000003E-4</v>
      </c>
      <c r="BL34">
        <f t="shared" si="36"/>
        <v>0.92441000000000006</v>
      </c>
      <c r="BM34">
        <f t="shared" si="37"/>
        <v>3.5800000000000003E-3</v>
      </c>
      <c r="BN34">
        <f t="shared" si="38"/>
        <v>-4.0149999999999998E-2</v>
      </c>
      <c r="BO34">
        <f t="shared" si="39"/>
        <v>0.40088000000000001</v>
      </c>
      <c r="BP34">
        <f t="shared" si="40"/>
        <v>0.10477</v>
      </c>
      <c r="CB34">
        <f t="shared" si="41"/>
        <v>0</v>
      </c>
      <c r="CC34">
        <f t="shared" si="42"/>
        <v>0</v>
      </c>
      <c r="CD34">
        <f t="shared" si="43"/>
        <v>1</v>
      </c>
      <c r="CE34">
        <f t="shared" si="44"/>
        <v>1.481293247657941</v>
      </c>
      <c r="CL34">
        <f t="shared" si="45"/>
        <v>0</v>
      </c>
      <c r="CM34">
        <f t="shared" si="46"/>
        <v>1.481293247657941</v>
      </c>
      <c r="CT34">
        <f t="shared" si="47"/>
        <v>1.2541638151501695</v>
      </c>
      <c r="CU34">
        <f t="shared" si="59"/>
        <v>3.5049063990458023</v>
      </c>
      <c r="CV34">
        <f t="shared" si="60"/>
        <v>1.0000000000000001E-5</v>
      </c>
      <c r="CW34">
        <f t="shared" si="61"/>
        <v>3.5049063990458023</v>
      </c>
      <c r="CX34">
        <f t="shared" si="48"/>
        <v>0.52739000000000003</v>
      </c>
      <c r="CY34">
        <f t="shared" si="62"/>
        <v>0.01</v>
      </c>
      <c r="CZ34">
        <f t="shared" si="63"/>
        <v>0.52739000000000003</v>
      </c>
      <c r="DA34">
        <v>0.3</v>
      </c>
      <c r="DB34">
        <v>0.3</v>
      </c>
      <c r="DC34">
        <v>0.3</v>
      </c>
    </row>
    <row r="35" spans="1:107" x14ac:dyDescent="0.25">
      <c r="A35">
        <v>12</v>
      </c>
      <c r="B35">
        <v>6</v>
      </c>
      <c r="C35" t="str">
        <f t="shared" si="49"/>
        <v>SSTens</v>
      </c>
      <c r="D35">
        <v>0.30480000000000002</v>
      </c>
      <c r="E35">
        <f t="shared" si="14"/>
        <v>304.8</v>
      </c>
      <c r="F35">
        <v>7.1399999999999996E-3</v>
      </c>
      <c r="G35">
        <f t="shared" si="15"/>
        <v>7.14</v>
      </c>
      <c r="H35">
        <f t="shared" si="16"/>
        <v>42.689075630252105</v>
      </c>
      <c r="I35">
        <v>30</v>
      </c>
      <c r="J35" t="s">
        <v>73</v>
      </c>
      <c r="K35">
        <f t="shared" si="50"/>
        <v>8</v>
      </c>
      <c r="L35">
        <f t="shared" si="51"/>
        <v>12</v>
      </c>
      <c r="M35">
        <f t="shared" si="52"/>
        <v>414000</v>
      </c>
      <c r="N35">
        <f t="shared" si="53"/>
        <v>517000</v>
      </c>
      <c r="O35">
        <f t="shared" si="54"/>
        <v>2.5466769467238102</v>
      </c>
      <c r="S35" t="s">
        <v>71</v>
      </c>
      <c r="T35" t="s">
        <v>72</v>
      </c>
      <c r="U35">
        <f t="shared" si="55"/>
        <v>17.5</v>
      </c>
      <c r="V35">
        <f t="shared" si="56"/>
        <v>0</v>
      </c>
      <c r="W35">
        <f t="shared" si="57"/>
        <v>37.5</v>
      </c>
      <c r="X35">
        <f t="shared" si="58"/>
        <v>1.1000000000000001</v>
      </c>
      <c r="Y35">
        <v>0.9</v>
      </c>
      <c r="Z35">
        <v>0</v>
      </c>
      <c r="AB35">
        <f t="shared" si="17"/>
        <v>39.499244433584465</v>
      </c>
      <c r="AC35">
        <f t="shared" si="18"/>
        <v>1</v>
      </c>
      <c r="AD35">
        <f t="shared" si="19"/>
        <v>1</v>
      </c>
      <c r="AK35">
        <v>0.75</v>
      </c>
      <c r="AL35">
        <f t="shared" si="20"/>
        <v>0.27849000000000013</v>
      </c>
      <c r="AM35">
        <f t="shared" si="21"/>
        <v>6.1265274996957969E-2</v>
      </c>
      <c r="AN35">
        <f t="shared" si="22"/>
        <v>-0.14868999999999999</v>
      </c>
      <c r="AS35">
        <f t="shared" si="23"/>
        <v>0.10148000000000001</v>
      </c>
      <c r="AT35">
        <f t="shared" si="24"/>
        <v>-0.35609999999999997</v>
      </c>
      <c r="AU35">
        <f t="shared" si="25"/>
        <v>-0.47172999999999998</v>
      </c>
      <c r="AV35">
        <f t="shared" si="26"/>
        <v>-1.2599999999999998E-3</v>
      </c>
      <c r="AW35">
        <f t="shared" si="27"/>
        <v>1.1289999999999994E-2</v>
      </c>
      <c r="AY35">
        <f t="shared" si="28"/>
        <v>-0.16996391201545347</v>
      </c>
      <c r="BC35">
        <f t="shared" si="29"/>
        <v>1.0102099999999998</v>
      </c>
      <c r="BD35">
        <f t="shared" si="30"/>
        <v>0.16489999999999999</v>
      </c>
      <c r="BE35">
        <f t="shared" si="31"/>
        <v>2.7367600000000003</v>
      </c>
      <c r="BH35">
        <f t="shared" si="32"/>
        <v>3.0000000000000079E-5</v>
      </c>
      <c r="BI35">
        <f t="shared" si="33"/>
        <v>4.9599999999999998E-2</v>
      </c>
      <c r="BJ35">
        <f t="shared" si="34"/>
        <v>-0.68128</v>
      </c>
      <c r="BK35">
        <f t="shared" si="35"/>
        <v>1.3999999999999993E-4</v>
      </c>
      <c r="BL35">
        <f t="shared" si="36"/>
        <v>0.46031000000000011</v>
      </c>
      <c r="BM35">
        <f t="shared" si="37"/>
        <v>-1.7769999999999998E-2</v>
      </c>
      <c r="BN35">
        <f t="shared" si="38"/>
        <v>0.21465000000000001</v>
      </c>
      <c r="BO35">
        <f t="shared" si="39"/>
        <v>-0.11712000000000006</v>
      </c>
      <c r="BP35">
        <f t="shared" si="40"/>
        <v>9.5699999999999952E-3</v>
      </c>
      <c r="CB35">
        <f t="shared" si="41"/>
        <v>0</v>
      </c>
      <c r="CC35">
        <f t="shared" si="42"/>
        <v>1</v>
      </c>
      <c r="CD35">
        <f t="shared" si="43"/>
        <v>1</v>
      </c>
      <c r="CE35">
        <f t="shared" si="44"/>
        <v>35.235000927267137</v>
      </c>
      <c r="CL35">
        <f t="shared" si="45"/>
        <v>35.235000927267137</v>
      </c>
      <c r="CM35">
        <f t="shared" si="46"/>
        <v>0</v>
      </c>
      <c r="CT35">
        <f t="shared" si="47"/>
        <v>-2.51856428360386</v>
      </c>
      <c r="CU35">
        <f t="shared" si="59"/>
        <v>8.0575206890821802E-2</v>
      </c>
      <c r="CV35">
        <f t="shared" si="60"/>
        <v>1.0000000000000001E-5</v>
      </c>
      <c r="CW35">
        <f t="shared" si="61"/>
        <v>8.0575206890821802E-2</v>
      </c>
      <c r="CX35">
        <f t="shared" si="48"/>
        <v>0.42169000000000001</v>
      </c>
      <c r="CY35">
        <f t="shared" si="62"/>
        <v>0.01</v>
      </c>
      <c r="CZ35">
        <f t="shared" si="63"/>
        <v>0.42169000000000001</v>
      </c>
      <c r="DA35">
        <v>0.3</v>
      </c>
      <c r="DB35">
        <v>0.3</v>
      </c>
      <c r="DC35">
        <v>0.3</v>
      </c>
    </row>
    <row r="36" spans="1:107" x14ac:dyDescent="0.25">
      <c r="A36">
        <v>13</v>
      </c>
      <c r="B36">
        <v>31</v>
      </c>
      <c r="C36" t="str">
        <f t="shared" si="49"/>
        <v>SSTens</v>
      </c>
      <c r="D36">
        <v>0.40639999999999998</v>
      </c>
      <c r="E36">
        <f t="shared" si="14"/>
        <v>406.4</v>
      </c>
      <c r="F36">
        <v>9.5299999999999985E-3</v>
      </c>
      <c r="G36">
        <f t="shared" si="15"/>
        <v>9.5299999999999994</v>
      </c>
      <c r="H36">
        <f t="shared" si="16"/>
        <v>42.644281217208821</v>
      </c>
      <c r="I36">
        <v>50</v>
      </c>
      <c r="J36" t="s">
        <v>75</v>
      </c>
      <c r="K36">
        <f t="shared" si="50"/>
        <v>14</v>
      </c>
      <c r="L36">
        <f t="shared" si="51"/>
        <v>15</v>
      </c>
      <c r="M36">
        <f t="shared" si="52"/>
        <v>483000</v>
      </c>
      <c r="N36">
        <f t="shared" si="53"/>
        <v>565000</v>
      </c>
      <c r="O36">
        <f t="shared" si="54"/>
        <v>2.8799444073326219</v>
      </c>
      <c r="S36" t="s">
        <v>71</v>
      </c>
      <c r="T36" t="s">
        <v>72</v>
      </c>
      <c r="U36">
        <f t="shared" si="55"/>
        <v>17.5</v>
      </c>
      <c r="V36">
        <f t="shared" si="56"/>
        <v>0</v>
      </c>
      <c r="W36">
        <f t="shared" si="57"/>
        <v>37.5</v>
      </c>
      <c r="X36">
        <f t="shared" si="58"/>
        <v>1.1000000000000001</v>
      </c>
      <c r="Y36">
        <v>0.9</v>
      </c>
      <c r="Z36">
        <v>0</v>
      </c>
      <c r="AB36">
        <f t="shared" si="17"/>
        <v>52.665659244779285</v>
      </c>
      <c r="AC36">
        <f t="shared" si="18"/>
        <v>1</v>
      </c>
      <c r="AD36">
        <f t="shared" si="19"/>
        <v>1</v>
      </c>
      <c r="AK36">
        <v>0.75</v>
      </c>
      <c r="AL36">
        <f t="shared" si="20"/>
        <v>-1.0720100000000001</v>
      </c>
      <c r="AM36">
        <f t="shared" si="21"/>
        <v>0.37861949879439499</v>
      </c>
      <c r="AN36">
        <f t="shared" si="22"/>
        <v>0.18805999999999998</v>
      </c>
      <c r="AS36">
        <f t="shared" si="23"/>
        <v>2.6230000000000003E-2</v>
      </c>
      <c r="AT36">
        <f t="shared" si="24"/>
        <v>0.18940000000000001</v>
      </c>
      <c r="AU36">
        <f t="shared" si="25"/>
        <v>0.13727</v>
      </c>
      <c r="AV36">
        <f t="shared" si="26"/>
        <v>-1.5100000000000001E-3</v>
      </c>
      <c r="AW36">
        <f t="shared" si="27"/>
        <v>6.828999999999999E-2</v>
      </c>
      <c r="AY36">
        <f t="shared" si="28"/>
        <v>6.4177768834329907E-2</v>
      </c>
      <c r="BC36">
        <f t="shared" si="29"/>
        <v>0.46670999999999996</v>
      </c>
      <c r="BD36">
        <f t="shared" si="30"/>
        <v>0.21565000000000001</v>
      </c>
      <c r="BE36">
        <f t="shared" si="31"/>
        <v>2.0365100000000003</v>
      </c>
      <c r="BH36">
        <f t="shared" si="32"/>
        <v>-2.47E-3</v>
      </c>
      <c r="BI36">
        <f t="shared" si="33"/>
        <v>2.1099999999999997E-2</v>
      </c>
      <c r="BJ36">
        <f t="shared" si="34"/>
        <v>-0.32228000000000001</v>
      </c>
      <c r="BK36">
        <f t="shared" si="35"/>
        <v>6.3999999999999994E-4</v>
      </c>
      <c r="BL36">
        <f t="shared" si="36"/>
        <v>0.79181000000000001</v>
      </c>
      <c r="BM36">
        <f t="shared" si="37"/>
        <v>-2.5199999999999988E-3</v>
      </c>
      <c r="BN36">
        <f t="shared" si="38"/>
        <v>3.2649999999999998E-2</v>
      </c>
      <c r="BO36">
        <f t="shared" si="39"/>
        <v>0.25287999999999999</v>
      </c>
      <c r="BP36">
        <f t="shared" si="40"/>
        <v>7.757E-2</v>
      </c>
      <c r="CB36">
        <f t="shared" si="41"/>
        <v>0</v>
      </c>
      <c r="CC36">
        <f t="shared" si="42"/>
        <v>1</v>
      </c>
      <c r="CD36">
        <f t="shared" si="43"/>
        <v>0</v>
      </c>
      <c r="CE36">
        <f t="shared" si="44"/>
        <v>34.875583720662959</v>
      </c>
      <c r="CL36">
        <f t="shared" si="45"/>
        <v>34.875583720662959</v>
      </c>
      <c r="CM36">
        <f t="shared" si="46"/>
        <v>0</v>
      </c>
      <c r="CT36">
        <f t="shared" si="47"/>
        <v>-10.995295938748249</v>
      </c>
      <c r="CU36">
        <f t="shared" si="59"/>
        <v>1.6780451693088814E-5</v>
      </c>
      <c r="CV36">
        <f t="shared" si="60"/>
        <v>1.0000000000000001E-5</v>
      </c>
      <c r="CW36">
        <f t="shared" si="61"/>
        <v>1.6780451693088814E-5</v>
      </c>
      <c r="CX36">
        <f t="shared" si="48"/>
        <v>0.49719000000000002</v>
      </c>
      <c r="CY36">
        <f t="shared" si="62"/>
        <v>0.01</v>
      </c>
      <c r="CZ36">
        <f t="shared" si="63"/>
        <v>0.49719000000000002</v>
      </c>
      <c r="DA36">
        <v>0.3</v>
      </c>
      <c r="DB36">
        <v>0.3</v>
      </c>
      <c r="DC36">
        <v>0.3</v>
      </c>
    </row>
    <row r="37" spans="1:107" x14ac:dyDescent="0.25">
      <c r="A37">
        <v>14</v>
      </c>
      <c r="B37">
        <v>7</v>
      </c>
      <c r="C37" t="str">
        <f t="shared" si="49"/>
        <v>SSTens</v>
      </c>
      <c r="D37">
        <v>0.50800000000000001</v>
      </c>
      <c r="E37">
        <f t="shared" si="14"/>
        <v>508</v>
      </c>
      <c r="F37">
        <v>1.1130000000000001E-2</v>
      </c>
      <c r="G37">
        <f t="shared" si="15"/>
        <v>11.13</v>
      </c>
      <c r="H37">
        <f t="shared" si="16"/>
        <v>45.642407906558844</v>
      </c>
      <c r="I37">
        <v>100</v>
      </c>
      <c r="J37" t="s">
        <v>77</v>
      </c>
      <c r="K37">
        <f t="shared" si="50"/>
        <v>15</v>
      </c>
      <c r="L37">
        <f t="shared" si="51"/>
        <v>20</v>
      </c>
      <c r="M37">
        <f t="shared" si="52"/>
        <v>552000</v>
      </c>
      <c r="N37">
        <f t="shared" si="53"/>
        <v>625000</v>
      </c>
      <c r="O37">
        <f t="shared" si="54"/>
        <v>2.9888368774026359</v>
      </c>
      <c r="S37" t="s">
        <v>71</v>
      </c>
      <c r="T37" t="s">
        <v>72</v>
      </c>
      <c r="U37">
        <f t="shared" si="55"/>
        <v>17.5</v>
      </c>
      <c r="V37">
        <f t="shared" si="56"/>
        <v>0</v>
      </c>
      <c r="W37">
        <f t="shared" si="57"/>
        <v>37.5</v>
      </c>
      <c r="X37">
        <f t="shared" si="58"/>
        <v>1.1000000000000001</v>
      </c>
      <c r="Y37">
        <v>0.9</v>
      </c>
      <c r="Z37">
        <v>0</v>
      </c>
      <c r="AB37">
        <f t="shared" si="17"/>
        <v>65.832074055974104</v>
      </c>
      <c r="AC37">
        <f t="shared" si="18"/>
        <v>1</v>
      </c>
      <c r="AD37">
        <f t="shared" si="19"/>
        <v>1</v>
      </c>
      <c r="AK37">
        <v>0.75</v>
      </c>
      <c r="AL37">
        <f t="shared" si="20"/>
        <v>0.22447000000000017</v>
      </c>
      <c r="AM37">
        <f t="shared" si="21"/>
        <v>0.18822525017291764</v>
      </c>
      <c r="AN37">
        <f t="shared" si="22"/>
        <v>-0.13522000000000001</v>
      </c>
      <c r="AS37">
        <f t="shared" si="23"/>
        <v>9.8470000000000002E-2</v>
      </c>
      <c r="AT37">
        <f t="shared" si="24"/>
        <v>-0.33428000000000002</v>
      </c>
      <c r="AU37">
        <f t="shared" si="25"/>
        <v>-0.44736999999999993</v>
      </c>
      <c r="AV37">
        <f t="shared" si="26"/>
        <v>-1.2699999999999999E-3</v>
      </c>
      <c r="AW37">
        <f t="shared" si="27"/>
        <v>1.3569999999999999E-2</v>
      </c>
      <c r="AY37">
        <f t="shared" si="28"/>
        <v>-0.19215623985827801</v>
      </c>
      <c r="BC37">
        <f t="shared" si="29"/>
        <v>0.98846999999999996</v>
      </c>
      <c r="BD37">
        <f t="shared" si="30"/>
        <v>0.16693000000000002</v>
      </c>
      <c r="BE37">
        <f t="shared" si="31"/>
        <v>2.7087500000000002</v>
      </c>
      <c r="BH37">
        <f t="shared" si="32"/>
        <v>-7.0000000000000184E-5</v>
      </c>
      <c r="BI37">
        <f t="shared" si="33"/>
        <v>4.8459999999999996E-2</v>
      </c>
      <c r="BJ37">
        <f t="shared" si="34"/>
        <v>-0.66691999999999996</v>
      </c>
      <c r="BK37">
        <f t="shared" si="35"/>
        <v>1.5999999999999999E-4</v>
      </c>
      <c r="BL37">
        <f t="shared" si="36"/>
        <v>0.47357000000000005</v>
      </c>
      <c r="BM37">
        <f t="shared" si="37"/>
        <v>-1.7159999999999998E-2</v>
      </c>
      <c r="BN37">
        <f t="shared" si="38"/>
        <v>0.20737</v>
      </c>
      <c r="BO37">
        <f t="shared" si="39"/>
        <v>-0.10232000000000002</v>
      </c>
      <c r="BP37">
        <f t="shared" si="40"/>
        <v>1.2289999999999995E-2</v>
      </c>
      <c r="CB37">
        <f t="shared" si="41"/>
        <v>0</v>
      </c>
      <c r="CC37">
        <f t="shared" si="42"/>
        <v>1</v>
      </c>
      <c r="CD37">
        <f t="shared" si="43"/>
        <v>0</v>
      </c>
      <c r="CE37">
        <f t="shared" si="44"/>
        <v>24.805187421061582</v>
      </c>
      <c r="CL37">
        <f t="shared" si="45"/>
        <v>24.805187421061582</v>
      </c>
      <c r="CM37">
        <f t="shared" si="46"/>
        <v>0</v>
      </c>
      <c r="CT37">
        <f t="shared" si="47"/>
        <v>-0.74325381350195208</v>
      </c>
      <c r="CU37">
        <f t="shared" si="59"/>
        <v>0.47556399875824051</v>
      </c>
      <c r="CV37">
        <f t="shared" si="60"/>
        <v>1.0000000000000001E-5</v>
      </c>
      <c r="CW37">
        <f t="shared" si="61"/>
        <v>0.47556399875824051</v>
      </c>
      <c r="CX37">
        <f t="shared" si="48"/>
        <v>0.42471000000000003</v>
      </c>
      <c r="CY37">
        <f t="shared" si="62"/>
        <v>0.01</v>
      </c>
      <c r="CZ37">
        <f t="shared" si="63"/>
        <v>0.42471000000000003</v>
      </c>
      <c r="DA37">
        <v>0.3</v>
      </c>
      <c r="DB37">
        <v>0.3</v>
      </c>
      <c r="DC37">
        <v>0.3</v>
      </c>
    </row>
    <row r="38" spans="1:107" x14ac:dyDescent="0.25">
      <c r="A38">
        <v>15</v>
      </c>
      <c r="B38">
        <v>9</v>
      </c>
      <c r="C38" t="str">
        <f t="shared" si="49"/>
        <v>SSTens</v>
      </c>
      <c r="D38">
        <v>0.60960000000000003</v>
      </c>
      <c r="E38">
        <f t="shared" si="14"/>
        <v>609.6</v>
      </c>
      <c r="F38">
        <v>9.5299999999999985E-3</v>
      </c>
      <c r="G38">
        <f t="shared" si="15"/>
        <v>9.5299999999999994</v>
      </c>
      <c r="H38">
        <f t="shared" si="16"/>
        <v>63.966421825813235</v>
      </c>
      <c r="I38">
        <v>15</v>
      </c>
      <c r="J38" t="s">
        <v>70</v>
      </c>
      <c r="K38">
        <f t="shared" si="50"/>
        <v>8</v>
      </c>
      <c r="L38">
        <f t="shared" si="51"/>
        <v>10</v>
      </c>
      <c r="M38">
        <f t="shared" si="52"/>
        <v>359000</v>
      </c>
      <c r="N38">
        <f t="shared" si="53"/>
        <v>455000</v>
      </c>
      <c r="O38">
        <f t="shared" si="54"/>
        <v>1.9969902892117808</v>
      </c>
      <c r="S38" t="s">
        <v>71</v>
      </c>
      <c r="T38" t="s">
        <v>74</v>
      </c>
      <c r="U38">
        <f t="shared" si="55"/>
        <v>18</v>
      </c>
      <c r="V38">
        <f t="shared" si="56"/>
        <v>0</v>
      </c>
      <c r="W38">
        <f t="shared" si="57"/>
        <v>75</v>
      </c>
      <c r="X38">
        <f t="shared" si="58"/>
        <v>0.72</v>
      </c>
      <c r="Y38">
        <v>0.9</v>
      </c>
      <c r="Z38">
        <v>0</v>
      </c>
      <c r="AB38">
        <f t="shared" si="17"/>
        <v>103.41620360793024</v>
      </c>
      <c r="AC38">
        <f t="shared" si="18"/>
        <v>0</v>
      </c>
      <c r="AD38">
        <f t="shared" si="19"/>
        <v>1</v>
      </c>
      <c r="AK38">
        <v>0.75</v>
      </c>
      <c r="AL38">
        <f t="shared" si="20"/>
        <v>0.11643000000000003</v>
      </c>
      <c r="AM38">
        <f t="shared" si="21"/>
        <v>-0.1018074430633997</v>
      </c>
      <c r="AN38">
        <f t="shared" si="22"/>
        <v>-0.10827999999999999</v>
      </c>
      <c r="AS38">
        <f t="shared" si="23"/>
        <v>9.2450000000000004E-2</v>
      </c>
      <c r="AT38">
        <f t="shared" si="24"/>
        <v>-0.29064000000000001</v>
      </c>
      <c r="AU38">
        <f t="shared" si="25"/>
        <v>-0.39864999999999995</v>
      </c>
      <c r="AV38">
        <f t="shared" si="26"/>
        <v>-1.2899999999999999E-3</v>
      </c>
      <c r="AW38">
        <f t="shared" si="27"/>
        <v>1.8129999999999993E-2</v>
      </c>
      <c r="AY38">
        <f t="shared" si="28"/>
        <v>-0.24721189702307916</v>
      </c>
      <c r="BC38">
        <f t="shared" si="29"/>
        <v>0.94499</v>
      </c>
      <c r="BD38">
        <f t="shared" si="30"/>
        <v>0.17099</v>
      </c>
      <c r="BE38">
        <f t="shared" si="31"/>
        <v>2.65273</v>
      </c>
      <c r="BH38">
        <f t="shared" si="32"/>
        <v>-2.6999999999999984E-4</v>
      </c>
      <c r="BI38">
        <f t="shared" si="33"/>
        <v>4.6179999999999999E-2</v>
      </c>
      <c r="BJ38">
        <f t="shared" si="34"/>
        <v>-0.63819999999999999</v>
      </c>
      <c r="BK38">
        <f t="shared" si="35"/>
        <v>1.9999999999999998E-4</v>
      </c>
      <c r="BL38">
        <f t="shared" si="36"/>
        <v>0.50009000000000015</v>
      </c>
      <c r="BM38">
        <f t="shared" si="37"/>
        <v>-1.5939999999999999E-2</v>
      </c>
      <c r="BN38">
        <f t="shared" si="38"/>
        <v>0.19280999999999998</v>
      </c>
      <c r="BO38">
        <f t="shared" si="39"/>
        <v>-7.2720000000000062E-2</v>
      </c>
      <c r="BP38">
        <f t="shared" si="40"/>
        <v>1.7729999999999996E-2</v>
      </c>
      <c r="CB38">
        <f t="shared" si="41"/>
        <v>0</v>
      </c>
      <c r="CC38">
        <f t="shared" si="42"/>
        <v>1</v>
      </c>
      <c r="CD38">
        <f t="shared" si="43"/>
        <v>1</v>
      </c>
      <c r="CE38">
        <f t="shared" si="44"/>
        <v>59.10145817348517</v>
      </c>
      <c r="CL38">
        <f t="shared" si="45"/>
        <v>59.10145817348517</v>
      </c>
      <c r="CM38">
        <f t="shared" si="46"/>
        <v>0</v>
      </c>
      <c r="CT38">
        <f t="shared" si="47"/>
        <v>-0.73581869692911095</v>
      </c>
      <c r="CU38">
        <f t="shared" si="59"/>
        <v>0.47911304998207627</v>
      </c>
      <c r="CV38">
        <f t="shared" si="60"/>
        <v>1.0000000000000001E-5</v>
      </c>
      <c r="CW38">
        <f t="shared" si="61"/>
        <v>0.47911304998207627</v>
      </c>
      <c r="CX38">
        <f t="shared" si="48"/>
        <v>0.43074999999999997</v>
      </c>
      <c r="CY38">
        <f t="shared" si="62"/>
        <v>0.01</v>
      </c>
      <c r="CZ38">
        <f t="shared" si="63"/>
        <v>0.43074999999999997</v>
      </c>
      <c r="DA38">
        <v>0.3</v>
      </c>
      <c r="DB38">
        <v>0.3</v>
      </c>
      <c r="DC38">
        <v>0.3</v>
      </c>
    </row>
    <row r="39" spans="1:107" x14ac:dyDescent="0.25">
      <c r="A39">
        <v>16</v>
      </c>
      <c r="B39">
        <v>34</v>
      </c>
      <c r="C39" t="str">
        <f t="shared" si="49"/>
        <v>SSTens</v>
      </c>
      <c r="D39">
        <v>0.76200000000000001</v>
      </c>
      <c r="E39">
        <f t="shared" si="14"/>
        <v>762</v>
      </c>
      <c r="F39">
        <v>1.2699999999999999E-2</v>
      </c>
      <c r="G39">
        <f t="shared" si="15"/>
        <v>12.7</v>
      </c>
      <c r="H39">
        <f t="shared" si="16"/>
        <v>60</v>
      </c>
      <c r="I39">
        <v>30</v>
      </c>
      <c r="J39" t="s">
        <v>73</v>
      </c>
      <c r="K39">
        <f t="shared" si="50"/>
        <v>8</v>
      </c>
      <c r="L39">
        <f t="shared" si="51"/>
        <v>12</v>
      </c>
      <c r="M39">
        <f t="shared" si="52"/>
        <v>414000</v>
      </c>
      <c r="N39">
        <f t="shared" si="53"/>
        <v>517000</v>
      </c>
      <c r="O39">
        <f t="shared" si="54"/>
        <v>2.5466769467238102</v>
      </c>
      <c r="S39" t="s">
        <v>71</v>
      </c>
      <c r="T39" t="s">
        <v>74</v>
      </c>
      <c r="U39">
        <f t="shared" si="55"/>
        <v>18</v>
      </c>
      <c r="V39">
        <f t="shared" si="56"/>
        <v>0</v>
      </c>
      <c r="W39">
        <f t="shared" si="57"/>
        <v>75</v>
      </c>
      <c r="X39">
        <f t="shared" si="58"/>
        <v>0.72</v>
      </c>
      <c r="Y39">
        <v>0.9</v>
      </c>
      <c r="Z39">
        <v>0</v>
      </c>
      <c r="AB39">
        <f t="shared" si="17"/>
        <v>129.2702545099128</v>
      </c>
      <c r="AC39">
        <f t="shared" si="18"/>
        <v>0</v>
      </c>
      <c r="AD39">
        <f t="shared" si="19"/>
        <v>1</v>
      </c>
      <c r="AK39">
        <v>1.5</v>
      </c>
      <c r="AL39">
        <f t="shared" si="20"/>
        <v>-1.23407</v>
      </c>
      <c r="AM39">
        <f t="shared" si="21"/>
        <v>0.33045059496458912</v>
      </c>
      <c r="AN39">
        <f t="shared" si="22"/>
        <v>0.22846999999999998</v>
      </c>
      <c r="AS39">
        <f t="shared" si="23"/>
        <v>1.72E-2</v>
      </c>
      <c r="AT39">
        <f t="shared" si="24"/>
        <v>0.25485999999999998</v>
      </c>
      <c r="AU39">
        <f t="shared" si="25"/>
        <v>0.21035000000000004</v>
      </c>
      <c r="AV39">
        <f t="shared" si="26"/>
        <v>-1.5399999999999999E-3</v>
      </c>
      <c r="AW39">
        <f t="shared" si="27"/>
        <v>7.5130000000000002E-2</v>
      </c>
      <c r="AY39">
        <f t="shared" si="28"/>
        <v>-0.14809673694969461</v>
      </c>
      <c r="BC39">
        <f t="shared" si="29"/>
        <v>0.40149000000000001</v>
      </c>
      <c r="BD39">
        <f t="shared" si="30"/>
        <v>0.22173999999999999</v>
      </c>
      <c r="BE39">
        <f t="shared" si="31"/>
        <v>1.95248</v>
      </c>
      <c r="BH39">
        <f t="shared" si="32"/>
        <v>-2.7699999999999999E-3</v>
      </c>
      <c r="BI39">
        <f t="shared" si="33"/>
        <v>1.7679999999999998E-2</v>
      </c>
      <c r="BJ39">
        <f t="shared" si="34"/>
        <v>-0.2792</v>
      </c>
      <c r="BK39">
        <f t="shared" si="35"/>
        <v>6.9999999999999999E-4</v>
      </c>
      <c r="BL39">
        <f t="shared" si="36"/>
        <v>0.83159000000000005</v>
      </c>
      <c r="BM39">
        <f t="shared" si="37"/>
        <v>-6.8999999999999964E-4</v>
      </c>
      <c r="BN39">
        <f t="shared" si="38"/>
        <v>1.081E-2</v>
      </c>
      <c r="BO39">
        <f t="shared" si="39"/>
        <v>0.29727999999999999</v>
      </c>
      <c r="BP39">
        <f t="shared" si="40"/>
        <v>8.5730000000000001E-2</v>
      </c>
      <c r="CB39">
        <f t="shared" si="41"/>
        <v>0</v>
      </c>
      <c r="CC39">
        <f t="shared" si="42"/>
        <v>0</v>
      </c>
      <c r="CD39">
        <f t="shared" si="43"/>
        <v>1</v>
      </c>
      <c r="CE39">
        <f t="shared" si="44"/>
        <v>-0.13675050892386795</v>
      </c>
      <c r="CL39">
        <f t="shared" si="45"/>
        <v>0</v>
      </c>
      <c r="CM39">
        <f t="shared" si="46"/>
        <v>-0.13675050892386795</v>
      </c>
      <c r="CT39">
        <f t="shared" si="47"/>
        <v>1.233670099194631</v>
      </c>
      <c r="CU39">
        <f t="shared" si="59"/>
        <v>3.4338088576140939</v>
      </c>
      <c r="CV39">
        <f t="shared" si="60"/>
        <v>1.0000000000000001E-5</v>
      </c>
      <c r="CW39">
        <f t="shared" si="61"/>
        <v>3.4338088576140939</v>
      </c>
      <c r="CX39">
        <f t="shared" si="48"/>
        <v>0.50624999999999998</v>
      </c>
      <c r="CY39">
        <f t="shared" si="62"/>
        <v>0.01</v>
      </c>
      <c r="CZ39">
        <f t="shared" si="63"/>
        <v>0.50624999999999998</v>
      </c>
      <c r="DA39">
        <v>0.3</v>
      </c>
      <c r="DB39">
        <v>0.3</v>
      </c>
      <c r="DC39">
        <v>0.3</v>
      </c>
    </row>
    <row r="40" spans="1:107" x14ac:dyDescent="0.25">
      <c r="A40">
        <v>17</v>
      </c>
      <c r="B40">
        <v>30</v>
      </c>
      <c r="C40" t="str">
        <f t="shared" si="49"/>
        <v>SSTens</v>
      </c>
      <c r="D40">
        <v>0.86360000000000003</v>
      </c>
      <c r="E40">
        <f t="shared" si="14"/>
        <v>863.6</v>
      </c>
      <c r="F40">
        <v>1.1130000000000001E-2</v>
      </c>
      <c r="G40">
        <f t="shared" si="15"/>
        <v>11.13</v>
      </c>
      <c r="H40">
        <f t="shared" si="16"/>
        <v>77.592093441150041</v>
      </c>
      <c r="I40">
        <v>50</v>
      </c>
      <c r="J40" t="s">
        <v>75</v>
      </c>
      <c r="K40">
        <f t="shared" si="50"/>
        <v>14</v>
      </c>
      <c r="L40">
        <f t="shared" si="51"/>
        <v>15</v>
      </c>
      <c r="M40">
        <f t="shared" si="52"/>
        <v>483000</v>
      </c>
      <c r="N40">
        <f t="shared" si="53"/>
        <v>565000</v>
      </c>
      <c r="O40">
        <f t="shared" si="54"/>
        <v>2.8799444073326219</v>
      </c>
      <c r="S40" t="s">
        <v>71</v>
      </c>
      <c r="T40" t="s">
        <v>74</v>
      </c>
      <c r="U40">
        <f t="shared" si="55"/>
        <v>18</v>
      </c>
      <c r="V40">
        <f t="shared" si="56"/>
        <v>0</v>
      </c>
      <c r="W40">
        <f t="shared" si="57"/>
        <v>75</v>
      </c>
      <c r="X40">
        <f t="shared" si="58"/>
        <v>0.72</v>
      </c>
      <c r="Y40">
        <v>0.9</v>
      </c>
      <c r="Z40">
        <v>0</v>
      </c>
      <c r="AB40">
        <f t="shared" si="17"/>
        <v>146.50628844456784</v>
      </c>
      <c r="AC40">
        <f t="shared" si="18"/>
        <v>0</v>
      </c>
      <c r="AD40">
        <f t="shared" si="19"/>
        <v>1</v>
      </c>
      <c r="AK40">
        <v>1.5</v>
      </c>
      <c r="AL40">
        <f t="shared" si="20"/>
        <v>-1.01799</v>
      </c>
      <c r="AM40">
        <f t="shared" si="21"/>
        <v>0.26090941251699395</v>
      </c>
      <c r="AN40">
        <f t="shared" si="22"/>
        <v>0.17459</v>
      </c>
      <c r="AS40">
        <f t="shared" si="23"/>
        <v>2.9240000000000002E-2</v>
      </c>
      <c r="AT40">
        <f t="shared" si="24"/>
        <v>0.16758000000000001</v>
      </c>
      <c r="AU40">
        <f t="shared" si="25"/>
        <v>0.11291000000000001</v>
      </c>
      <c r="AV40">
        <f t="shared" si="26"/>
        <v>-1.5E-3</v>
      </c>
      <c r="AW40">
        <f t="shared" si="27"/>
        <v>6.6009999999999985E-2</v>
      </c>
      <c r="AY40">
        <f t="shared" si="28"/>
        <v>-5.900749565548391E-2</v>
      </c>
      <c r="BC40">
        <f t="shared" si="29"/>
        <v>0.48845</v>
      </c>
      <c r="BD40">
        <f t="shared" si="30"/>
        <v>0.21362</v>
      </c>
      <c r="BE40">
        <f t="shared" si="31"/>
        <v>2.0645199999999999</v>
      </c>
      <c r="BH40">
        <f t="shared" si="32"/>
        <v>-2.3700000000000001E-3</v>
      </c>
      <c r="BI40">
        <f t="shared" si="33"/>
        <v>2.2239999999999999E-2</v>
      </c>
      <c r="BJ40">
        <f t="shared" si="34"/>
        <v>-0.33663999999999999</v>
      </c>
      <c r="BK40">
        <f t="shared" si="35"/>
        <v>6.2E-4</v>
      </c>
      <c r="BL40">
        <f t="shared" si="36"/>
        <v>0.77855000000000008</v>
      </c>
      <c r="BM40">
        <f t="shared" si="37"/>
        <v>-3.13E-3</v>
      </c>
      <c r="BN40">
        <f t="shared" si="38"/>
        <v>3.9930000000000007E-2</v>
      </c>
      <c r="BO40">
        <f t="shared" si="39"/>
        <v>0.23807999999999999</v>
      </c>
      <c r="BP40">
        <f t="shared" si="40"/>
        <v>7.485E-2</v>
      </c>
      <c r="CB40">
        <f t="shared" si="41"/>
        <v>0</v>
      </c>
      <c r="CC40">
        <f t="shared" si="42"/>
        <v>0</v>
      </c>
      <c r="CD40">
        <f t="shared" si="43"/>
        <v>0</v>
      </c>
      <c r="CE40">
        <f t="shared" si="44"/>
        <v>0.31412415867276039</v>
      </c>
      <c r="CL40">
        <f t="shared" si="45"/>
        <v>0</v>
      </c>
      <c r="CM40">
        <f t="shared" si="46"/>
        <v>0.31412415867276039</v>
      </c>
      <c r="CT40">
        <f t="shared" si="47"/>
        <v>1.5639121331187127</v>
      </c>
      <c r="CU40">
        <f t="shared" si="59"/>
        <v>4.7774748512413208</v>
      </c>
      <c r="CV40">
        <f t="shared" si="60"/>
        <v>1.0000000000000001E-5</v>
      </c>
      <c r="CW40">
        <f t="shared" si="61"/>
        <v>4.7774748512413208</v>
      </c>
      <c r="CX40">
        <f t="shared" si="48"/>
        <v>0.49417</v>
      </c>
      <c r="CY40">
        <f t="shared" si="62"/>
        <v>0.01</v>
      </c>
      <c r="CZ40">
        <f t="shared" si="63"/>
        <v>0.49417</v>
      </c>
      <c r="DA40">
        <v>0.3</v>
      </c>
      <c r="DB40">
        <v>0.3</v>
      </c>
      <c r="DC40">
        <v>0.3</v>
      </c>
    </row>
    <row r="41" spans="1:107" x14ac:dyDescent="0.25">
      <c r="A41">
        <v>18</v>
      </c>
      <c r="B41">
        <v>28</v>
      </c>
      <c r="C41" t="str">
        <f t="shared" si="49"/>
        <v>SSTens</v>
      </c>
      <c r="D41">
        <v>1.0668</v>
      </c>
      <c r="E41">
        <f t="shared" si="14"/>
        <v>1066.8</v>
      </c>
      <c r="F41">
        <v>1.2699999999999999E-2</v>
      </c>
      <c r="G41">
        <f t="shared" si="15"/>
        <v>12.7</v>
      </c>
      <c r="H41">
        <f t="shared" si="16"/>
        <v>84</v>
      </c>
      <c r="I41">
        <v>100</v>
      </c>
      <c r="J41" t="s">
        <v>77</v>
      </c>
      <c r="K41">
        <f t="shared" si="50"/>
        <v>15</v>
      </c>
      <c r="L41">
        <f t="shared" si="51"/>
        <v>20</v>
      </c>
      <c r="M41">
        <f t="shared" si="52"/>
        <v>552000</v>
      </c>
      <c r="N41">
        <f t="shared" si="53"/>
        <v>625000</v>
      </c>
      <c r="O41">
        <f t="shared" si="54"/>
        <v>2.9888368774026359</v>
      </c>
      <c r="S41" t="s">
        <v>71</v>
      </c>
      <c r="T41" t="s">
        <v>76</v>
      </c>
      <c r="U41">
        <f t="shared" si="55"/>
        <v>18.5</v>
      </c>
      <c r="V41">
        <f t="shared" si="56"/>
        <v>0</v>
      </c>
      <c r="W41">
        <f t="shared" si="57"/>
        <v>125</v>
      </c>
      <c r="X41">
        <f t="shared" si="58"/>
        <v>0.4</v>
      </c>
      <c r="Y41">
        <v>0.9</v>
      </c>
      <c r="Z41">
        <v>0</v>
      </c>
      <c r="AB41">
        <f t="shared" si="17"/>
        <v>167.57255214247957</v>
      </c>
      <c r="AC41">
        <f t="shared" si="18"/>
        <v>0</v>
      </c>
      <c r="AD41">
        <f t="shared" si="19"/>
        <v>1</v>
      </c>
      <c r="AK41">
        <v>1.5</v>
      </c>
      <c r="AL41">
        <f t="shared" si="20"/>
        <v>-0.90995000000000004</v>
      </c>
      <c r="AM41">
        <f t="shared" si="21"/>
        <v>0.25024830075794013</v>
      </c>
      <c r="AN41">
        <f t="shared" si="22"/>
        <v>0.14764999999999998</v>
      </c>
      <c r="AS41">
        <f t="shared" si="23"/>
        <v>3.526E-2</v>
      </c>
      <c r="AT41">
        <f t="shared" si="24"/>
        <v>0.12393999999999999</v>
      </c>
      <c r="AU41">
        <f t="shared" si="25"/>
        <v>6.4190000000000025E-2</v>
      </c>
      <c r="AV41">
        <f t="shared" si="26"/>
        <v>-1.48E-3</v>
      </c>
      <c r="AW41">
        <f t="shared" si="27"/>
        <v>6.1449999999999998E-2</v>
      </c>
      <c r="AY41">
        <f t="shared" si="28"/>
        <v>4.3996315441468314E-2</v>
      </c>
      <c r="BC41">
        <f t="shared" si="29"/>
        <v>0.53193000000000001</v>
      </c>
      <c r="BD41">
        <f t="shared" si="30"/>
        <v>0.20956000000000002</v>
      </c>
      <c r="BE41">
        <f t="shared" si="31"/>
        <v>2.1205400000000001</v>
      </c>
      <c r="BH41">
        <f t="shared" si="32"/>
        <v>-2.1700000000000001E-3</v>
      </c>
      <c r="BI41">
        <f t="shared" si="33"/>
        <v>2.4519999999999997E-2</v>
      </c>
      <c r="BJ41">
        <f t="shared" si="34"/>
        <v>-0.36536000000000002</v>
      </c>
      <c r="BK41">
        <f t="shared" si="35"/>
        <v>5.8E-4</v>
      </c>
      <c r="BL41">
        <f t="shared" si="36"/>
        <v>0.75203000000000009</v>
      </c>
      <c r="BM41">
        <f t="shared" si="37"/>
        <v>-4.3499999999999988E-3</v>
      </c>
      <c r="BN41">
        <f t="shared" si="38"/>
        <v>5.4489999999999997E-2</v>
      </c>
      <c r="BO41">
        <f t="shared" si="39"/>
        <v>0.20848</v>
      </c>
      <c r="BP41">
        <f t="shared" si="40"/>
        <v>6.9409999999999999E-2</v>
      </c>
      <c r="CB41">
        <f t="shared" si="41"/>
        <v>0</v>
      </c>
      <c r="CC41">
        <f t="shared" si="42"/>
        <v>0</v>
      </c>
      <c r="CD41">
        <f t="shared" si="43"/>
        <v>0</v>
      </c>
      <c r="CE41">
        <f t="shared" si="44"/>
        <v>0.28012591978410695</v>
      </c>
      <c r="CL41">
        <f t="shared" si="45"/>
        <v>0</v>
      </c>
      <c r="CM41">
        <f t="shared" si="46"/>
        <v>0.28012591978410695</v>
      </c>
      <c r="CT41">
        <f t="shared" si="47"/>
        <v>1.5617087463846138</v>
      </c>
      <c r="CU41">
        <f t="shared" si="59"/>
        <v>4.7669598151312735</v>
      </c>
      <c r="CV41">
        <f t="shared" si="60"/>
        <v>1.0000000000000001E-5</v>
      </c>
      <c r="CW41">
        <f t="shared" si="61"/>
        <v>4.7669598151312735</v>
      </c>
      <c r="CX41">
        <f t="shared" si="48"/>
        <v>0.48813000000000001</v>
      </c>
      <c r="CY41">
        <f t="shared" si="62"/>
        <v>0.01</v>
      </c>
      <c r="CZ41">
        <f t="shared" si="63"/>
        <v>0.48813000000000001</v>
      </c>
      <c r="DA41">
        <v>0.3</v>
      </c>
      <c r="DB41">
        <v>0.3</v>
      </c>
      <c r="DC41">
        <v>0.3</v>
      </c>
    </row>
    <row r="42" spans="1:107" x14ac:dyDescent="0.25">
      <c r="A42">
        <v>19</v>
      </c>
      <c r="B42">
        <v>33</v>
      </c>
      <c r="C42" t="str">
        <f t="shared" si="49"/>
        <v>SSTens</v>
      </c>
      <c r="D42">
        <v>0.60960000000000003</v>
      </c>
      <c r="E42">
        <f t="shared" si="14"/>
        <v>609.6</v>
      </c>
      <c r="F42">
        <v>1.1130000000000001E-2</v>
      </c>
      <c r="G42">
        <f t="shared" si="15"/>
        <v>11.13</v>
      </c>
      <c r="H42">
        <f t="shared" si="16"/>
        <v>54.770889487870619</v>
      </c>
      <c r="I42">
        <v>150</v>
      </c>
      <c r="J42" t="s">
        <v>100</v>
      </c>
      <c r="K42">
        <f t="shared" si="50"/>
        <v>3</v>
      </c>
      <c r="L42">
        <f t="shared" si="51"/>
        <v>9</v>
      </c>
      <c r="M42">
        <f t="shared" si="52"/>
        <v>290000</v>
      </c>
      <c r="N42">
        <f t="shared" si="53"/>
        <v>414000</v>
      </c>
      <c r="O42">
        <f t="shared" si="54"/>
        <v>1.7363704307629526</v>
      </c>
      <c r="S42" t="s">
        <v>71</v>
      </c>
      <c r="T42" t="s">
        <v>76</v>
      </c>
      <c r="U42">
        <f t="shared" si="55"/>
        <v>18.5</v>
      </c>
      <c r="V42">
        <f t="shared" si="56"/>
        <v>0</v>
      </c>
      <c r="W42">
        <f t="shared" si="57"/>
        <v>125</v>
      </c>
      <c r="X42">
        <f t="shared" si="58"/>
        <v>0.4</v>
      </c>
      <c r="Y42">
        <v>0.9</v>
      </c>
      <c r="Z42">
        <v>0</v>
      </c>
      <c r="AB42">
        <f t="shared" si="17"/>
        <v>95.755744081416907</v>
      </c>
      <c r="AC42">
        <f t="shared" si="18"/>
        <v>0</v>
      </c>
      <c r="AD42">
        <f t="shared" si="19"/>
        <v>1</v>
      </c>
      <c r="AK42">
        <v>7.5</v>
      </c>
      <c r="AL42">
        <f t="shared" si="20"/>
        <v>-1.18005</v>
      </c>
      <c r="AM42">
        <f t="shared" si="21"/>
        <v>0.35645547837724323</v>
      </c>
      <c r="AN42">
        <f t="shared" si="22"/>
        <v>0.21499999999999997</v>
      </c>
      <c r="AS42">
        <f t="shared" si="23"/>
        <v>2.0209999999999999E-2</v>
      </c>
      <c r="AT42">
        <f t="shared" si="24"/>
        <v>0.23304000000000002</v>
      </c>
      <c r="AU42">
        <f t="shared" si="25"/>
        <v>0.18598999999999999</v>
      </c>
      <c r="AV42">
        <f t="shared" si="26"/>
        <v>-1.5299999999999999E-3</v>
      </c>
      <c r="AW42">
        <f t="shared" si="27"/>
        <v>7.2849999999999998E-2</v>
      </c>
      <c r="AY42">
        <f t="shared" si="28"/>
        <v>9.3927643011048279E-2</v>
      </c>
      <c r="BC42">
        <f t="shared" si="29"/>
        <v>0.42323</v>
      </c>
      <c r="BD42">
        <f t="shared" si="30"/>
        <v>0.21971000000000002</v>
      </c>
      <c r="BE42">
        <f t="shared" si="31"/>
        <v>1.9804900000000001</v>
      </c>
      <c r="BH42">
        <f t="shared" si="32"/>
        <v>-2.6700000000000001E-3</v>
      </c>
      <c r="BI42">
        <f t="shared" si="33"/>
        <v>1.882E-2</v>
      </c>
      <c r="BJ42">
        <f t="shared" si="34"/>
        <v>-0.29355999999999999</v>
      </c>
      <c r="BK42">
        <f t="shared" si="35"/>
        <v>6.8000000000000005E-4</v>
      </c>
      <c r="BL42">
        <f t="shared" si="36"/>
        <v>0.81833</v>
      </c>
      <c r="BM42">
        <f t="shared" si="37"/>
        <v>-1.2999999999999999E-3</v>
      </c>
      <c r="BN42">
        <f t="shared" si="38"/>
        <v>1.8089999999999995E-2</v>
      </c>
      <c r="BO42">
        <f t="shared" si="39"/>
        <v>0.28247999999999995</v>
      </c>
      <c r="BP42">
        <f t="shared" si="40"/>
        <v>8.301E-2</v>
      </c>
      <c r="CB42">
        <f t="shared" si="41"/>
        <v>0</v>
      </c>
      <c r="CC42">
        <f t="shared" si="42"/>
        <v>0</v>
      </c>
      <c r="CD42">
        <f t="shared" si="43"/>
        <v>0</v>
      </c>
      <c r="CE42">
        <f t="shared" si="44"/>
        <v>0.32698466691561862</v>
      </c>
      <c r="CL42">
        <f t="shared" si="45"/>
        <v>0</v>
      </c>
      <c r="CM42">
        <f t="shared" si="46"/>
        <v>0.32698466691561862</v>
      </c>
      <c r="CT42">
        <f t="shared" si="47"/>
        <v>1.9308935225105111</v>
      </c>
      <c r="CU42">
        <f t="shared" si="59"/>
        <v>6.8956689251199821</v>
      </c>
      <c r="CV42">
        <f t="shared" si="60"/>
        <v>1.0000000000000001E-5</v>
      </c>
      <c r="CW42">
        <f t="shared" si="61"/>
        <v>6.8956689251199821</v>
      </c>
      <c r="CX42">
        <f t="shared" si="48"/>
        <v>0.50322999999999996</v>
      </c>
      <c r="CY42">
        <f t="shared" si="62"/>
        <v>0.01</v>
      </c>
      <c r="CZ42">
        <f t="shared" si="63"/>
        <v>0.50322999999999996</v>
      </c>
      <c r="DA42">
        <v>0.3</v>
      </c>
      <c r="DB42">
        <v>0.3</v>
      </c>
      <c r="DC42">
        <v>0.3</v>
      </c>
    </row>
    <row r="43" spans="1:107" x14ac:dyDescent="0.25">
      <c r="A43">
        <v>20</v>
      </c>
      <c r="B43">
        <v>56</v>
      </c>
      <c r="C43" t="str">
        <f t="shared" si="49"/>
        <v>SSTens</v>
      </c>
      <c r="D43">
        <v>0.60960000000000003</v>
      </c>
      <c r="E43">
        <f t="shared" si="14"/>
        <v>609.6</v>
      </c>
      <c r="F43">
        <v>1.1130000000000001E-2</v>
      </c>
      <c r="G43">
        <f t="shared" si="15"/>
        <v>11.13</v>
      </c>
      <c r="H43">
        <f t="shared" si="16"/>
        <v>54.770889487870619</v>
      </c>
      <c r="I43">
        <v>200</v>
      </c>
      <c r="J43" t="s">
        <v>101</v>
      </c>
      <c r="K43">
        <f t="shared" si="50"/>
        <v>3</v>
      </c>
      <c r="L43">
        <f t="shared" si="51"/>
        <v>8</v>
      </c>
      <c r="M43">
        <f t="shared" si="52"/>
        <v>241000</v>
      </c>
      <c r="N43">
        <f t="shared" si="53"/>
        <v>344000</v>
      </c>
      <c r="O43">
        <f t="shared" si="54"/>
        <v>1.1599577949833839</v>
      </c>
      <c r="S43" t="s">
        <v>71</v>
      </c>
      <c r="T43" t="s">
        <v>76</v>
      </c>
      <c r="U43">
        <f t="shared" si="55"/>
        <v>18.5</v>
      </c>
      <c r="V43">
        <f t="shared" si="56"/>
        <v>0</v>
      </c>
      <c r="W43">
        <f t="shared" si="57"/>
        <v>125</v>
      </c>
      <c r="X43">
        <f t="shared" si="58"/>
        <v>0.4</v>
      </c>
      <c r="Y43">
        <v>0.9</v>
      </c>
      <c r="Z43">
        <v>0</v>
      </c>
      <c r="AB43">
        <f t="shared" si="17"/>
        <v>95.755744081416907</v>
      </c>
      <c r="AC43">
        <f t="shared" si="18"/>
        <v>0</v>
      </c>
      <c r="AD43">
        <f t="shared" si="19"/>
        <v>1</v>
      </c>
      <c r="AK43">
        <v>3.5</v>
      </c>
      <c r="AL43">
        <f t="shared" si="20"/>
        <v>-1.7474400000000001</v>
      </c>
      <c r="AM43">
        <f t="shared" si="21"/>
        <v>-0.1037110168730242</v>
      </c>
      <c r="AN43">
        <f t="shared" si="22"/>
        <v>0.42990999999999996</v>
      </c>
      <c r="AS43">
        <f t="shared" si="23"/>
        <v>-0.25641000000000003</v>
      </c>
      <c r="AT43">
        <f t="shared" si="24"/>
        <v>1.1132600000000001</v>
      </c>
      <c r="AU43">
        <f t="shared" si="25"/>
        <v>1.18563</v>
      </c>
      <c r="AV43">
        <f t="shared" si="26"/>
        <v>-1.5299999999999999E-3</v>
      </c>
      <c r="AW43">
        <f t="shared" si="27"/>
        <v>0.11622000000000002</v>
      </c>
      <c r="AY43">
        <f t="shared" si="28"/>
        <v>0.51497060284998142</v>
      </c>
      <c r="BC43">
        <f t="shared" si="29"/>
        <v>-0.14435000000000009</v>
      </c>
      <c r="BD43">
        <f t="shared" si="30"/>
        <v>0.28390000000000004</v>
      </c>
      <c r="BE43">
        <f t="shared" si="31"/>
        <v>1.73184</v>
      </c>
      <c r="BH43">
        <f t="shared" si="32"/>
        <v>-4.1799999999999997E-3</v>
      </c>
      <c r="BI43">
        <f t="shared" si="33"/>
        <v>1.132E-2</v>
      </c>
      <c r="BJ43">
        <f t="shared" si="34"/>
        <v>-0.21403</v>
      </c>
      <c r="BK43">
        <f t="shared" si="35"/>
        <v>1.1800000000000001E-3</v>
      </c>
      <c r="BL43">
        <f t="shared" si="36"/>
        <v>0.88968999999999998</v>
      </c>
      <c r="BM43">
        <f t="shared" si="37"/>
        <v>-2.8699999999999993E-3</v>
      </c>
      <c r="BN43">
        <f t="shared" si="38"/>
        <v>-1.1699999999999988E-2</v>
      </c>
      <c r="BO43">
        <f t="shared" si="39"/>
        <v>0.35848999999999998</v>
      </c>
      <c r="BP43">
        <f t="shared" si="40"/>
        <v>0.12916</v>
      </c>
      <c r="CB43">
        <f t="shared" si="41"/>
        <v>0</v>
      </c>
      <c r="CC43">
        <f t="shared" si="42"/>
        <v>0</v>
      </c>
      <c r="CD43">
        <f t="shared" si="43"/>
        <v>0</v>
      </c>
      <c r="CE43">
        <f t="shared" si="44"/>
        <v>0.37478522846528672</v>
      </c>
      <c r="CL43">
        <f t="shared" si="45"/>
        <v>0</v>
      </c>
      <c r="CM43">
        <f t="shared" si="46"/>
        <v>0.37478522846528672</v>
      </c>
      <c r="CT43">
        <f t="shared" si="47"/>
        <v>1.2686604747345773</v>
      </c>
      <c r="CU43">
        <f t="shared" si="59"/>
        <v>3.5560859036244468</v>
      </c>
      <c r="CV43">
        <f t="shared" si="60"/>
        <v>1.0000000000000001E-5</v>
      </c>
      <c r="CW43">
        <f t="shared" si="61"/>
        <v>3.5560859036244468</v>
      </c>
      <c r="CX43">
        <f t="shared" si="48"/>
        <v>0.58664000000000005</v>
      </c>
      <c r="CY43">
        <f t="shared" si="62"/>
        <v>0.01</v>
      </c>
      <c r="CZ43">
        <f t="shared" si="63"/>
        <v>0.58664000000000005</v>
      </c>
      <c r="DA43">
        <v>0.3</v>
      </c>
      <c r="DB43">
        <v>0.3</v>
      </c>
      <c r="DC43">
        <v>0.3</v>
      </c>
    </row>
    <row r="44" spans="1:107" x14ac:dyDescent="0.25">
      <c r="A44">
        <v>21</v>
      </c>
      <c r="B44">
        <v>87</v>
      </c>
      <c r="C44" t="str">
        <f t="shared" si="49"/>
        <v>SSTens</v>
      </c>
      <c r="D44">
        <v>0.20319999999999999</v>
      </c>
      <c r="E44">
        <f t="shared" si="14"/>
        <v>203.2</v>
      </c>
      <c r="F44">
        <v>5.5599999999999998E-3</v>
      </c>
      <c r="G44">
        <f t="shared" si="15"/>
        <v>5.56</v>
      </c>
      <c r="H44">
        <f t="shared" si="16"/>
        <v>36.546762589928058</v>
      </c>
      <c r="I44">
        <v>15</v>
      </c>
      <c r="J44" t="s">
        <v>70</v>
      </c>
      <c r="K44">
        <f>IF(J44="Grade-B",3,IF(J44="X-42",3,IF(J44="X-52",8,IF(J44="X-60",8,IF(J44="X-70",14,IF(J44="X-80",15,8))))))</f>
        <v>8</v>
      </c>
      <c r="L44">
        <f>IF(J44="Grade-B",8,IF(J44="X-42",9,IF(J44="X-52",10,IF(J44="X-60",12,IF(J44="X-70",15,IF(J44="X-80",20,10))))))</f>
        <v>10</v>
      </c>
      <c r="M44">
        <f>IF(J44="Grade-B",241,IF(J44="X-42",290,IF(J44="X-52",359,IF(J44="X-60",414,IF(J44="X-70",483,IF(J44="X-80",552,359))))))*1000</f>
        <v>359000</v>
      </c>
      <c r="N44">
        <f>IF(J44="Grade-B",344,IF(J44="X-42",414,IF(J44="X-52",455,IF(J44="X-60",517,IF(J44="X-70",565,IF(J44="X-80",625,M44*1.2/1000))))))*1000</f>
        <v>455000</v>
      </c>
      <c r="O44">
        <f>N44/200000000*(1+K44/(1+L44)*(N44/M44)^L44)*100</f>
        <v>1.9969902892117808</v>
      </c>
      <c r="S44" t="s">
        <v>78</v>
      </c>
      <c r="T44" t="s">
        <v>79</v>
      </c>
      <c r="U44">
        <f>IF(T44="medium dense",18,IF(T44="dense",18.5,IF(T44="very dense",19,IF(T44="soft",17.5,IF(T44="medium stiff",18,IF(T44="stiff",18.5,0))))))</f>
        <v>18</v>
      </c>
      <c r="V44">
        <f>IF(T44="medium dense",37,IF(T44="dense",40,IF(T44="very dense",43,0)))</f>
        <v>37</v>
      </c>
      <c r="W44">
        <f>IF(T44="soft",37.5,IF(T44="medium stiff",75,IF(T44="stiff",125,0)))</f>
        <v>0</v>
      </c>
      <c r="X44">
        <f>IF(T44="soft",1.1,IF(T44="medium stiff",0.72,IF(T44="stiff",0.4,0)))</f>
        <v>0</v>
      </c>
      <c r="Y44">
        <v>0.9</v>
      </c>
      <c r="Z44">
        <v>1</v>
      </c>
      <c r="AB44">
        <f t="shared" si="17"/>
        <v>7.5479720641402661</v>
      </c>
      <c r="AK44">
        <v>0.75</v>
      </c>
      <c r="AM44">
        <f t="shared" ref="AM44:AM63" si="64">0.00081*AB44+0.00314*LN(O44)</f>
        <v>8.2856107139974745E-3</v>
      </c>
      <c r="AX44">
        <f t="shared" ref="AX44:AX63" si="65">-0.15507+AM44*LN(H44)+0.05203*LN(I44)</f>
        <v>1.5646389426880153E-2</v>
      </c>
      <c r="AY44">
        <f t="shared" ref="AY44:AY63" si="66">IF(I44&lt;15,AX44+0.75,IF(I44&gt;50,AX44+1.5,AX44+1))</f>
        <v>1.0156463894268801</v>
      </c>
      <c r="BC44">
        <v>-2.307229</v>
      </c>
      <c r="BD44">
        <v>0.5852366</v>
      </c>
      <c r="BE44">
        <v>0.201322</v>
      </c>
      <c r="BQ44">
        <v>1.4274935</v>
      </c>
      <c r="BR44">
        <v>-7.1050000000000002E-3</v>
      </c>
      <c r="BS44">
        <v>5.1415999999999996E-3</v>
      </c>
      <c r="BT44">
        <v>-1.4290590000000001</v>
      </c>
      <c r="BU44">
        <v>4.9200300000000002E-2</v>
      </c>
      <c r="BV44">
        <v>0.14513599999999999</v>
      </c>
      <c r="BW44">
        <v>2.0170299999999999E-2</v>
      </c>
      <c r="BX44">
        <v>-1.032025</v>
      </c>
      <c r="BZ44">
        <f t="shared" ref="BZ44:BZ63" si="67">IF(AK44&lt;EXP(AX44),1,0)</f>
        <v>1</v>
      </c>
      <c r="CA44">
        <f t="shared" ref="CA44:CA63" si="68">IF(AK44&gt;EXP(AY44),1,0)</f>
        <v>0</v>
      </c>
      <c r="CB44">
        <f t="shared" si="41"/>
        <v>1</v>
      </c>
      <c r="CE44">
        <f t="shared" si="44"/>
        <v>-0.47373050310383741</v>
      </c>
      <c r="CL44">
        <f t="shared" ref="CL44:CL63" si="69">BZ44*(LN(AK44)-AX44)*(BQ44+BR44*AB44+BS44*H44)</f>
        <v>-0.47373050310383741</v>
      </c>
      <c r="CM44">
        <f t="shared" ref="CM44:CM63" si="70">CA44*(LN(AK44)-AY44)*(BT44+BU44*AB44+BV44*I44+BW44*H44+BX44*LN(O44))</f>
        <v>0</v>
      </c>
      <c r="CT44">
        <f t="shared" ref="CT44:CT63" si="71">BC44+CE44*AK44+BD44*LN(H44)+CB44*BE44*LN(AB44)</f>
        <v>-0.14957085894174343</v>
      </c>
      <c r="CU44">
        <f t="shared" si="59"/>
        <v>0.86107742082312089</v>
      </c>
      <c r="CV44">
        <f t="shared" si="60"/>
        <v>1.0000000000000001E-5</v>
      </c>
      <c r="CW44">
        <f t="shared" si="61"/>
        <v>0.86107742082312089</v>
      </c>
      <c r="CX44">
        <v>0.72299999999999998</v>
      </c>
      <c r="CY44">
        <f t="shared" si="62"/>
        <v>0.01</v>
      </c>
      <c r="CZ44">
        <f t="shared" ref="CZ44:CZ63" si="72">IF(OR($C44="SSTens",$C44="Normal"),CX44,0.01)</f>
        <v>0.72299999999999998</v>
      </c>
      <c r="DA44">
        <v>0.3</v>
      </c>
      <c r="DB44">
        <v>0.3</v>
      </c>
      <c r="DC44">
        <v>0.3</v>
      </c>
    </row>
    <row r="45" spans="1:107" x14ac:dyDescent="0.25">
      <c r="A45">
        <v>22</v>
      </c>
      <c r="B45">
        <v>86</v>
      </c>
      <c r="C45" t="str">
        <f t="shared" si="49"/>
        <v>SSTens</v>
      </c>
      <c r="D45">
        <v>0.30480000000000002</v>
      </c>
      <c r="E45">
        <f t="shared" si="14"/>
        <v>304.8</v>
      </c>
      <c r="F45">
        <v>7.1399999999999996E-3</v>
      </c>
      <c r="G45">
        <f t="shared" si="15"/>
        <v>7.14</v>
      </c>
      <c r="H45">
        <f t="shared" si="16"/>
        <v>42.689075630252105</v>
      </c>
      <c r="I45">
        <v>30</v>
      </c>
      <c r="J45" t="s">
        <v>73</v>
      </c>
      <c r="K45">
        <f t="shared" ref="K45:K63" si="73">IF(J45="Grade-B",3,IF(J45="X-42",3,IF(J45="X-52",8,IF(J45="X-60",8,IF(J45="X-70",14,IF(J45="X-80",15,8))))))</f>
        <v>8</v>
      </c>
      <c r="L45">
        <f t="shared" ref="L45:L63" si="74">IF(J45="Grade-B",8,IF(J45="X-42",9,IF(J45="X-52",10,IF(J45="X-60",12,IF(J45="X-70",15,IF(J45="X-80",20,10))))))</f>
        <v>12</v>
      </c>
      <c r="M45">
        <f t="shared" ref="M45:M63" si="75">IF(J45="Grade-B",241,IF(J45="X-42",290,IF(J45="X-52",359,IF(J45="X-60",414,IF(J45="X-70",483,IF(J45="X-80",552,359))))))*1000</f>
        <v>414000</v>
      </c>
      <c r="N45">
        <f t="shared" ref="N45:N63" si="76">IF(J45="Grade-B",344,IF(J45="X-42",414,IF(J45="X-52",455,IF(J45="X-60",517,IF(J45="X-70",565,IF(J45="X-80",625,M45*1.2/1000))))))*1000</f>
        <v>517000</v>
      </c>
      <c r="O45">
        <f t="shared" ref="O45:O63" si="77">N45/200000000*(1+K45/(1+L45)*(N45/M45)^L45)*100</f>
        <v>2.5466769467238102</v>
      </c>
      <c r="S45" t="s">
        <v>78</v>
      </c>
      <c r="T45" t="s">
        <v>79</v>
      </c>
      <c r="U45">
        <f t="shared" ref="U45:U63" si="78">IF(T45="medium dense",18,IF(T45="dense",18.5,IF(T45="very dense",19,IF(T45="soft",17.5,IF(T45="medium stiff",18,IF(T45="stiff",18.5,0))))))</f>
        <v>18</v>
      </c>
      <c r="V45">
        <f t="shared" ref="V45:V63" si="79">IF(T45="medium dense",37,IF(T45="dense",40,IF(T45="very dense",43,0)))</f>
        <v>37</v>
      </c>
      <c r="W45">
        <f t="shared" ref="W45:W63" si="80">IF(T45="soft",37.5,IF(T45="medium stiff",75,IF(T45="stiff",125,0)))</f>
        <v>0</v>
      </c>
      <c r="X45">
        <f t="shared" ref="X45:X63" si="81">IF(T45="soft",1.1,IF(T45="medium stiff",0.72,IF(T45="stiff",0.4,0)))</f>
        <v>0</v>
      </c>
      <c r="Y45">
        <v>0.9</v>
      </c>
      <c r="Z45">
        <v>2</v>
      </c>
      <c r="AB45">
        <f t="shared" si="17"/>
        <v>22.6439161924208</v>
      </c>
      <c r="AK45">
        <v>0.75</v>
      </c>
      <c r="AM45">
        <f t="shared" si="64"/>
        <v>2.1276810678546657E-2</v>
      </c>
      <c r="AX45">
        <f t="shared" si="65"/>
        <v>0.10176623528675607</v>
      </c>
      <c r="AY45">
        <f t="shared" si="66"/>
        <v>1.1017662352867561</v>
      </c>
      <c r="BC45">
        <v>-2.307229</v>
      </c>
      <c r="BD45">
        <v>0.5852366</v>
      </c>
      <c r="BE45">
        <v>0.201322</v>
      </c>
      <c r="BQ45">
        <v>1.4274935</v>
      </c>
      <c r="BR45">
        <v>-7.1050000000000002E-3</v>
      </c>
      <c r="BS45">
        <v>5.1415999999999996E-3</v>
      </c>
      <c r="BT45">
        <v>-1.4290590000000001</v>
      </c>
      <c r="BU45">
        <v>4.9200300000000002E-2</v>
      </c>
      <c r="BV45">
        <v>0.14513599999999999</v>
      </c>
      <c r="BW45">
        <v>2.0170299999999999E-2</v>
      </c>
      <c r="BX45">
        <v>-1.032025</v>
      </c>
      <c r="BZ45">
        <f t="shared" si="67"/>
        <v>1</v>
      </c>
      <c r="CA45">
        <f t="shared" si="68"/>
        <v>0</v>
      </c>
      <c r="CB45">
        <f t="shared" si="41"/>
        <v>1</v>
      </c>
      <c r="CE45">
        <f t="shared" si="44"/>
        <v>-0.57875859530607965</v>
      </c>
      <c r="CL45">
        <f t="shared" si="69"/>
        <v>-0.57875859530607965</v>
      </c>
      <c r="CM45">
        <f t="shared" si="70"/>
        <v>0</v>
      </c>
      <c r="CT45">
        <f t="shared" si="71"/>
        <v>8.374965841113402E-2</v>
      </c>
      <c r="CU45">
        <f t="shared" si="59"/>
        <v>1.0873566491419566</v>
      </c>
      <c r="CV45">
        <f t="shared" si="60"/>
        <v>1.0000000000000001E-5</v>
      </c>
      <c r="CW45">
        <f t="shared" si="61"/>
        <v>1.0873566491419566</v>
      </c>
      <c r="CX45">
        <v>0.72299999999999998</v>
      </c>
      <c r="CY45">
        <f t="shared" si="62"/>
        <v>0.01</v>
      </c>
      <c r="CZ45">
        <f t="shared" si="72"/>
        <v>0.72299999999999998</v>
      </c>
      <c r="DA45">
        <v>0.3</v>
      </c>
      <c r="DB45">
        <v>0.3</v>
      </c>
      <c r="DC45">
        <v>0.3</v>
      </c>
    </row>
    <row r="46" spans="1:107" x14ac:dyDescent="0.25">
      <c r="A46">
        <v>23</v>
      </c>
      <c r="B46">
        <v>85</v>
      </c>
      <c r="C46" t="str">
        <f t="shared" si="49"/>
        <v>SSTens</v>
      </c>
      <c r="D46">
        <v>0.40639999999999998</v>
      </c>
      <c r="E46">
        <f t="shared" si="14"/>
        <v>406.4</v>
      </c>
      <c r="F46">
        <v>9.5299999999999985E-3</v>
      </c>
      <c r="G46">
        <f t="shared" si="15"/>
        <v>9.5299999999999994</v>
      </c>
      <c r="H46">
        <f t="shared" si="16"/>
        <v>42.644281217208821</v>
      </c>
      <c r="I46">
        <v>50</v>
      </c>
      <c r="J46" t="s">
        <v>75</v>
      </c>
      <c r="K46">
        <f t="shared" si="73"/>
        <v>14</v>
      </c>
      <c r="L46">
        <f t="shared" si="74"/>
        <v>15</v>
      </c>
      <c r="M46">
        <f t="shared" si="75"/>
        <v>483000</v>
      </c>
      <c r="N46">
        <f t="shared" si="76"/>
        <v>565000</v>
      </c>
      <c r="O46">
        <f t="shared" si="77"/>
        <v>2.8799444073326219</v>
      </c>
      <c r="S46" t="s">
        <v>78</v>
      </c>
      <c r="T46" t="s">
        <v>79</v>
      </c>
      <c r="U46">
        <f t="shared" si="78"/>
        <v>18</v>
      </c>
      <c r="V46">
        <f t="shared" si="79"/>
        <v>37</v>
      </c>
      <c r="W46">
        <f t="shared" si="80"/>
        <v>0</v>
      </c>
      <c r="X46">
        <f t="shared" si="81"/>
        <v>0</v>
      </c>
      <c r="Y46">
        <v>0.9</v>
      </c>
      <c r="Z46">
        <v>1</v>
      </c>
      <c r="AB46">
        <f t="shared" si="17"/>
        <v>15.095944128280532</v>
      </c>
      <c r="AK46">
        <v>0.75</v>
      </c>
      <c r="AM46">
        <f t="shared" si="64"/>
        <v>1.5549115655496644E-2</v>
      </c>
      <c r="AX46">
        <f t="shared" si="65"/>
        <v>0.10682672704917365</v>
      </c>
      <c r="AY46">
        <f t="shared" si="66"/>
        <v>1.1068267270491736</v>
      </c>
      <c r="BC46">
        <v>-2.307229</v>
      </c>
      <c r="BD46">
        <v>0.5852366</v>
      </c>
      <c r="BE46">
        <v>0.201322</v>
      </c>
      <c r="BQ46">
        <v>1.4274935</v>
      </c>
      <c r="BR46">
        <v>-7.1050000000000002E-3</v>
      </c>
      <c r="BS46">
        <v>5.1415999999999996E-3</v>
      </c>
      <c r="BT46">
        <v>-1.4290590000000001</v>
      </c>
      <c r="BU46">
        <v>4.9200300000000002E-2</v>
      </c>
      <c r="BV46">
        <v>0.14513599999999999</v>
      </c>
      <c r="BW46">
        <v>2.0170299999999999E-2</v>
      </c>
      <c r="BX46">
        <v>-1.032025</v>
      </c>
      <c r="BZ46">
        <f t="shared" si="67"/>
        <v>1</v>
      </c>
      <c r="CA46">
        <f t="shared" si="68"/>
        <v>0</v>
      </c>
      <c r="CB46">
        <f t="shared" si="41"/>
        <v>1</v>
      </c>
      <c r="CE46">
        <f t="shared" si="44"/>
        <v>-0.60734497651924468</v>
      </c>
      <c r="CL46">
        <f t="shared" si="69"/>
        <v>-0.60734497651924468</v>
      </c>
      <c r="CM46">
        <f t="shared" si="70"/>
        <v>0</v>
      </c>
      <c r="CT46">
        <f t="shared" si="71"/>
        <v>-1.9933595677024019E-2</v>
      </c>
      <c r="CU46">
        <f t="shared" si="59"/>
        <v>0.9802637648971958</v>
      </c>
      <c r="CV46">
        <f t="shared" si="60"/>
        <v>1.0000000000000001E-5</v>
      </c>
      <c r="CW46">
        <f t="shared" si="61"/>
        <v>0.9802637648971958</v>
      </c>
      <c r="CX46">
        <v>0.72299999999999998</v>
      </c>
      <c r="CY46">
        <f t="shared" si="62"/>
        <v>0.01</v>
      </c>
      <c r="CZ46">
        <f t="shared" si="72"/>
        <v>0.72299999999999998</v>
      </c>
      <c r="DA46">
        <v>0.3</v>
      </c>
      <c r="DB46">
        <v>0.3</v>
      </c>
      <c r="DC46">
        <v>0.3</v>
      </c>
    </row>
    <row r="47" spans="1:107" x14ac:dyDescent="0.25">
      <c r="A47">
        <v>24</v>
      </c>
      <c r="B47">
        <v>87</v>
      </c>
      <c r="C47" t="str">
        <f t="shared" si="49"/>
        <v>SSTens</v>
      </c>
      <c r="D47">
        <v>0.50800000000000001</v>
      </c>
      <c r="E47">
        <f t="shared" si="14"/>
        <v>508</v>
      </c>
      <c r="F47">
        <v>1.1130000000000001E-2</v>
      </c>
      <c r="G47">
        <f t="shared" si="15"/>
        <v>11.13</v>
      </c>
      <c r="H47">
        <f t="shared" si="16"/>
        <v>45.642407906558844</v>
      </c>
      <c r="I47">
        <v>100</v>
      </c>
      <c r="J47" t="s">
        <v>77</v>
      </c>
      <c r="K47">
        <f t="shared" si="73"/>
        <v>15</v>
      </c>
      <c r="L47">
        <f t="shared" si="74"/>
        <v>20</v>
      </c>
      <c r="M47">
        <f t="shared" si="75"/>
        <v>552000</v>
      </c>
      <c r="N47">
        <f t="shared" si="76"/>
        <v>625000</v>
      </c>
      <c r="O47">
        <f t="shared" si="77"/>
        <v>2.9888368774026359</v>
      </c>
      <c r="S47" t="s">
        <v>78</v>
      </c>
      <c r="T47" t="s">
        <v>79</v>
      </c>
      <c r="U47">
        <f t="shared" si="78"/>
        <v>18</v>
      </c>
      <c r="V47">
        <f t="shared" si="79"/>
        <v>37</v>
      </c>
      <c r="W47">
        <f t="shared" si="80"/>
        <v>0</v>
      </c>
      <c r="X47">
        <f t="shared" si="81"/>
        <v>0</v>
      </c>
      <c r="Y47">
        <v>0.9</v>
      </c>
      <c r="Z47">
        <v>2</v>
      </c>
      <c r="AB47">
        <f t="shared" si="17"/>
        <v>37.739860320701332</v>
      </c>
      <c r="AK47">
        <v>0.75</v>
      </c>
      <c r="AM47">
        <f t="shared" si="64"/>
        <v>3.4007223585342139E-2</v>
      </c>
      <c r="AX47">
        <f t="shared" si="65"/>
        <v>0.21447307251904243</v>
      </c>
      <c r="AY47">
        <f t="shared" si="66"/>
        <v>1.7144730725190425</v>
      </c>
      <c r="BC47">
        <v>-2.307229</v>
      </c>
      <c r="BD47">
        <v>0.5852366</v>
      </c>
      <c r="BE47">
        <v>0.201322</v>
      </c>
      <c r="BQ47">
        <v>1.4274935</v>
      </c>
      <c r="BR47">
        <v>-7.1050000000000002E-3</v>
      </c>
      <c r="BS47">
        <v>5.1415999999999996E-3</v>
      </c>
      <c r="BT47">
        <v>-1.4290590000000001</v>
      </c>
      <c r="BU47">
        <v>4.9200300000000002E-2</v>
      </c>
      <c r="BV47">
        <v>0.14513599999999999</v>
      </c>
      <c r="BW47">
        <v>2.0170299999999999E-2</v>
      </c>
      <c r="BX47">
        <v>-1.032025</v>
      </c>
      <c r="BZ47">
        <f t="shared" si="67"/>
        <v>1</v>
      </c>
      <c r="CA47">
        <f t="shared" si="68"/>
        <v>0</v>
      </c>
      <c r="CB47">
        <f t="shared" si="41"/>
        <v>1</v>
      </c>
      <c r="CE47">
        <f t="shared" si="44"/>
        <v>-0.70001772829745168</v>
      </c>
      <c r="CL47">
        <f t="shared" si="69"/>
        <v>-0.70001772829745168</v>
      </c>
      <c r="CM47">
        <f t="shared" si="70"/>
        <v>0</v>
      </c>
      <c r="CT47">
        <f t="shared" si="71"/>
        <v>0.13479469944695044</v>
      </c>
      <c r="CU47">
        <f t="shared" si="59"/>
        <v>1.1443018344350007</v>
      </c>
      <c r="CV47">
        <f t="shared" si="60"/>
        <v>1.0000000000000001E-5</v>
      </c>
      <c r="CW47">
        <f t="shared" si="61"/>
        <v>1.1443018344350007</v>
      </c>
      <c r="CX47">
        <v>0.72299999999999998</v>
      </c>
      <c r="CY47">
        <f t="shared" si="62"/>
        <v>0.01</v>
      </c>
      <c r="CZ47">
        <f t="shared" si="72"/>
        <v>0.72299999999999998</v>
      </c>
      <c r="DA47">
        <v>0.3</v>
      </c>
      <c r="DB47">
        <v>0.3</v>
      </c>
      <c r="DC47">
        <v>0.3</v>
      </c>
    </row>
    <row r="48" spans="1:107" x14ac:dyDescent="0.25">
      <c r="A48">
        <v>25</v>
      </c>
      <c r="B48">
        <v>85</v>
      </c>
      <c r="C48" t="str">
        <f t="shared" si="49"/>
        <v>SSTens</v>
      </c>
      <c r="D48">
        <v>0.60960000000000003</v>
      </c>
      <c r="E48">
        <f t="shared" si="14"/>
        <v>609.6</v>
      </c>
      <c r="F48">
        <v>9.5299999999999985E-3</v>
      </c>
      <c r="G48">
        <f t="shared" si="15"/>
        <v>9.5299999999999994</v>
      </c>
      <c r="H48">
        <f t="shared" si="16"/>
        <v>63.966421825813235</v>
      </c>
      <c r="I48">
        <v>15</v>
      </c>
      <c r="J48" t="s">
        <v>70</v>
      </c>
      <c r="K48">
        <f t="shared" si="73"/>
        <v>8</v>
      </c>
      <c r="L48">
        <f t="shared" si="74"/>
        <v>10</v>
      </c>
      <c r="M48">
        <f t="shared" si="75"/>
        <v>359000</v>
      </c>
      <c r="N48">
        <f t="shared" si="76"/>
        <v>455000</v>
      </c>
      <c r="O48">
        <f t="shared" si="77"/>
        <v>1.9969902892117808</v>
      </c>
      <c r="S48" t="s">
        <v>78</v>
      </c>
      <c r="T48" t="s">
        <v>80</v>
      </c>
      <c r="U48">
        <f t="shared" si="78"/>
        <v>18.5</v>
      </c>
      <c r="V48">
        <f t="shared" si="79"/>
        <v>40</v>
      </c>
      <c r="W48">
        <f t="shared" si="80"/>
        <v>0</v>
      </c>
      <c r="X48">
        <f t="shared" si="81"/>
        <v>0</v>
      </c>
      <c r="Y48">
        <v>0.9</v>
      </c>
      <c r="Z48">
        <v>1</v>
      </c>
      <c r="AB48">
        <f t="shared" si="17"/>
        <v>25.741129539100392</v>
      </c>
      <c r="AK48">
        <v>2.75</v>
      </c>
      <c r="AM48">
        <f t="shared" si="64"/>
        <v>2.3022068268715178E-2</v>
      </c>
      <c r="AX48">
        <f t="shared" si="65"/>
        <v>8.1563860325678486E-2</v>
      </c>
      <c r="AY48">
        <f t="shared" si="66"/>
        <v>1.0815638603256785</v>
      </c>
      <c r="BC48">
        <v>-2.307229</v>
      </c>
      <c r="BD48">
        <v>0.5852366</v>
      </c>
      <c r="BE48">
        <v>0.201322</v>
      </c>
      <c r="BQ48">
        <v>1.4274935</v>
      </c>
      <c r="BR48">
        <v>-7.1050000000000002E-3</v>
      </c>
      <c r="BS48">
        <v>5.1415999999999996E-3</v>
      </c>
      <c r="BT48">
        <v>-1.4290590000000001</v>
      </c>
      <c r="BU48">
        <v>4.9200300000000002E-2</v>
      </c>
      <c r="BV48">
        <v>0.14513599999999999</v>
      </c>
      <c r="BW48">
        <v>2.0170299999999999E-2</v>
      </c>
      <c r="BX48">
        <v>-1.032025</v>
      </c>
      <c r="BZ48">
        <f t="shared" si="67"/>
        <v>0</v>
      </c>
      <c r="CA48">
        <f t="shared" si="68"/>
        <v>0</v>
      </c>
      <c r="CB48">
        <f t="shared" si="41"/>
        <v>1</v>
      </c>
      <c r="CE48">
        <f t="shared" si="44"/>
        <v>0</v>
      </c>
      <c r="CL48">
        <f t="shared" si="69"/>
        <v>0</v>
      </c>
      <c r="CM48">
        <f t="shared" si="70"/>
        <v>0</v>
      </c>
      <c r="CT48">
        <f t="shared" si="71"/>
        <v>0.78030645715329561</v>
      </c>
      <c r="CU48">
        <f t="shared" si="59"/>
        <v>2.1821408957267043</v>
      </c>
      <c r="CV48">
        <f t="shared" si="60"/>
        <v>1.0000000000000001E-5</v>
      </c>
      <c r="CW48">
        <f t="shared" si="61"/>
        <v>2.1821408957267043</v>
      </c>
      <c r="CX48">
        <v>0.72299999999999998</v>
      </c>
      <c r="CY48">
        <f t="shared" si="62"/>
        <v>0.01</v>
      </c>
      <c r="CZ48">
        <f t="shared" si="72"/>
        <v>0.72299999999999998</v>
      </c>
      <c r="DA48">
        <v>0.3</v>
      </c>
      <c r="DB48">
        <v>0.3</v>
      </c>
      <c r="DC48">
        <v>0.3</v>
      </c>
    </row>
    <row r="49" spans="1:107" x14ac:dyDescent="0.25">
      <c r="A49">
        <v>26</v>
      </c>
      <c r="B49">
        <v>85</v>
      </c>
      <c r="C49" t="str">
        <f t="shared" si="49"/>
        <v>SSTens</v>
      </c>
      <c r="D49">
        <v>0.76200000000000001</v>
      </c>
      <c r="E49">
        <f t="shared" si="14"/>
        <v>762</v>
      </c>
      <c r="F49">
        <v>1.2699999999999999E-2</v>
      </c>
      <c r="G49">
        <f t="shared" si="15"/>
        <v>12.7</v>
      </c>
      <c r="H49">
        <f t="shared" si="16"/>
        <v>60</v>
      </c>
      <c r="I49">
        <v>30</v>
      </c>
      <c r="J49" t="s">
        <v>73</v>
      </c>
      <c r="K49">
        <f t="shared" si="73"/>
        <v>8</v>
      </c>
      <c r="L49">
        <f t="shared" si="74"/>
        <v>12</v>
      </c>
      <c r="M49">
        <f t="shared" si="75"/>
        <v>414000</v>
      </c>
      <c r="N49">
        <f t="shared" si="76"/>
        <v>517000</v>
      </c>
      <c r="O49">
        <f t="shared" si="77"/>
        <v>2.5466769467238102</v>
      </c>
      <c r="S49" t="s">
        <v>78</v>
      </c>
      <c r="T49" t="s">
        <v>80</v>
      </c>
      <c r="U49">
        <f t="shared" si="78"/>
        <v>18.5</v>
      </c>
      <c r="V49">
        <f t="shared" si="79"/>
        <v>40</v>
      </c>
      <c r="W49">
        <f t="shared" si="80"/>
        <v>0</v>
      </c>
      <c r="X49">
        <f t="shared" si="81"/>
        <v>0</v>
      </c>
      <c r="Y49">
        <v>0.9</v>
      </c>
      <c r="Z49">
        <v>2</v>
      </c>
      <c r="AB49">
        <f t="shared" si="17"/>
        <v>64.352823847750969</v>
      </c>
      <c r="AK49">
        <v>3.5</v>
      </c>
      <c r="AM49">
        <f t="shared" si="64"/>
        <v>5.5061025879364095E-2</v>
      </c>
      <c r="AX49">
        <f t="shared" si="65"/>
        <v>0.24733311166742666</v>
      </c>
      <c r="AY49">
        <f t="shared" si="66"/>
        <v>1.2473331116674267</v>
      </c>
      <c r="BC49">
        <v>-2.307229</v>
      </c>
      <c r="BD49">
        <v>0.5852366</v>
      </c>
      <c r="BE49">
        <v>0.201322</v>
      </c>
      <c r="BQ49">
        <v>1.4274935</v>
      </c>
      <c r="BR49">
        <v>-7.1050000000000002E-3</v>
      </c>
      <c r="BS49">
        <v>5.1415999999999996E-3</v>
      </c>
      <c r="BT49">
        <v>-1.4290590000000001</v>
      </c>
      <c r="BU49">
        <v>4.9200300000000002E-2</v>
      </c>
      <c r="BV49">
        <v>0.14513599999999999</v>
      </c>
      <c r="BW49">
        <v>2.0170299999999999E-2</v>
      </c>
      <c r="BX49">
        <v>-1.032025</v>
      </c>
      <c r="BZ49">
        <f t="shared" si="67"/>
        <v>0</v>
      </c>
      <c r="CA49">
        <f t="shared" si="68"/>
        <v>1</v>
      </c>
      <c r="CB49">
        <f t="shared" si="41"/>
        <v>1</v>
      </c>
      <c r="CE49">
        <f t="shared" si="44"/>
        <v>3.440732629929924E-2</v>
      </c>
      <c r="CL49">
        <f t="shared" si="69"/>
        <v>0</v>
      </c>
      <c r="CM49">
        <f t="shared" si="70"/>
        <v>3.440732629929924E-2</v>
      </c>
      <c r="CT49">
        <f t="shared" si="71"/>
        <v>1.0477384074527265</v>
      </c>
      <c r="CU49">
        <f t="shared" si="59"/>
        <v>2.8511955782437828</v>
      </c>
      <c r="CV49">
        <f t="shared" si="60"/>
        <v>1.0000000000000001E-5</v>
      </c>
      <c r="CW49">
        <f t="shared" si="61"/>
        <v>2.8511955782437828</v>
      </c>
      <c r="CX49">
        <v>0.72299999999999998</v>
      </c>
      <c r="CY49">
        <f t="shared" si="62"/>
        <v>0.01</v>
      </c>
      <c r="CZ49">
        <f t="shared" si="72"/>
        <v>0.72299999999999998</v>
      </c>
      <c r="DA49">
        <v>0.3</v>
      </c>
      <c r="DB49">
        <v>0.3</v>
      </c>
      <c r="DC49">
        <v>0.3</v>
      </c>
    </row>
    <row r="50" spans="1:107" x14ac:dyDescent="0.25">
      <c r="A50">
        <v>27</v>
      </c>
      <c r="B50">
        <v>89</v>
      </c>
      <c r="C50" t="str">
        <f t="shared" si="49"/>
        <v>SSTens</v>
      </c>
      <c r="D50">
        <v>0.86360000000000003</v>
      </c>
      <c r="E50">
        <f t="shared" si="14"/>
        <v>863.6</v>
      </c>
      <c r="F50">
        <v>1.1130000000000001E-2</v>
      </c>
      <c r="G50">
        <f t="shared" si="15"/>
        <v>11.13</v>
      </c>
      <c r="H50">
        <f t="shared" si="16"/>
        <v>77.592093441150041</v>
      </c>
      <c r="I50">
        <v>50</v>
      </c>
      <c r="J50" t="s">
        <v>75</v>
      </c>
      <c r="K50">
        <f t="shared" si="73"/>
        <v>14</v>
      </c>
      <c r="L50">
        <f t="shared" si="74"/>
        <v>15</v>
      </c>
      <c r="M50">
        <f t="shared" si="75"/>
        <v>483000</v>
      </c>
      <c r="N50">
        <f t="shared" si="76"/>
        <v>565000</v>
      </c>
      <c r="O50">
        <f t="shared" si="77"/>
        <v>2.8799444073326219</v>
      </c>
      <c r="S50" t="s">
        <v>78</v>
      </c>
      <c r="T50" t="s">
        <v>80</v>
      </c>
      <c r="U50">
        <f t="shared" si="78"/>
        <v>18.5</v>
      </c>
      <c r="V50">
        <f t="shared" si="79"/>
        <v>40</v>
      </c>
      <c r="W50">
        <f t="shared" si="80"/>
        <v>0</v>
      </c>
      <c r="X50">
        <f t="shared" si="81"/>
        <v>0</v>
      </c>
      <c r="Y50">
        <v>0.9</v>
      </c>
      <c r="Z50">
        <v>1</v>
      </c>
      <c r="AB50">
        <f t="shared" si="17"/>
        <v>36.46660018039222</v>
      </c>
      <c r="AK50">
        <v>1.5</v>
      </c>
      <c r="AM50">
        <f t="shared" si="64"/>
        <v>3.2859347057707114E-2</v>
      </c>
      <c r="AX50">
        <f t="shared" si="65"/>
        <v>0.19145887314252977</v>
      </c>
      <c r="AY50">
        <f t="shared" si="66"/>
        <v>1.1914588731425297</v>
      </c>
      <c r="BC50">
        <v>-2.307229</v>
      </c>
      <c r="BD50">
        <v>0.5852366</v>
      </c>
      <c r="BE50">
        <v>0.201322</v>
      </c>
      <c r="BQ50">
        <v>1.4274935</v>
      </c>
      <c r="BR50">
        <v>-7.1050000000000002E-3</v>
      </c>
      <c r="BS50">
        <v>5.1415999999999996E-3</v>
      </c>
      <c r="BT50">
        <v>-1.4290590000000001</v>
      </c>
      <c r="BU50">
        <v>4.9200300000000002E-2</v>
      </c>
      <c r="BV50">
        <v>0.14513599999999999</v>
      </c>
      <c r="BW50">
        <v>2.0170299999999999E-2</v>
      </c>
      <c r="BX50">
        <v>-1.032025</v>
      </c>
      <c r="BZ50">
        <f t="shared" si="67"/>
        <v>0</v>
      </c>
      <c r="CA50">
        <f t="shared" si="68"/>
        <v>0</v>
      </c>
      <c r="CB50">
        <f t="shared" si="41"/>
        <v>1</v>
      </c>
      <c r="CE50">
        <f t="shared" si="44"/>
        <v>0</v>
      </c>
      <c r="CL50">
        <f t="shared" si="69"/>
        <v>0</v>
      </c>
      <c r="CM50">
        <f t="shared" si="70"/>
        <v>0</v>
      </c>
      <c r="CT50">
        <f t="shared" si="71"/>
        <v>0.963441685919739</v>
      </c>
      <c r="CU50">
        <f t="shared" si="59"/>
        <v>2.6207005981990892</v>
      </c>
      <c r="CV50">
        <f t="shared" si="60"/>
        <v>1.0000000000000001E-5</v>
      </c>
      <c r="CW50">
        <f t="shared" si="61"/>
        <v>2.6207005981990892</v>
      </c>
      <c r="CX50">
        <v>0.72299999999999998</v>
      </c>
      <c r="CY50">
        <f t="shared" si="62"/>
        <v>0.01</v>
      </c>
      <c r="CZ50">
        <f t="shared" si="72"/>
        <v>0.72299999999999998</v>
      </c>
      <c r="DA50">
        <v>0.3</v>
      </c>
      <c r="DB50">
        <v>0.3</v>
      </c>
      <c r="DC50">
        <v>0.3</v>
      </c>
    </row>
    <row r="51" spans="1:107" x14ac:dyDescent="0.25">
      <c r="A51">
        <v>28</v>
      </c>
      <c r="B51">
        <v>89</v>
      </c>
      <c r="C51" t="str">
        <f t="shared" si="49"/>
        <v>SSTens</v>
      </c>
      <c r="D51">
        <v>1.0668</v>
      </c>
      <c r="E51">
        <f t="shared" si="14"/>
        <v>1066.8</v>
      </c>
      <c r="F51">
        <v>1.2699999999999999E-2</v>
      </c>
      <c r="G51">
        <f t="shared" si="15"/>
        <v>12.7</v>
      </c>
      <c r="H51">
        <f t="shared" si="16"/>
        <v>84</v>
      </c>
      <c r="I51">
        <v>100</v>
      </c>
      <c r="J51" t="s">
        <v>77</v>
      </c>
      <c r="K51">
        <f t="shared" si="73"/>
        <v>15</v>
      </c>
      <c r="L51">
        <f t="shared" si="74"/>
        <v>20</v>
      </c>
      <c r="M51">
        <f t="shared" si="75"/>
        <v>552000</v>
      </c>
      <c r="N51">
        <f t="shared" si="76"/>
        <v>625000</v>
      </c>
      <c r="O51">
        <f t="shared" si="77"/>
        <v>2.9888368774026359</v>
      </c>
      <c r="S51" t="s">
        <v>78</v>
      </c>
      <c r="T51" t="s">
        <v>81</v>
      </c>
      <c r="U51">
        <f t="shared" si="78"/>
        <v>19</v>
      </c>
      <c r="V51">
        <f t="shared" si="79"/>
        <v>43</v>
      </c>
      <c r="W51">
        <f t="shared" si="80"/>
        <v>0</v>
      </c>
      <c r="X51">
        <f t="shared" si="81"/>
        <v>0</v>
      </c>
      <c r="Y51">
        <v>0.9</v>
      </c>
      <c r="Z51">
        <v>2</v>
      </c>
      <c r="AB51">
        <f t="shared" si="17"/>
        <v>102.03070645435936</v>
      </c>
      <c r="AK51">
        <v>1.5</v>
      </c>
      <c r="AM51">
        <f t="shared" si="64"/>
        <v>8.6082808953605136E-2</v>
      </c>
      <c r="AX51">
        <f t="shared" si="65"/>
        <v>0.46595416078021362</v>
      </c>
      <c r="AY51">
        <f t="shared" si="66"/>
        <v>1.9659541607802136</v>
      </c>
      <c r="BC51">
        <v>-2.307229</v>
      </c>
      <c r="BD51">
        <v>0.5852366</v>
      </c>
      <c r="BE51">
        <v>0.201322</v>
      </c>
      <c r="BQ51">
        <v>1.4274935</v>
      </c>
      <c r="BR51">
        <v>-7.1050000000000002E-3</v>
      </c>
      <c r="BS51">
        <v>5.1415999999999996E-3</v>
      </c>
      <c r="BT51">
        <v>-1.4290590000000001</v>
      </c>
      <c r="BU51">
        <v>4.9200300000000002E-2</v>
      </c>
      <c r="BV51">
        <v>0.14513599999999999</v>
      </c>
      <c r="BW51">
        <v>2.0170299999999999E-2</v>
      </c>
      <c r="BX51">
        <v>-1.032025</v>
      </c>
      <c r="BZ51">
        <f t="shared" si="67"/>
        <v>1</v>
      </c>
      <c r="CA51">
        <f t="shared" si="68"/>
        <v>0</v>
      </c>
      <c r="CB51">
        <f t="shared" si="41"/>
        <v>1</v>
      </c>
      <c r="CE51">
        <f t="shared" si="44"/>
        <v>-6.8622394401109219E-2</v>
      </c>
      <c r="CL51">
        <f t="shared" si="69"/>
        <v>-6.8622394401109219E-2</v>
      </c>
      <c r="CM51">
        <f t="shared" si="70"/>
        <v>0</v>
      </c>
      <c r="CT51">
        <f t="shared" si="71"/>
        <v>1.1140829412852633</v>
      </c>
      <c r="CU51">
        <f t="shared" si="59"/>
        <v>3.0467728280542432</v>
      </c>
      <c r="CV51">
        <f t="shared" si="60"/>
        <v>1.0000000000000001E-5</v>
      </c>
      <c r="CW51">
        <f t="shared" si="61"/>
        <v>3.0467728280542432</v>
      </c>
      <c r="CX51">
        <v>0.72299999999999998</v>
      </c>
      <c r="CY51">
        <f t="shared" si="62"/>
        <v>0.01</v>
      </c>
      <c r="CZ51">
        <f t="shared" si="72"/>
        <v>0.72299999999999998</v>
      </c>
      <c r="DA51">
        <v>0.3</v>
      </c>
      <c r="DB51">
        <v>0.3</v>
      </c>
      <c r="DC51">
        <v>0.3</v>
      </c>
    </row>
    <row r="52" spans="1:107" x14ac:dyDescent="0.25">
      <c r="A52">
        <v>29</v>
      </c>
      <c r="B52">
        <v>88</v>
      </c>
      <c r="C52" t="str">
        <f t="shared" si="49"/>
        <v>SSTens</v>
      </c>
      <c r="D52">
        <v>0.60960000000000003</v>
      </c>
      <c r="E52">
        <f t="shared" si="14"/>
        <v>609.6</v>
      </c>
      <c r="F52">
        <v>1.1130000000000001E-2</v>
      </c>
      <c r="G52">
        <f t="shared" si="15"/>
        <v>11.13</v>
      </c>
      <c r="H52">
        <f t="shared" si="16"/>
        <v>54.770889487870619</v>
      </c>
      <c r="I52">
        <v>150</v>
      </c>
      <c r="J52" t="s">
        <v>100</v>
      </c>
      <c r="K52">
        <f t="shared" si="73"/>
        <v>3</v>
      </c>
      <c r="L52">
        <f t="shared" si="74"/>
        <v>9</v>
      </c>
      <c r="M52">
        <f t="shared" si="75"/>
        <v>290000</v>
      </c>
      <c r="N52">
        <f t="shared" si="76"/>
        <v>414000</v>
      </c>
      <c r="O52">
        <f t="shared" si="77"/>
        <v>1.7363704307629526</v>
      </c>
      <c r="S52" t="s">
        <v>78</v>
      </c>
      <c r="T52" t="s">
        <v>81</v>
      </c>
      <c r="U52">
        <f t="shared" si="78"/>
        <v>19</v>
      </c>
      <c r="V52">
        <f t="shared" si="79"/>
        <v>43</v>
      </c>
      <c r="W52">
        <f t="shared" si="80"/>
        <v>0</v>
      </c>
      <c r="X52">
        <f t="shared" si="81"/>
        <v>0</v>
      </c>
      <c r="Y52">
        <v>0.9</v>
      </c>
      <c r="Z52">
        <v>1</v>
      </c>
      <c r="AB52">
        <f t="shared" si="17"/>
        <v>29.151630415531248</v>
      </c>
      <c r="AK52">
        <v>1.5</v>
      </c>
      <c r="AM52">
        <f t="shared" si="64"/>
        <v>2.5345463138869703E-2</v>
      </c>
      <c r="AX52">
        <f t="shared" si="65"/>
        <v>0.20709526914689702</v>
      </c>
      <c r="AY52">
        <f t="shared" si="66"/>
        <v>1.707095269146897</v>
      </c>
      <c r="BC52">
        <v>-2.307229</v>
      </c>
      <c r="BD52">
        <v>0.5852366</v>
      </c>
      <c r="BE52">
        <v>0.201322</v>
      </c>
      <c r="BQ52">
        <v>1.4274935</v>
      </c>
      <c r="BR52">
        <v>-7.1050000000000002E-3</v>
      </c>
      <c r="BS52">
        <v>5.1415999999999996E-3</v>
      </c>
      <c r="BT52">
        <v>-1.4290590000000001</v>
      </c>
      <c r="BU52">
        <v>4.9200300000000002E-2</v>
      </c>
      <c r="BV52">
        <v>0.14513599999999999</v>
      </c>
      <c r="BW52">
        <v>2.0170299999999999E-2</v>
      </c>
      <c r="BX52">
        <v>-1.032025</v>
      </c>
      <c r="BZ52">
        <f t="shared" si="67"/>
        <v>0</v>
      </c>
      <c r="CA52">
        <f t="shared" si="68"/>
        <v>0</v>
      </c>
      <c r="CB52">
        <f t="shared" si="41"/>
        <v>1</v>
      </c>
      <c r="CE52">
        <f t="shared" si="44"/>
        <v>0</v>
      </c>
      <c r="CL52">
        <f t="shared" si="69"/>
        <v>0</v>
      </c>
      <c r="CM52">
        <f t="shared" si="70"/>
        <v>0</v>
      </c>
      <c r="CT52">
        <f t="shared" si="71"/>
        <v>0.71452669621160059</v>
      </c>
      <c r="CU52">
        <f t="shared" si="59"/>
        <v>2.0432193898872777</v>
      </c>
      <c r="CV52">
        <f t="shared" si="60"/>
        <v>1.0000000000000001E-5</v>
      </c>
      <c r="CW52">
        <f t="shared" si="61"/>
        <v>2.0432193898872777</v>
      </c>
      <c r="CX52">
        <v>0.72299999999999998</v>
      </c>
      <c r="CY52">
        <f t="shared" si="62"/>
        <v>0.01</v>
      </c>
      <c r="CZ52">
        <f t="shared" si="72"/>
        <v>0.72299999999999998</v>
      </c>
      <c r="DA52">
        <v>0.3</v>
      </c>
      <c r="DB52">
        <v>0.3</v>
      </c>
      <c r="DC52">
        <v>0.3</v>
      </c>
    </row>
    <row r="53" spans="1:107" x14ac:dyDescent="0.25">
      <c r="A53">
        <v>30</v>
      </c>
      <c r="B53">
        <v>89</v>
      </c>
      <c r="C53" t="str">
        <f t="shared" si="49"/>
        <v>SSTens</v>
      </c>
      <c r="D53">
        <v>0.60960000000000003</v>
      </c>
      <c r="E53">
        <f t="shared" si="14"/>
        <v>609.6</v>
      </c>
      <c r="F53">
        <v>1.1130000000000001E-2</v>
      </c>
      <c r="G53">
        <f t="shared" si="15"/>
        <v>11.13</v>
      </c>
      <c r="H53">
        <f t="shared" si="16"/>
        <v>54.770889487870619</v>
      </c>
      <c r="I53">
        <v>200</v>
      </c>
      <c r="J53" t="s">
        <v>101</v>
      </c>
      <c r="K53">
        <f t="shared" si="73"/>
        <v>3</v>
      </c>
      <c r="L53">
        <f t="shared" si="74"/>
        <v>8</v>
      </c>
      <c r="M53">
        <f t="shared" si="75"/>
        <v>241000</v>
      </c>
      <c r="N53">
        <f t="shared" si="76"/>
        <v>344000</v>
      </c>
      <c r="O53">
        <f t="shared" si="77"/>
        <v>1.1599577949833839</v>
      </c>
      <c r="S53" t="s">
        <v>78</v>
      </c>
      <c r="T53" t="s">
        <v>81</v>
      </c>
      <c r="U53">
        <f t="shared" si="78"/>
        <v>19</v>
      </c>
      <c r="V53">
        <f t="shared" si="79"/>
        <v>43</v>
      </c>
      <c r="W53">
        <f t="shared" si="80"/>
        <v>0</v>
      </c>
      <c r="X53">
        <f t="shared" si="81"/>
        <v>0</v>
      </c>
      <c r="Y53">
        <v>0.9</v>
      </c>
      <c r="Z53">
        <v>2</v>
      </c>
      <c r="AB53">
        <f t="shared" si="17"/>
        <v>58.303260831062495</v>
      </c>
      <c r="AK53">
        <v>2.75</v>
      </c>
      <c r="AM53">
        <f t="shared" si="64"/>
        <v>4.7691565842539682E-2</v>
      </c>
      <c r="AX53">
        <f t="shared" si="65"/>
        <v>0.31151836593386051</v>
      </c>
      <c r="AY53">
        <f t="shared" si="66"/>
        <v>1.8115183659338605</v>
      </c>
      <c r="BC53">
        <v>-2.307229</v>
      </c>
      <c r="BD53">
        <v>0.5852366</v>
      </c>
      <c r="BE53">
        <v>0.201322</v>
      </c>
      <c r="BQ53">
        <v>1.4274935</v>
      </c>
      <c r="BR53">
        <v>-7.1050000000000002E-3</v>
      </c>
      <c r="BS53">
        <v>5.1415999999999996E-3</v>
      </c>
      <c r="BT53">
        <v>-1.4290590000000001</v>
      </c>
      <c r="BU53">
        <v>4.9200300000000002E-2</v>
      </c>
      <c r="BV53">
        <v>0.14513599999999999</v>
      </c>
      <c r="BW53">
        <v>2.0170299999999999E-2</v>
      </c>
      <c r="BX53">
        <v>-1.032025</v>
      </c>
      <c r="BZ53">
        <f t="shared" si="67"/>
        <v>0</v>
      </c>
      <c r="CA53">
        <f t="shared" si="68"/>
        <v>0</v>
      </c>
      <c r="CB53">
        <f t="shared" si="41"/>
        <v>1</v>
      </c>
      <c r="CE53">
        <f t="shared" si="44"/>
        <v>0</v>
      </c>
      <c r="CL53">
        <f t="shared" si="69"/>
        <v>0</v>
      </c>
      <c r="CM53">
        <f t="shared" si="70"/>
        <v>0</v>
      </c>
      <c r="CT53">
        <f t="shared" si="71"/>
        <v>0.85407247289628985</v>
      </c>
      <c r="CU53">
        <f t="shared" si="59"/>
        <v>2.3491944282446702</v>
      </c>
      <c r="CV53">
        <f t="shared" si="60"/>
        <v>1.0000000000000001E-5</v>
      </c>
      <c r="CW53">
        <f t="shared" si="61"/>
        <v>2.3491944282446702</v>
      </c>
      <c r="CX53">
        <v>0.72299999999999998</v>
      </c>
      <c r="CY53">
        <f t="shared" si="62"/>
        <v>0.01</v>
      </c>
      <c r="CZ53">
        <f t="shared" si="72"/>
        <v>0.72299999999999998</v>
      </c>
      <c r="DA53">
        <v>0.3</v>
      </c>
      <c r="DB53">
        <v>0.3</v>
      </c>
      <c r="DC53">
        <v>0.3</v>
      </c>
    </row>
    <row r="54" spans="1:107" x14ac:dyDescent="0.25">
      <c r="A54">
        <v>31</v>
      </c>
      <c r="B54">
        <v>85</v>
      </c>
      <c r="C54" t="str">
        <f t="shared" si="49"/>
        <v>SSTens</v>
      </c>
      <c r="D54">
        <v>0.20319999999999999</v>
      </c>
      <c r="E54">
        <f t="shared" si="14"/>
        <v>203.2</v>
      </c>
      <c r="F54">
        <v>5.5599999999999998E-3</v>
      </c>
      <c r="G54">
        <f t="shared" si="15"/>
        <v>5.56</v>
      </c>
      <c r="H54">
        <f t="shared" si="16"/>
        <v>36.546762589928058</v>
      </c>
      <c r="I54">
        <v>15</v>
      </c>
      <c r="J54" t="s">
        <v>70</v>
      </c>
      <c r="K54">
        <f t="shared" si="73"/>
        <v>8</v>
      </c>
      <c r="L54">
        <f t="shared" si="74"/>
        <v>10</v>
      </c>
      <c r="M54">
        <f t="shared" si="75"/>
        <v>359000</v>
      </c>
      <c r="N54">
        <f t="shared" si="76"/>
        <v>455000</v>
      </c>
      <c r="O54">
        <f t="shared" si="77"/>
        <v>1.9969902892117808</v>
      </c>
      <c r="S54" t="s">
        <v>71</v>
      </c>
      <c r="T54" t="s">
        <v>72</v>
      </c>
      <c r="U54">
        <f t="shared" si="78"/>
        <v>17.5</v>
      </c>
      <c r="V54">
        <f t="shared" si="79"/>
        <v>0</v>
      </c>
      <c r="W54">
        <f t="shared" si="80"/>
        <v>37.5</v>
      </c>
      <c r="X54">
        <f t="shared" si="81"/>
        <v>1.1000000000000001</v>
      </c>
      <c r="Y54">
        <v>0.9</v>
      </c>
      <c r="Z54">
        <v>0</v>
      </c>
      <c r="AB54">
        <f t="shared" si="17"/>
        <v>26.332829622389642</v>
      </c>
      <c r="AK54">
        <v>0.75</v>
      </c>
      <c r="AM54">
        <f t="shared" si="64"/>
        <v>2.350134533617947E-2</v>
      </c>
      <c r="AX54">
        <f t="shared" si="65"/>
        <v>7.0401619555061065E-2</v>
      </c>
      <c r="AY54">
        <f t="shared" si="66"/>
        <v>1.070401619555061</v>
      </c>
      <c r="BC54">
        <v>-2.307229</v>
      </c>
      <c r="BD54">
        <v>0.5852366</v>
      </c>
      <c r="BE54">
        <v>0.201322</v>
      </c>
      <c r="BQ54">
        <v>1.4274935</v>
      </c>
      <c r="BR54">
        <v>-7.1050000000000002E-3</v>
      </c>
      <c r="BS54">
        <v>5.1415999999999996E-3</v>
      </c>
      <c r="BT54">
        <v>-1.4290590000000001</v>
      </c>
      <c r="BU54">
        <v>4.9200300000000002E-2</v>
      </c>
      <c r="BV54">
        <v>0.14513599999999999</v>
      </c>
      <c r="BW54">
        <v>2.0170299999999999E-2</v>
      </c>
      <c r="BX54">
        <v>-1.032025</v>
      </c>
      <c r="BZ54">
        <f t="shared" si="67"/>
        <v>1</v>
      </c>
      <c r="CA54">
        <f t="shared" si="68"/>
        <v>0</v>
      </c>
      <c r="CB54">
        <f t="shared" si="41"/>
        <v>0</v>
      </c>
      <c r="CE54">
        <f t="shared" si="44"/>
        <v>-0.51145365159113909</v>
      </c>
      <c r="CL54">
        <f t="shared" si="69"/>
        <v>-0.51145365159113909</v>
      </c>
      <c r="CM54">
        <f t="shared" si="70"/>
        <v>0</v>
      </c>
      <c r="CT54">
        <f t="shared" si="71"/>
        <v>-0.58479113632895929</v>
      </c>
      <c r="CU54">
        <f t="shared" si="59"/>
        <v>0.55722223314007857</v>
      </c>
      <c r="CV54">
        <f t="shared" si="60"/>
        <v>1.0000000000000001E-5</v>
      </c>
      <c r="CW54">
        <f t="shared" si="61"/>
        <v>0.55722223314007857</v>
      </c>
      <c r="CX54">
        <v>0.72299999999999998</v>
      </c>
      <c r="CY54">
        <f t="shared" si="62"/>
        <v>0.01</v>
      </c>
      <c r="CZ54">
        <f t="shared" si="72"/>
        <v>0.72299999999999998</v>
      </c>
      <c r="DA54">
        <v>0.3</v>
      </c>
      <c r="DB54">
        <v>0.3</v>
      </c>
      <c r="DC54">
        <v>0.3</v>
      </c>
    </row>
    <row r="55" spans="1:107" x14ac:dyDescent="0.25">
      <c r="A55">
        <v>32</v>
      </c>
      <c r="B55">
        <v>89</v>
      </c>
      <c r="C55" t="str">
        <f t="shared" si="49"/>
        <v>SSTens</v>
      </c>
      <c r="D55">
        <v>0.30480000000000002</v>
      </c>
      <c r="E55">
        <f t="shared" si="14"/>
        <v>304.8</v>
      </c>
      <c r="F55">
        <v>7.1399999999999996E-3</v>
      </c>
      <c r="G55">
        <f t="shared" si="15"/>
        <v>7.14</v>
      </c>
      <c r="H55">
        <f t="shared" si="16"/>
        <v>42.689075630252105</v>
      </c>
      <c r="I55">
        <v>30</v>
      </c>
      <c r="J55" t="s">
        <v>73</v>
      </c>
      <c r="K55">
        <f t="shared" si="73"/>
        <v>8</v>
      </c>
      <c r="L55">
        <f t="shared" si="74"/>
        <v>12</v>
      </c>
      <c r="M55">
        <f t="shared" si="75"/>
        <v>414000</v>
      </c>
      <c r="N55">
        <f t="shared" si="76"/>
        <v>517000</v>
      </c>
      <c r="O55">
        <f t="shared" si="77"/>
        <v>2.5466769467238102</v>
      </c>
      <c r="S55" t="s">
        <v>71</v>
      </c>
      <c r="T55" t="s">
        <v>72</v>
      </c>
      <c r="U55">
        <f t="shared" si="78"/>
        <v>17.5</v>
      </c>
      <c r="V55">
        <f t="shared" si="79"/>
        <v>0</v>
      </c>
      <c r="W55">
        <f t="shared" si="80"/>
        <v>37.5</v>
      </c>
      <c r="X55">
        <f t="shared" si="81"/>
        <v>1.1000000000000001</v>
      </c>
      <c r="Y55">
        <v>0.9</v>
      </c>
      <c r="Z55">
        <v>0</v>
      </c>
      <c r="AB55">
        <f t="shared" si="17"/>
        <v>39.499244433584465</v>
      </c>
      <c r="AK55">
        <v>0.75</v>
      </c>
      <c r="AM55">
        <f t="shared" si="64"/>
        <v>3.4929626553889231E-2</v>
      </c>
      <c r="AX55">
        <f t="shared" si="65"/>
        <v>0.15301812852026347</v>
      </c>
      <c r="AY55">
        <f t="shared" si="66"/>
        <v>1.1530181285202634</v>
      </c>
      <c r="BC55">
        <v>-2.307229</v>
      </c>
      <c r="BD55">
        <v>0.5852366</v>
      </c>
      <c r="BE55">
        <v>0.201322</v>
      </c>
      <c r="BQ55">
        <v>1.4274935</v>
      </c>
      <c r="BR55">
        <v>-7.1050000000000002E-3</v>
      </c>
      <c r="BS55">
        <v>5.1415999999999996E-3</v>
      </c>
      <c r="BT55">
        <v>-1.4290590000000001</v>
      </c>
      <c r="BU55">
        <v>4.9200300000000002E-2</v>
      </c>
      <c r="BV55">
        <v>0.14513599999999999</v>
      </c>
      <c r="BW55">
        <v>2.0170299999999999E-2</v>
      </c>
      <c r="BX55">
        <v>-1.032025</v>
      </c>
      <c r="BZ55">
        <f t="shared" si="67"/>
        <v>1</v>
      </c>
      <c r="CA55">
        <f t="shared" si="68"/>
        <v>0</v>
      </c>
      <c r="CB55">
        <f t="shared" si="41"/>
        <v>0</v>
      </c>
      <c r="CE55">
        <f t="shared" si="44"/>
        <v>-0.60214698226649055</v>
      </c>
      <c r="CL55">
        <f t="shared" si="69"/>
        <v>-0.60214698226649055</v>
      </c>
      <c r="CM55">
        <f t="shared" si="70"/>
        <v>0</v>
      </c>
      <c r="CT55">
        <f t="shared" si="71"/>
        <v>-0.56189437101015471</v>
      </c>
      <c r="CU55">
        <f t="shared" si="59"/>
        <v>0.57012800624291049</v>
      </c>
      <c r="CV55">
        <f t="shared" si="60"/>
        <v>1.0000000000000001E-5</v>
      </c>
      <c r="CW55">
        <f t="shared" si="61"/>
        <v>0.57012800624291049</v>
      </c>
      <c r="CX55">
        <v>0.72299999999999998</v>
      </c>
      <c r="CY55">
        <f t="shared" si="62"/>
        <v>0.01</v>
      </c>
      <c r="CZ55">
        <f t="shared" si="72"/>
        <v>0.72299999999999998</v>
      </c>
      <c r="DA55">
        <v>0.3</v>
      </c>
      <c r="DB55">
        <v>0.3</v>
      </c>
      <c r="DC55">
        <v>0.3</v>
      </c>
    </row>
    <row r="56" spans="1:107" x14ac:dyDescent="0.25">
      <c r="A56">
        <v>33</v>
      </c>
      <c r="B56">
        <v>87</v>
      </c>
      <c r="C56" t="str">
        <f t="shared" si="49"/>
        <v>SSTens</v>
      </c>
      <c r="D56">
        <v>0.40639999999999998</v>
      </c>
      <c r="E56">
        <f t="shared" si="14"/>
        <v>406.4</v>
      </c>
      <c r="F56">
        <v>9.5299999999999985E-3</v>
      </c>
      <c r="G56">
        <f t="shared" si="15"/>
        <v>9.5299999999999994</v>
      </c>
      <c r="H56">
        <f t="shared" si="16"/>
        <v>42.644281217208821</v>
      </c>
      <c r="I56">
        <v>50</v>
      </c>
      <c r="J56" t="s">
        <v>75</v>
      </c>
      <c r="K56">
        <f t="shared" si="73"/>
        <v>14</v>
      </c>
      <c r="L56">
        <f t="shared" si="74"/>
        <v>15</v>
      </c>
      <c r="M56">
        <f t="shared" si="75"/>
        <v>483000</v>
      </c>
      <c r="N56">
        <f t="shared" si="76"/>
        <v>565000</v>
      </c>
      <c r="O56">
        <f t="shared" si="77"/>
        <v>2.8799444073326219</v>
      </c>
      <c r="S56" t="s">
        <v>71</v>
      </c>
      <c r="T56" t="s">
        <v>72</v>
      </c>
      <c r="U56">
        <f t="shared" si="78"/>
        <v>17.5</v>
      </c>
      <c r="V56">
        <f t="shared" si="79"/>
        <v>0</v>
      </c>
      <c r="W56">
        <f t="shared" si="80"/>
        <v>37.5</v>
      </c>
      <c r="X56">
        <f t="shared" si="81"/>
        <v>1.1000000000000001</v>
      </c>
      <c r="Y56">
        <v>0.9</v>
      </c>
      <c r="Z56">
        <v>0</v>
      </c>
      <c r="AB56">
        <f t="shared" si="17"/>
        <v>52.665659244779285</v>
      </c>
      <c r="AK56">
        <v>0.75</v>
      </c>
      <c r="AM56">
        <f t="shared" si="64"/>
        <v>4.5980584899860635E-2</v>
      </c>
      <c r="AX56">
        <f t="shared" si="65"/>
        <v>0.22103278039106702</v>
      </c>
      <c r="AY56">
        <f t="shared" si="66"/>
        <v>1.221032780391067</v>
      </c>
      <c r="BC56">
        <v>-2.307229</v>
      </c>
      <c r="BD56">
        <v>0.5852366</v>
      </c>
      <c r="BE56">
        <v>0.201322</v>
      </c>
      <c r="BQ56">
        <v>1.4274935</v>
      </c>
      <c r="BR56">
        <v>-7.1050000000000002E-3</v>
      </c>
      <c r="BS56">
        <v>5.1415999999999996E-3</v>
      </c>
      <c r="BT56">
        <v>-1.4290590000000001</v>
      </c>
      <c r="BU56">
        <v>4.9200300000000002E-2</v>
      </c>
      <c r="BV56">
        <v>0.14513599999999999</v>
      </c>
      <c r="BW56">
        <v>2.0170299999999999E-2</v>
      </c>
      <c r="BX56">
        <v>-1.032025</v>
      </c>
      <c r="BZ56">
        <f t="shared" si="67"/>
        <v>1</v>
      </c>
      <c r="CA56">
        <f t="shared" si="68"/>
        <v>0</v>
      </c>
      <c r="CB56">
        <f t="shared" si="41"/>
        <v>0</v>
      </c>
      <c r="CE56">
        <f t="shared" si="44"/>
        <v>-0.6473721201748025</v>
      </c>
      <c r="CL56">
        <f t="shared" si="69"/>
        <v>-0.6473721201748025</v>
      </c>
      <c r="CM56">
        <f t="shared" si="70"/>
        <v>0</v>
      </c>
      <c r="CT56">
        <f t="shared" si="71"/>
        <v>-0.59642764612512122</v>
      </c>
      <c r="CU56">
        <f t="shared" si="59"/>
        <v>0.55077569153060479</v>
      </c>
      <c r="CV56">
        <f t="shared" si="60"/>
        <v>1.0000000000000001E-5</v>
      </c>
      <c r="CW56">
        <f t="shared" si="61"/>
        <v>0.55077569153060479</v>
      </c>
      <c r="CX56">
        <v>0.72299999999999998</v>
      </c>
      <c r="CY56">
        <f t="shared" si="62"/>
        <v>0.01</v>
      </c>
      <c r="CZ56">
        <f t="shared" si="72"/>
        <v>0.72299999999999998</v>
      </c>
      <c r="DA56">
        <v>0.3</v>
      </c>
      <c r="DB56">
        <v>0.3</v>
      </c>
      <c r="DC56">
        <v>0.3</v>
      </c>
    </row>
    <row r="57" spans="1:107" x14ac:dyDescent="0.25">
      <c r="A57">
        <v>34</v>
      </c>
      <c r="B57">
        <v>85</v>
      </c>
      <c r="C57" t="str">
        <f t="shared" si="49"/>
        <v>SSTens</v>
      </c>
      <c r="D57">
        <v>0.50800000000000001</v>
      </c>
      <c r="E57">
        <f t="shared" si="14"/>
        <v>508</v>
      </c>
      <c r="F57">
        <v>1.1130000000000001E-2</v>
      </c>
      <c r="G57">
        <f t="shared" si="15"/>
        <v>11.13</v>
      </c>
      <c r="H57">
        <f t="shared" si="16"/>
        <v>45.642407906558844</v>
      </c>
      <c r="I57">
        <v>100</v>
      </c>
      <c r="J57" t="s">
        <v>77</v>
      </c>
      <c r="K57">
        <f t="shared" si="73"/>
        <v>15</v>
      </c>
      <c r="L57">
        <f t="shared" si="74"/>
        <v>20</v>
      </c>
      <c r="M57">
        <f t="shared" si="75"/>
        <v>552000</v>
      </c>
      <c r="N57">
        <f t="shared" si="76"/>
        <v>625000</v>
      </c>
      <c r="O57">
        <f t="shared" si="77"/>
        <v>2.9888368774026359</v>
      </c>
      <c r="S57" t="s">
        <v>71</v>
      </c>
      <c r="T57" t="s">
        <v>72</v>
      </c>
      <c r="U57">
        <f t="shared" si="78"/>
        <v>17.5</v>
      </c>
      <c r="V57">
        <f t="shared" si="79"/>
        <v>0</v>
      </c>
      <c r="W57">
        <f t="shared" si="80"/>
        <v>37.5</v>
      </c>
      <c r="X57">
        <f t="shared" si="81"/>
        <v>1.1000000000000001</v>
      </c>
      <c r="Y57">
        <v>0.9</v>
      </c>
      <c r="Z57">
        <v>0</v>
      </c>
      <c r="AB57">
        <f t="shared" si="17"/>
        <v>65.832074055974104</v>
      </c>
      <c r="AK57">
        <v>0.75</v>
      </c>
      <c r="AM57">
        <f t="shared" si="64"/>
        <v>5.6761916710913081E-2</v>
      </c>
      <c r="AX57">
        <f t="shared" si="65"/>
        <v>0.30141505236031529</v>
      </c>
      <c r="AY57">
        <f t="shared" si="66"/>
        <v>1.8014150523603152</v>
      </c>
      <c r="BC57">
        <v>-2.307229</v>
      </c>
      <c r="BD57">
        <v>0.5852366</v>
      </c>
      <c r="BE57">
        <v>0.201322</v>
      </c>
      <c r="BQ57">
        <v>1.4274935</v>
      </c>
      <c r="BR57">
        <v>-7.1050000000000002E-3</v>
      </c>
      <c r="BS57">
        <v>5.1415999999999996E-3</v>
      </c>
      <c r="BT57">
        <v>-1.4290590000000001</v>
      </c>
      <c r="BU57">
        <v>4.9200300000000002E-2</v>
      </c>
      <c r="BV57">
        <v>0.14513599999999999</v>
      </c>
      <c r="BW57">
        <v>2.0170299999999999E-2</v>
      </c>
      <c r="BX57">
        <v>-1.032025</v>
      </c>
      <c r="BZ57">
        <f t="shared" si="67"/>
        <v>1</v>
      </c>
      <c r="CA57">
        <f t="shared" si="68"/>
        <v>0</v>
      </c>
      <c r="CB57">
        <f t="shared" si="41"/>
        <v>0</v>
      </c>
      <c r="CE57">
        <f t="shared" si="44"/>
        <v>-0.70363623213972026</v>
      </c>
      <c r="CL57">
        <f t="shared" si="69"/>
        <v>-0.70363623213972026</v>
      </c>
      <c r="CM57">
        <f t="shared" si="70"/>
        <v>0</v>
      </c>
      <c r="CT57">
        <f t="shared" si="71"/>
        <v>-0.59886235386354869</v>
      </c>
      <c r="CU57">
        <f t="shared" si="59"/>
        <v>0.54943634481282166</v>
      </c>
      <c r="CV57">
        <f t="shared" si="60"/>
        <v>1.0000000000000001E-5</v>
      </c>
      <c r="CW57">
        <f t="shared" si="61"/>
        <v>0.54943634481282166</v>
      </c>
      <c r="CX57">
        <v>0.72299999999999998</v>
      </c>
      <c r="CY57">
        <f t="shared" si="62"/>
        <v>0.01</v>
      </c>
      <c r="CZ57">
        <f t="shared" si="72"/>
        <v>0.72299999999999998</v>
      </c>
      <c r="DA57">
        <v>0.3</v>
      </c>
      <c r="DB57">
        <v>0.3</v>
      </c>
      <c r="DC57">
        <v>0.3</v>
      </c>
    </row>
    <row r="58" spans="1:107" x14ac:dyDescent="0.25">
      <c r="A58">
        <v>35</v>
      </c>
      <c r="B58">
        <v>85</v>
      </c>
      <c r="C58" t="str">
        <f t="shared" si="49"/>
        <v>SSTens</v>
      </c>
      <c r="D58">
        <v>0.60960000000000003</v>
      </c>
      <c r="E58">
        <f t="shared" si="14"/>
        <v>609.6</v>
      </c>
      <c r="F58">
        <v>9.5299999999999985E-3</v>
      </c>
      <c r="G58">
        <f t="shared" si="15"/>
        <v>9.5299999999999994</v>
      </c>
      <c r="H58">
        <f t="shared" si="16"/>
        <v>63.966421825813235</v>
      </c>
      <c r="I58">
        <v>15</v>
      </c>
      <c r="J58" t="s">
        <v>70</v>
      </c>
      <c r="K58">
        <f t="shared" si="73"/>
        <v>8</v>
      </c>
      <c r="L58">
        <f t="shared" si="74"/>
        <v>10</v>
      </c>
      <c r="M58">
        <f t="shared" si="75"/>
        <v>359000</v>
      </c>
      <c r="N58">
        <f t="shared" si="76"/>
        <v>455000</v>
      </c>
      <c r="O58">
        <f t="shared" si="77"/>
        <v>1.9969902892117808</v>
      </c>
      <c r="S58" t="s">
        <v>71</v>
      </c>
      <c r="T58" t="s">
        <v>74</v>
      </c>
      <c r="U58">
        <f t="shared" si="78"/>
        <v>18</v>
      </c>
      <c r="V58">
        <f t="shared" si="79"/>
        <v>0</v>
      </c>
      <c r="W58">
        <f t="shared" si="80"/>
        <v>75</v>
      </c>
      <c r="X58">
        <f t="shared" si="81"/>
        <v>0.72</v>
      </c>
      <c r="Y58">
        <v>0.9</v>
      </c>
      <c r="Z58">
        <v>0</v>
      </c>
      <c r="AB58">
        <f t="shared" si="17"/>
        <v>103.41620360793024</v>
      </c>
      <c r="AK58">
        <v>0.75</v>
      </c>
      <c r="AM58">
        <f t="shared" si="64"/>
        <v>8.5938878264467361E-2</v>
      </c>
      <c r="AX58">
        <f t="shared" si="65"/>
        <v>0.34319449854464201</v>
      </c>
      <c r="AY58">
        <f t="shared" si="66"/>
        <v>1.343194498544642</v>
      </c>
      <c r="BC58">
        <v>-2.307229</v>
      </c>
      <c r="BD58">
        <v>0.5852366</v>
      </c>
      <c r="BE58">
        <v>0.201322</v>
      </c>
      <c r="BQ58">
        <v>1.4274935</v>
      </c>
      <c r="BR58">
        <v>-7.1050000000000002E-3</v>
      </c>
      <c r="BS58">
        <v>5.1415999999999996E-3</v>
      </c>
      <c r="BT58">
        <v>-1.4290590000000001</v>
      </c>
      <c r="BU58">
        <v>4.9200300000000002E-2</v>
      </c>
      <c r="BV58">
        <v>0.14513599999999999</v>
      </c>
      <c r="BW58">
        <v>2.0170299999999999E-2</v>
      </c>
      <c r="BX58">
        <v>-1.032025</v>
      </c>
      <c r="BZ58">
        <f t="shared" si="67"/>
        <v>1</v>
      </c>
      <c r="CA58">
        <f t="shared" si="68"/>
        <v>0</v>
      </c>
      <c r="CB58">
        <f t="shared" si="41"/>
        <v>0</v>
      </c>
      <c r="CE58">
        <f t="shared" si="44"/>
        <v>-0.64451052521418639</v>
      </c>
      <c r="CL58">
        <f t="shared" si="69"/>
        <v>-0.64451052521418639</v>
      </c>
      <c r="CM58">
        <f t="shared" si="70"/>
        <v>0</v>
      </c>
      <c r="CT58">
        <f t="shared" si="71"/>
        <v>-0.35698842861680458</v>
      </c>
      <c r="CU58">
        <f t="shared" si="59"/>
        <v>0.69978059511718083</v>
      </c>
      <c r="CV58">
        <f t="shared" si="60"/>
        <v>1.0000000000000001E-5</v>
      </c>
      <c r="CW58">
        <f t="shared" si="61"/>
        <v>0.69978059511718083</v>
      </c>
      <c r="CX58">
        <v>0.72299999999999998</v>
      </c>
      <c r="CY58">
        <f t="shared" si="62"/>
        <v>0.01</v>
      </c>
      <c r="CZ58">
        <f t="shared" si="72"/>
        <v>0.72299999999999998</v>
      </c>
      <c r="DA58">
        <v>0.3</v>
      </c>
      <c r="DB58">
        <v>0.3</v>
      </c>
      <c r="DC58">
        <v>0.3</v>
      </c>
    </row>
    <row r="59" spans="1:107" x14ac:dyDescent="0.25">
      <c r="A59">
        <v>36</v>
      </c>
      <c r="B59">
        <v>89</v>
      </c>
      <c r="C59" t="str">
        <f t="shared" si="49"/>
        <v>SSTens</v>
      </c>
      <c r="D59">
        <v>0.76200000000000001</v>
      </c>
      <c r="E59">
        <f t="shared" si="14"/>
        <v>762</v>
      </c>
      <c r="F59">
        <v>1.2699999999999999E-2</v>
      </c>
      <c r="G59">
        <f t="shared" si="15"/>
        <v>12.7</v>
      </c>
      <c r="H59">
        <f t="shared" si="16"/>
        <v>60</v>
      </c>
      <c r="I59">
        <v>30</v>
      </c>
      <c r="J59" t="s">
        <v>73</v>
      </c>
      <c r="K59">
        <f t="shared" si="73"/>
        <v>8</v>
      </c>
      <c r="L59">
        <f t="shared" si="74"/>
        <v>12</v>
      </c>
      <c r="M59">
        <f t="shared" si="75"/>
        <v>414000</v>
      </c>
      <c r="N59">
        <f t="shared" si="76"/>
        <v>517000</v>
      </c>
      <c r="O59">
        <f t="shared" si="77"/>
        <v>2.5466769467238102</v>
      </c>
      <c r="S59" t="s">
        <v>71</v>
      </c>
      <c r="T59" t="s">
        <v>74</v>
      </c>
      <c r="U59">
        <f t="shared" si="78"/>
        <v>18</v>
      </c>
      <c r="V59">
        <f t="shared" si="79"/>
        <v>0</v>
      </c>
      <c r="W59">
        <f t="shared" si="80"/>
        <v>75</v>
      </c>
      <c r="X59">
        <f t="shared" si="81"/>
        <v>0.72</v>
      </c>
      <c r="Y59">
        <v>0.9</v>
      </c>
      <c r="Z59">
        <v>0</v>
      </c>
      <c r="AB59">
        <f t="shared" si="17"/>
        <v>129.2702545099128</v>
      </c>
      <c r="AK59">
        <v>1.5</v>
      </c>
      <c r="AM59">
        <f t="shared" si="64"/>
        <v>0.10764414471571518</v>
      </c>
      <c r="AX59">
        <f t="shared" si="65"/>
        <v>0.46262651833971924</v>
      </c>
      <c r="AY59">
        <f t="shared" si="66"/>
        <v>1.4626265183397194</v>
      </c>
      <c r="BC59">
        <v>-2.307229</v>
      </c>
      <c r="BD59">
        <v>0.5852366</v>
      </c>
      <c r="BE59">
        <v>0.201322</v>
      </c>
      <c r="BQ59">
        <v>1.4274935</v>
      </c>
      <c r="BR59">
        <v>-7.1050000000000002E-3</v>
      </c>
      <c r="BS59">
        <v>5.1415999999999996E-3</v>
      </c>
      <c r="BT59">
        <v>-1.4290590000000001</v>
      </c>
      <c r="BU59">
        <v>4.9200300000000002E-2</v>
      </c>
      <c r="BV59">
        <v>0.14513599999999999</v>
      </c>
      <c r="BW59">
        <v>2.0170299999999999E-2</v>
      </c>
      <c r="BX59">
        <v>-1.032025</v>
      </c>
      <c r="BZ59">
        <f t="shared" si="67"/>
        <v>1</v>
      </c>
      <c r="CA59">
        <f t="shared" si="68"/>
        <v>0</v>
      </c>
      <c r="CB59">
        <f t="shared" si="41"/>
        <v>0</v>
      </c>
      <c r="CE59">
        <f t="shared" si="44"/>
        <v>-4.6730844270599627E-2</v>
      </c>
      <c r="CL59">
        <f t="shared" si="69"/>
        <v>-4.6730844270599627E-2</v>
      </c>
      <c r="CM59">
        <f t="shared" si="70"/>
        <v>0</v>
      </c>
      <c r="CT59">
        <f t="shared" si="71"/>
        <v>1.8835024417450885E-2</v>
      </c>
      <c r="CU59">
        <f t="shared" si="59"/>
        <v>1.0190135223999457</v>
      </c>
      <c r="CV59">
        <f t="shared" si="60"/>
        <v>1.0000000000000001E-5</v>
      </c>
      <c r="CW59">
        <f t="shared" si="61"/>
        <v>1.0190135223999457</v>
      </c>
      <c r="CX59">
        <v>0.72299999999999998</v>
      </c>
      <c r="CY59">
        <f t="shared" si="62"/>
        <v>0.01</v>
      </c>
      <c r="CZ59">
        <f t="shared" si="72"/>
        <v>0.72299999999999998</v>
      </c>
      <c r="DA59">
        <v>0.3</v>
      </c>
      <c r="DB59">
        <v>0.3</v>
      </c>
      <c r="DC59">
        <v>0.3</v>
      </c>
    </row>
    <row r="60" spans="1:107" x14ac:dyDescent="0.25">
      <c r="A60">
        <v>37</v>
      </c>
      <c r="B60">
        <v>87</v>
      </c>
      <c r="C60" t="str">
        <f t="shared" si="49"/>
        <v>SSTens</v>
      </c>
      <c r="D60">
        <v>0.86360000000000003</v>
      </c>
      <c r="E60">
        <f t="shared" si="14"/>
        <v>863.6</v>
      </c>
      <c r="F60">
        <v>1.1130000000000001E-2</v>
      </c>
      <c r="G60">
        <f t="shared" si="15"/>
        <v>11.13</v>
      </c>
      <c r="H60">
        <f t="shared" si="16"/>
        <v>77.592093441150041</v>
      </c>
      <c r="I60">
        <v>50</v>
      </c>
      <c r="J60" t="s">
        <v>75</v>
      </c>
      <c r="K60">
        <f t="shared" si="73"/>
        <v>14</v>
      </c>
      <c r="L60">
        <f t="shared" si="74"/>
        <v>15</v>
      </c>
      <c r="M60">
        <f t="shared" si="75"/>
        <v>483000</v>
      </c>
      <c r="N60">
        <f t="shared" si="76"/>
        <v>565000</v>
      </c>
      <c r="O60">
        <f t="shared" si="77"/>
        <v>2.8799444073326219</v>
      </c>
      <c r="S60" t="s">
        <v>71</v>
      </c>
      <c r="T60" t="s">
        <v>74</v>
      </c>
      <c r="U60">
        <f t="shared" si="78"/>
        <v>18</v>
      </c>
      <c r="V60">
        <f t="shared" si="79"/>
        <v>0</v>
      </c>
      <c r="W60">
        <f t="shared" si="80"/>
        <v>75</v>
      </c>
      <c r="X60">
        <f t="shared" si="81"/>
        <v>0.72</v>
      </c>
      <c r="Y60">
        <v>0.9</v>
      </c>
      <c r="Z60">
        <v>0</v>
      </c>
      <c r="AB60">
        <f t="shared" si="17"/>
        <v>146.50628844456784</v>
      </c>
      <c r="AK60">
        <v>1.5</v>
      </c>
      <c r="AM60">
        <f t="shared" si="64"/>
        <v>0.12199149455168937</v>
      </c>
      <c r="AX60">
        <f t="shared" si="65"/>
        <v>0.57931434087634726</v>
      </c>
      <c r="AY60">
        <f t="shared" si="66"/>
        <v>1.5793143408763473</v>
      </c>
      <c r="BC60">
        <v>-2.307229</v>
      </c>
      <c r="BD60">
        <v>0.5852366</v>
      </c>
      <c r="BE60">
        <v>0.201322</v>
      </c>
      <c r="BQ60">
        <v>1.4274935</v>
      </c>
      <c r="BR60">
        <v>-7.1050000000000002E-3</v>
      </c>
      <c r="BS60">
        <v>5.1415999999999996E-3</v>
      </c>
      <c r="BT60">
        <v>-1.4290590000000001</v>
      </c>
      <c r="BU60">
        <v>4.9200300000000002E-2</v>
      </c>
      <c r="BV60">
        <v>0.14513599999999999</v>
      </c>
      <c r="BW60">
        <v>2.0170299999999999E-2</v>
      </c>
      <c r="BX60">
        <v>-1.032025</v>
      </c>
      <c r="BZ60">
        <f t="shared" si="67"/>
        <v>1</v>
      </c>
      <c r="CA60">
        <f t="shared" si="68"/>
        <v>0</v>
      </c>
      <c r="CB60">
        <f t="shared" si="41"/>
        <v>0</v>
      </c>
      <c r="CE60">
        <f t="shared" si="44"/>
        <v>-0.13656097636803749</v>
      </c>
      <c r="CL60">
        <f t="shared" si="69"/>
        <v>-0.13656097636803749</v>
      </c>
      <c r="CM60">
        <f t="shared" si="70"/>
        <v>0</v>
      </c>
      <c r="CT60">
        <f t="shared" si="71"/>
        <v>3.4566429204756499E-2</v>
      </c>
      <c r="CU60">
        <f t="shared" si="59"/>
        <v>1.0351707916646211</v>
      </c>
      <c r="CV60">
        <f t="shared" si="60"/>
        <v>1.0000000000000001E-5</v>
      </c>
      <c r="CW60">
        <f t="shared" si="61"/>
        <v>1.0351707916646211</v>
      </c>
      <c r="CX60">
        <v>0.72299999999999998</v>
      </c>
      <c r="CY60">
        <f t="shared" si="62"/>
        <v>0.01</v>
      </c>
      <c r="CZ60">
        <f t="shared" si="72"/>
        <v>0.72299999999999998</v>
      </c>
      <c r="DA60">
        <v>0.3</v>
      </c>
      <c r="DB60">
        <v>0.3</v>
      </c>
      <c r="DC60">
        <v>0.3</v>
      </c>
    </row>
    <row r="61" spans="1:107" x14ac:dyDescent="0.25">
      <c r="A61">
        <v>38</v>
      </c>
      <c r="B61">
        <v>89</v>
      </c>
      <c r="C61" t="str">
        <f t="shared" si="49"/>
        <v>SSTens</v>
      </c>
      <c r="D61">
        <v>1.0668</v>
      </c>
      <c r="E61">
        <f t="shared" si="14"/>
        <v>1066.8</v>
      </c>
      <c r="F61">
        <v>1.2699999999999999E-2</v>
      </c>
      <c r="G61">
        <f t="shared" si="15"/>
        <v>12.7</v>
      </c>
      <c r="H61">
        <f t="shared" si="16"/>
        <v>84</v>
      </c>
      <c r="I61">
        <v>100</v>
      </c>
      <c r="J61" t="s">
        <v>77</v>
      </c>
      <c r="K61">
        <f t="shared" si="73"/>
        <v>15</v>
      </c>
      <c r="L61">
        <f t="shared" si="74"/>
        <v>20</v>
      </c>
      <c r="M61">
        <f t="shared" si="75"/>
        <v>552000</v>
      </c>
      <c r="N61">
        <f t="shared" si="76"/>
        <v>625000</v>
      </c>
      <c r="O61">
        <f t="shared" si="77"/>
        <v>2.9888368774026359</v>
      </c>
      <c r="S61" t="s">
        <v>71</v>
      </c>
      <c r="T61" t="s">
        <v>76</v>
      </c>
      <c r="U61">
        <f t="shared" si="78"/>
        <v>18.5</v>
      </c>
      <c r="V61">
        <f t="shared" si="79"/>
        <v>0</v>
      </c>
      <c r="W61">
        <f t="shared" si="80"/>
        <v>125</v>
      </c>
      <c r="X61">
        <f t="shared" si="81"/>
        <v>0.4</v>
      </c>
      <c r="Y61">
        <v>0.9</v>
      </c>
      <c r="Z61">
        <v>0</v>
      </c>
      <c r="AB61">
        <f t="shared" si="17"/>
        <v>167.57255214247957</v>
      </c>
      <c r="AK61">
        <v>1.5</v>
      </c>
      <c r="AM61">
        <f t="shared" si="64"/>
        <v>0.13917170396098252</v>
      </c>
      <c r="AX61">
        <f t="shared" si="65"/>
        <v>0.70118132861093019</v>
      </c>
      <c r="AY61">
        <f t="shared" si="66"/>
        <v>2.2011813286109301</v>
      </c>
      <c r="BC61">
        <v>-2.307229</v>
      </c>
      <c r="BD61">
        <v>0.5852366</v>
      </c>
      <c r="BE61">
        <v>0.201322</v>
      </c>
      <c r="BQ61">
        <v>1.4274935</v>
      </c>
      <c r="BR61">
        <v>-7.1050000000000002E-3</v>
      </c>
      <c r="BS61">
        <v>5.1415999999999996E-3</v>
      </c>
      <c r="BT61">
        <v>-1.4290590000000001</v>
      </c>
      <c r="BU61">
        <v>4.9200300000000002E-2</v>
      </c>
      <c r="BV61">
        <v>0.14513599999999999</v>
      </c>
      <c r="BW61">
        <v>2.0170299999999999E-2</v>
      </c>
      <c r="BX61">
        <v>-1.032025</v>
      </c>
      <c r="BZ61">
        <f t="shared" si="67"/>
        <v>1</v>
      </c>
      <c r="CA61">
        <f t="shared" si="68"/>
        <v>0</v>
      </c>
      <c r="CB61">
        <f t="shared" si="41"/>
        <v>0</v>
      </c>
      <c r="CE61">
        <f t="shared" si="44"/>
        <v>-0.19777054799268215</v>
      </c>
      <c r="CL61">
        <f t="shared" si="69"/>
        <v>-0.19777054799268215</v>
      </c>
      <c r="CM61">
        <f t="shared" si="70"/>
        <v>0</v>
      </c>
      <c r="CT61">
        <f t="shared" si="71"/>
        <v>-1.0808663411078889E-2</v>
      </c>
      <c r="CU61">
        <f t="shared" si="59"/>
        <v>0.98924954030109691</v>
      </c>
      <c r="CV61">
        <f t="shared" si="60"/>
        <v>1.0000000000000001E-5</v>
      </c>
      <c r="CW61">
        <f t="shared" si="61"/>
        <v>0.98924954030109691</v>
      </c>
      <c r="CX61">
        <v>0.72299999999999998</v>
      </c>
      <c r="CY61">
        <f t="shared" si="62"/>
        <v>0.01</v>
      </c>
      <c r="CZ61">
        <f t="shared" si="72"/>
        <v>0.72299999999999998</v>
      </c>
      <c r="DA61">
        <v>0.3</v>
      </c>
      <c r="DB61">
        <v>0.3</v>
      </c>
      <c r="DC61">
        <v>0.3</v>
      </c>
    </row>
    <row r="62" spans="1:107" x14ac:dyDescent="0.25">
      <c r="A62">
        <v>39</v>
      </c>
      <c r="B62">
        <v>85</v>
      </c>
      <c r="C62" t="str">
        <f t="shared" si="49"/>
        <v>SSTens</v>
      </c>
      <c r="D62">
        <v>0.60960000000000003</v>
      </c>
      <c r="E62">
        <f t="shared" si="14"/>
        <v>609.6</v>
      </c>
      <c r="F62">
        <v>1.1130000000000001E-2</v>
      </c>
      <c r="G62">
        <f t="shared" si="15"/>
        <v>11.13</v>
      </c>
      <c r="H62">
        <f t="shared" si="16"/>
        <v>54.770889487870619</v>
      </c>
      <c r="I62">
        <v>150</v>
      </c>
      <c r="J62" t="s">
        <v>100</v>
      </c>
      <c r="K62">
        <f t="shared" si="73"/>
        <v>3</v>
      </c>
      <c r="L62">
        <f t="shared" si="74"/>
        <v>9</v>
      </c>
      <c r="M62">
        <f t="shared" si="75"/>
        <v>290000</v>
      </c>
      <c r="N62">
        <f t="shared" si="76"/>
        <v>414000</v>
      </c>
      <c r="O62">
        <f t="shared" si="77"/>
        <v>1.7363704307629526</v>
      </c>
      <c r="S62" t="s">
        <v>71</v>
      </c>
      <c r="T62" t="s">
        <v>76</v>
      </c>
      <c r="U62">
        <f t="shared" si="78"/>
        <v>18.5</v>
      </c>
      <c r="V62">
        <f t="shared" si="79"/>
        <v>0</v>
      </c>
      <c r="W62">
        <f t="shared" si="80"/>
        <v>125</v>
      </c>
      <c r="X62">
        <f t="shared" si="81"/>
        <v>0.4</v>
      </c>
      <c r="Y62">
        <v>0.9</v>
      </c>
      <c r="Z62">
        <v>0</v>
      </c>
      <c r="AB62">
        <f t="shared" si="17"/>
        <v>95.755744081416907</v>
      </c>
      <c r="AK62">
        <v>7.5</v>
      </c>
      <c r="AM62">
        <f t="shared" si="64"/>
        <v>7.9294795208237082E-2</v>
      </c>
      <c r="AX62">
        <f t="shared" si="65"/>
        <v>0.42306301468311602</v>
      </c>
      <c r="AY62">
        <f t="shared" si="66"/>
        <v>1.923063014683116</v>
      </c>
      <c r="BC62">
        <v>-2.307229</v>
      </c>
      <c r="BD62">
        <v>0.5852366</v>
      </c>
      <c r="BE62">
        <v>0.201322</v>
      </c>
      <c r="BQ62">
        <v>1.4274935</v>
      </c>
      <c r="BR62">
        <v>-7.1050000000000002E-3</v>
      </c>
      <c r="BS62">
        <v>5.1415999999999996E-3</v>
      </c>
      <c r="BT62">
        <v>-1.4290590000000001</v>
      </c>
      <c r="BU62">
        <v>4.9200300000000002E-2</v>
      </c>
      <c r="BV62">
        <v>0.14513599999999999</v>
      </c>
      <c r="BW62">
        <v>2.0170299999999999E-2</v>
      </c>
      <c r="BX62">
        <v>-1.032025</v>
      </c>
      <c r="BZ62">
        <f t="shared" si="67"/>
        <v>0</v>
      </c>
      <c r="CA62">
        <f t="shared" si="68"/>
        <v>1</v>
      </c>
      <c r="CB62">
        <f t="shared" si="41"/>
        <v>0</v>
      </c>
      <c r="CE62">
        <f t="shared" si="44"/>
        <v>2.3499863959925666</v>
      </c>
      <c r="CL62">
        <f t="shared" si="69"/>
        <v>0</v>
      </c>
      <c r="CM62">
        <f t="shared" si="70"/>
        <v>2.3499863959925666</v>
      </c>
      <c r="CT62">
        <f t="shared" si="71"/>
        <v>17.660464038190291</v>
      </c>
      <c r="CU62">
        <f t="shared" si="59"/>
        <v>100</v>
      </c>
      <c r="CV62">
        <f t="shared" si="60"/>
        <v>1.0000000000000001E-5</v>
      </c>
      <c r="CW62">
        <f t="shared" si="61"/>
        <v>100</v>
      </c>
      <c r="CX62">
        <v>0.72299999999999998</v>
      </c>
      <c r="CY62">
        <f t="shared" si="62"/>
        <v>0.01</v>
      </c>
      <c r="CZ62">
        <f t="shared" si="72"/>
        <v>0.72299999999999998</v>
      </c>
      <c r="DA62">
        <v>0.3</v>
      </c>
      <c r="DB62">
        <v>0.3</v>
      </c>
      <c r="DC62">
        <v>0.3</v>
      </c>
    </row>
    <row r="63" spans="1:107" x14ac:dyDescent="0.25">
      <c r="A63">
        <v>40</v>
      </c>
      <c r="B63">
        <v>87</v>
      </c>
      <c r="C63" t="str">
        <f t="shared" si="49"/>
        <v>SSTens</v>
      </c>
      <c r="D63">
        <v>0.60960000000000003</v>
      </c>
      <c r="E63">
        <f t="shared" si="14"/>
        <v>609.6</v>
      </c>
      <c r="F63">
        <v>1.1130000000000001E-2</v>
      </c>
      <c r="G63">
        <f t="shared" si="15"/>
        <v>11.13</v>
      </c>
      <c r="H63">
        <f t="shared" si="16"/>
        <v>54.770889487870619</v>
      </c>
      <c r="I63">
        <v>200</v>
      </c>
      <c r="J63" t="s">
        <v>101</v>
      </c>
      <c r="K63">
        <f t="shared" si="73"/>
        <v>3</v>
      </c>
      <c r="L63">
        <f t="shared" si="74"/>
        <v>8</v>
      </c>
      <c r="M63">
        <f t="shared" si="75"/>
        <v>241000</v>
      </c>
      <c r="N63">
        <f t="shared" si="76"/>
        <v>344000</v>
      </c>
      <c r="O63">
        <f t="shared" si="77"/>
        <v>1.1599577949833839</v>
      </c>
      <c r="S63" t="s">
        <v>71</v>
      </c>
      <c r="T63" t="s">
        <v>76</v>
      </c>
      <c r="U63">
        <f t="shared" si="78"/>
        <v>18.5</v>
      </c>
      <c r="V63">
        <f t="shared" si="79"/>
        <v>0</v>
      </c>
      <c r="W63">
        <f t="shared" si="80"/>
        <v>125</v>
      </c>
      <c r="X63">
        <f t="shared" si="81"/>
        <v>0.4</v>
      </c>
      <c r="Y63">
        <v>0.9</v>
      </c>
      <c r="Z63">
        <v>0</v>
      </c>
      <c r="AB63">
        <f t="shared" si="17"/>
        <v>95.755744081416907</v>
      </c>
      <c r="AK63">
        <v>3.5</v>
      </c>
      <c r="AM63">
        <f t="shared" si="64"/>
        <v>7.8028077275326749E-2</v>
      </c>
      <c r="AX63">
        <f t="shared" si="65"/>
        <v>0.43296023982302467</v>
      </c>
      <c r="AY63">
        <f t="shared" si="66"/>
        <v>1.9329602398230246</v>
      </c>
      <c r="BC63">
        <v>-2.307229</v>
      </c>
      <c r="BD63">
        <v>0.5852366</v>
      </c>
      <c r="BE63">
        <v>0.201322</v>
      </c>
      <c r="BQ63">
        <v>1.4274935</v>
      </c>
      <c r="BR63">
        <v>-7.1050000000000002E-3</v>
      </c>
      <c r="BS63">
        <v>5.1415999999999996E-3</v>
      </c>
      <c r="BT63">
        <v>-1.4290590000000001</v>
      </c>
      <c r="BU63">
        <v>4.9200300000000002E-2</v>
      </c>
      <c r="BV63">
        <v>0.14513599999999999</v>
      </c>
      <c r="BW63">
        <v>2.0170299999999999E-2</v>
      </c>
      <c r="BX63">
        <v>-1.032025</v>
      </c>
      <c r="BZ63">
        <f t="shared" si="67"/>
        <v>0</v>
      </c>
      <c r="CA63">
        <f t="shared" si="68"/>
        <v>0</v>
      </c>
      <c r="CB63">
        <f t="shared" si="41"/>
        <v>0</v>
      </c>
      <c r="CE63">
        <f t="shared" si="44"/>
        <v>0</v>
      </c>
      <c r="CL63">
        <f t="shared" si="69"/>
        <v>0</v>
      </c>
      <c r="CM63">
        <f t="shared" si="70"/>
        <v>0</v>
      </c>
      <c r="CT63">
        <f t="shared" si="71"/>
        <v>3.5566068246042359E-2</v>
      </c>
      <c r="CU63">
        <f t="shared" si="59"/>
        <v>1.0362061061865622</v>
      </c>
      <c r="CV63">
        <f t="shared" si="60"/>
        <v>1.0000000000000001E-5</v>
      </c>
      <c r="CW63">
        <f t="shared" si="61"/>
        <v>1.0362061061865622</v>
      </c>
      <c r="CX63">
        <v>0.72299999999999998</v>
      </c>
      <c r="CY63">
        <f t="shared" si="62"/>
        <v>0.01</v>
      </c>
      <c r="CZ63">
        <f t="shared" si="72"/>
        <v>0.72299999999999998</v>
      </c>
      <c r="DA63">
        <v>0.3</v>
      </c>
      <c r="DB63">
        <v>0.3</v>
      </c>
      <c r="DC63">
        <v>0.3</v>
      </c>
    </row>
    <row r="65" spans="1:118" x14ac:dyDescent="0.25">
      <c r="D65" t="s">
        <v>1</v>
      </c>
      <c r="E65" t="s">
        <v>2</v>
      </c>
      <c r="F65" t="s">
        <v>3</v>
      </c>
      <c r="G65" t="s">
        <v>4</v>
      </c>
      <c r="H65" t="s">
        <v>5</v>
      </c>
      <c r="I65" t="s">
        <v>6</v>
      </c>
      <c r="R65" t="s">
        <v>15</v>
      </c>
      <c r="S65" t="s">
        <v>16</v>
      </c>
      <c r="T65" t="s">
        <v>17</v>
      </c>
      <c r="U65" t="s">
        <v>18</v>
      </c>
      <c r="V65" t="s">
        <v>19</v>
      </c>
      <c r="W65" t="s">
        <v>20</v>
      </c>
      <c r="X65" t="s">
        <v>21</v>
      </c>
      <c r="Y65" t="s">
        <v>22</v>
      </c>
      <c r="Z65" t="s">
        <v>23</v>
      </c>
      <c r="AB65" t="s">
        <v>25</v>
      </c>
      <c r="AJ65" t="s">
        <v>31</v>
      </c>
      <c r="AK65" t="s">
        <v>58</v>
      </c>
      <c r="AZ65" t="s">
        <v>102</v>
      </c>
      <c r="BA65" t="s">
        <v>103</v>
      </c>
      <c r="BB65" t="s">
        <v>104</v>
      </c>
      <c r="BC65" t="s">
        <v>40</v>
      </c>
      <c r="BD65" t="s">
        <v>41</v>
      </c>
      <c r="BE65" t="s">
        <v>42</v>
      </c>
      <c r="BF65" t="s">
        <v>43</v>
      </c>
      <c r="CE65" t="s">
        <v>57</v>
      </c>
      <c r="CG65" t="s">
        <v>59</v>
      </c>
      <c r="CH65" t="s">
        <v>105</v>
      </c>
      <c r="CI65" t="s">
        <v>106</v>
      </c>
      <c r="CJ65" t="s">
        <v>86</v>
      </c>
      <c r="CK65" t="s">
        <v>107</v>
      </c>
      <c r="CT65" t="s">
        <v>66</v>
      </c>
      <c r="CU65" t="s">
        <v>67</v>
      </c>
      <c r="CX65" t="s">
        <v>68</v>
      </c>
      <c r="DA65" t="s">
        <v>69</v>
      </c>
    </row>
    <row r="66" spans="1:118" x14ac:dyDescent="0.25">
      <c r="A66">
        <v>41</v>
      </c>
      <c r="B66">
        <v>176</v>
      </c>
      <c r="C66" t="str">
        <f t="shared" ref="C66:C85" si="82">IF(AND(B66&gt;=0,B66&lt;=5),"Normal",IF(AND(B66&gt;5,B66&lt;90),"SSTens",IF(AND(B66&gt;=90,B66&lt;175),"SSComp",IF(AND(B66&gt;=175,B66&lt;=180),"Reverse"))))</f>
        <v>Reverse</v>
      </c>
      <c r="D66">
        <v>0.20319999999999999</v>
      </c>
      <c r="E66">
        <f>D66*1000</f>
        <v>203.2</v>
      </c>
      <c r="F66">
        <v>1.11252E-2</v>
      </c>
      <c r="G66">
        <f>F66*1000</f>
        <v>11.1252</v>
      </c>
      <c r="H66">
        <f>D66/F66</f>
        <v>18.264840182648403</v>
      </c>
      <c r="I66">
        <v>30</v>
      </c>
      <c r="R66">
        <v>75</v>
      </c>
      <c r="S66" t="s">
        <v>78</v>
      </c>
      <c r="T66" t="s">
        <v>79</v>
      </c>
      <c r="U66">
        <f t="shared" ref="U66:U85" si="83">IF(T66="medium dense",18,IF(T66="dense",18.5,IF(T66="very dense",19,IF(T66="soft",17.5,IF(T66="medium stiff",18,IF(T66="stiff",18.5,0))))))</f>
        <v>18</v>
      </c>
      <c r="V66">
        <f t="shared" ref="V66:V85" si="84">IF(T66="medium dense",37,IF(T66="dense",40,IF(T66="very dense",43,0)))</f>
        <v>37</v>
      </c>
      <c r="W66">
        <f t="shared" ref="W66:W85" si="85">IF(T66="soft",37.5,IF(T66="medium stiff",75,IF(T66="stiff",125,0)))</f>
        <v>0</v>
      </c>
      <c r="X66">
        <f t="shared" ref="X66:X85" si="86">IF(T66="soft",1.1,IF(T66="medium stiff",0.72,IF(T66="stiff",0.4,0)))</f>
        <v>0</v>
      </c>
      <c r="Y66">
        <v>0.9</v>
      </c>
      <c r="Z66">
        <v>1</v>
      </c>
      <c r="AB66">
        <f t="shared" ref="AB66:AB85" si="87">IF(S66="sand", PI() * D66 * Z66*U66 * TAN(RADIANS(Y66*V66)), PI() * D66 * X66 * W66)</f>
        <v>7.5479720641402661</v>
      </c>
      <c r="AJ66">
        <f t="shared" ref="AJ66:AJ85" si="88">LN(AB66)</f>
        <v>2.0212789264051603</v>
      </c>
      <c r="AK66">
        <v>0.1</v>
      </c>
      <c r="AZ66">
        <f t="shared" ref="AZ66:AZ85" si="89">IF(AND(R66&lt;=90,R66&gt;60),60-R66,0)</f>
        <v>-15</v>
      </c>
      <c r="BA66">
        <f t="shared" ref="BA66:BA85" si="90">IF(D66&lt;0.5,1,0)</f>
        <v>1</v>
      </c>
      <c r="BB66">
        <f t="shared" ref="BB66:BB85" si="91">LN(H66)</f>
        <v>2.9049779102855271</v>
      </c>
      <c r="BC66">
        <f t="shared" ref="BC66:BC85" si="92">-4.11127 + 0.6064 * D66 + 0.002805 * I66 + 0.038944*AZ66</f>
        <v>-4.4880595200000002</v>
      </c>
      <c r="BD66">
        <f t="shared" ref="BD66:BD85" si="93">0.42882 + 0.09845 * D66 + 0.0006 * I66 + 0.01203*AZ66</f>
        <v>0.28637503999999997</v>
      </c>
      <c r="BE66">
        <f t="shared" ref="BE66:BE85" si="94">2.64335 + (-0.36353*D66) + 0.00086 * I66 + (-0.05422*AZ66)</f>
        <v>3.4085807039999998</v>
      </c>
      <c r="BF66">
        <f t="shared" ref="BF66:BF85" si="95">-4.57877 + (-0.04142 * (BB66*BB66)) + (0.9346 * BB66) + (0.4714 * AJ66) + (0.00007*(180-R66)) + (-5.2467 * BA66 * (D66-0.5)) + (-0.28986 * (1-BA66))</f>
        <v>0.30408470123424092</v>
      </c>
      <c r="CE66">
        <f t="shared" ref="CE66:CE85" si="96">2.29445 + (-0.04675*D66) + (-0.00104 * I66) + (-0.09201 * AZ66)</f>
        <v>3.6339003999999999</v>
      </c>
      <c r="CG66">
        <f t="shared" ref="CG66:CG85" si="97">LN(AK66)</f>
        <v>-2.3025850929940455</v>
      </c>
      <c r="CH66">
        <f t="shared" ref="CH66:CH85" si="98">CG66-BC66</f>
        <v>2.1854744270059547</v>
      </c>
      <c r="CI66">
        <f t="shared" ref="CI66:CI85" si="99">CH66/CE66</f>
        <v>0.60141285848284531</v>
      </c>
      <c r="CJ66">
        <f t="shared" ref="CJ66:CJ73" si="100">IF(ISNUMBER(ATANH(CI66)),ATANH(CI66),100)</f>
        <v>0.69535770349394732</v>
      </c>
      <c r="CK66">
        <f t="shared" ref="CK66:CK85" si="101">CJ66/BD66</f>
        <v>2.4281365565027855</v>
      </c>
      <c r="CT66">
        <f t="shared" ref="CT66:CT85" si="102">CK66-BE66+BF66</f>
        <v>-0.6763594462629734</v>
      </c>
      <c r="CU66">
        <f>MAX(MIN(EXP(CT66),100),0.00001)</f>
        <v>0.50846472008565746</v>
      </c>
      <c r="CV66">
        <f t="shared" ref="CV66:CV85" si="103">IF(OR($C66="SSComp",$C66="Reverse"),CU66,0.00001)</f>
        <v>0.50846472008565746</v>
      </c>
      <c r="CW66">
        <f t="shared" ref="CW66" si="104">IF(OR($C66="SSTens",$C66="Normal"),CU66,0.00001)</f>
        <v>1.0000000000000001E-5</v>
      </c>
      <c r="CX66">
        <f t="shared" ref="CX66:CX85" si="105">$DI$76</f>
        <v>0.57229738456854751</v>
      </c>
      <c r="CY66">
        <f t="shared" ref="CY66:CY85" si="106">IF(OR($C66="SSComp",$C66="Reverse"),CX66,0.01)</f>
        <v>0.57229738456854751</v>
      </c>
      <c r="CZ66">
        <f t="shared" ref="CZ66" si="107">IF(OR($C66="SSTens",$C66="Normal"),CX66,0.01)</f>
        <v>0.01</v>
      </c>
      <c r="DA66">
        <v>0.3</v>
      </c>
      <c r="DB66">
        <v>0.3</v>
      </c>
      <c r="DC66">
        <v>0.3</v>
      </c>
      <c r="DD66" t="s">
        <v>108</v>
      </c>
    </row>
    <row r="67" spans="1:118" x14ac:dyDescent="0.25">
      <c r="A67">
        <v>42</v>
      </c>
      <c r="B67">
        <v>180</v>
      </c>
      <c r="C67" t="str">
        <f t="shared" si="82"/>
        <v>Reverse</v>
      </c>
      <c r="D67">
        <v>0.30480000000000002</v>
      </c>
      <c r="E67">
        <f t="shared" ref="E67:G85" si="108">D67*1000</f>
        <v>304.8</v>
      </c>
      <c r="F67">
        <v>7.1399999999999996E-3</v>
      </c>
      <c r="G67">
        <f t="shared" si="108"/>
        <v>7.14</v>
      </c>
      <c r="H67">
        <f t="shared" ref="H67:H85" si="109">D67/F67</f>
        <v>42.689075630252105</v>
      </c>
      <c r="I67">
        <v>30</v>
      </c>
      <c r="R67">
        <v>65</v>
      </c>
      <c r="S67" t="s">
        <v>78</v>
      </c>
      <c r="T67" t="s">
        <v>80</v>
      </c>
      <c r="U67">
        <f t="shared" si="83"/>
        <v>18.5</v>
      </c>
      <c r="V67">
        <f t="shared" si="84"/>
        <v>40</v>
      </c>
      <c r="W67">
        <f t="shared" si="85"/>
        <v>0</v>
      </c>
      <c r="X67">
        <f t="shared" si="86"/>
        <v>0</v>
      </c>
      <c r="Y67">
        <v>0.9</v>
      </c>
      <c r="Z67">
        <v>1.2</v>
      </c>
      <c r="AB67">
        <f t="shared" si="87"/>
        <v>15.444677723460234</v>
      </c>
      <c r="AJ67">
        <f t="shared" si="88"/>
        <v>2.7372644600771081</v>
      </c>
      <c r="AK67">
        <v>0.1</v>
      </c>
      <c r="AZ67">
        <f t="shared" si="89"/>
        <v>-5</v>
      </c>
      <c r="BA67">
        <f t="shared" si="90"/>
        <v>1</v>
      </c>
      <c r="BB67">
        <f t="shared" si="91"/>
        <v>3.7539430474609983</v>
      </c>
      <c r="BC67">
        <f t="shared" si="92"/>
        <v>-4.0370092800000004</v>
      </c>
      <c r="BD67">
        <f t="shared" si="93"/>
        <v>0.41667756</v>
      </c>
      <c r="BE67">
        <f t="shared" si="94"/>
        <v>2.8294460559999997</v>
      </c>
      <c r="BF67">
        <f t="shared" si="95"/>
        <v>0.66852317696108277</v>
      </c>
      <c r="CE67">
        <f t="shared" si="96"/>
        <v>2.7090505999999994</v>
      </c>
      <c r="CG67">
        <f t="shared" si="97"/>
        <v>-2.3025850929940455</v>
      </c>
      <c r="CH67">
        <f t="shared" si="98"/>
        <v>1.7344241870059549</v>
      </c>
      <c r="CI67">
        <f t="shared" si="99"/>
        <v>0.64023321934479749</v>
      </c>
      <c r="CJ67">
        <f t="shared" si="100"/>
        <v>0.75856886381101818</v>
      </c>
      <c r="CK67">
        <f t="shared" si="101"/>
        <v>1.8205176775322822</v>
      </c>
      <c r="CT67">
        <f t="shared" si="102"/>
        <v>-0.34040520150663467</v>
      </c>
      <c r="CU67">
        <f t="shared" ref="CU67:CU85" si="110">MAX(MIN(EXP(CT67),100),0.00001)</f>
        <v>0.71148197077972275</v>
      </c>
      <c r="CV67">
        <f t="shared" si="103"/>
        <v>0.71148197077972275</v>
      </c>
      <c r="CW67">
        <f t="shared" ref="CW67:CW85" si="111">IF(OR($C67="SSTens",$C67="Normal"),CU67,0.00001)</f>
        <v>1.0000000000000001E-5</v>
      </c>
      <c r="CX67">
        <f t="shared" si="105"/>
        <v>0.57229738456854751</v>
      </c>
      <c r="CY67">
        <f t="shared" si="106"/>
        <v>0.57229738456854751</v>
      </c>
      <c r="CZ67">
        <f t="shared" ref="CZ67:CZ85" si="112">IF(OR($C67="SSTens",$C67="Normal"),CX67,0.01)</f>
        <v>0.01</v>
      </c>
      <c r="DA67">
        <v>0.3</v>
      </c>
      <c r="DB67">
        <v>0.3</v>
      </c>
      <c r="DC67">
        <v>0.3</v>
      </c>
    </row>
    <row r="68" spans="1:118" x14ac:dyDescent="0.25">
      <c r="A68">
        <v>43</v>
      </c>
      <c r="B68">
        <v>176</v>
      </c>
      <c r="C68" t="str">
        <f t="shared" si="82"/>
        <v>Reverse</v>
      </c>
      <c r="D68">
        <v>0.40639999999999998</v>
      </c>
      <c r="E68">
        <f t="shared" si="108"/>
        <v>406.4</v>
      </c>
      <c r="F68">
        <v>9.5299999999999985E-3</v>
      </c>
      <c r="G68">
        <f t="shared" si="108"/>
        <v>9.5299999999999994</v>
      </c>
      <c r="H68">
        <f t="shared" si="109"/>
        <v>42.644281217208821</v>
      </c>
      <c r="I68">
        <v>50</v>
      </c>
      <c r="R68">
        <v>58</v>
      </c>
      <c r="S68" t="s">
        <v>78</v>
      </c>
      <c r="T68" t="s">
        <v>81</v>
      </c>
      <c r="U68">
        <f t="shared" si="83"/>
        <v>19</v>
      </c>
      <c r="V68">
        <f t="shared" si="84"/>
        <v>43</v>
      </c>
      <c r="W68">
        <f t="shared" si="85"/>
        <v>0</v>
      </c>
      <c r="X68">
        <f t="shared" si="86"/>
        <v>0</v>
      </c>
      <c r="Y68">
        <v>0.9</v>
      </c>
      <c r="Z68">
        <v>1.5</v>
      </c>
      <c r="AB68">
        <f t="shared" si="87"/>
        <v>29.151630415531248</v>
      </c>
      <c r="AJ68">
        <f t="shared" si="88"/>
        <v>3.3725108431545396</v>
      </c>
      <c r="AK68">
        <v>0.15</v>
      </c>
      <c r="AZ68">
        <f t="shared" si="89"/>
        <v>0</v>
      </c>
      <c r="BA68">
        <f t="shared" si="90"/>
        <v>1</v>
      </c>
      <c r="BB68">
        <f t="shared" si="91"/>
        <v>3.7528931785981614</v>
      </c>
      <c r="BC68">
        <f t="shared" si="92"/>
        <v>-3.7245790400000001</v>
      </c>
      <c r="BD68">
        <f t="shared" si="93"/>
        <v>0.49883007999999995</v>
      </c>
      <c r="BE68">
        <f t="shared" si="94"/>
        <v>2.538611408</v>
      </c>
      <c r="BF68">
        <f t="shared" si="95"/>
        <v>0.43474883354399235</v>
      </c>
      <c r="CE68">
        <f t="shared" si="96"/>
        <v>2.2234507999999997</v>
      </c>
      <c r="CG68">
        <f t="shared" si="97"/>
        <v>-1.8971199848858813</v>
      </c>
      <c r="CH68">
        <f t="shared" si="98"/>
        <v>1.8274590551141188</v>
      </c>
      <c r="CI68">
        <f t="shared" si="99"/>
        <v>0.82190217796324483</v>
      </c>
      <c r="CJ68">
        <f t="shared" si="100"/>
        <v>1.1626517128318059</v>
      </c>
      <c r="CK68">
        <f t="shared" si="101"/>
        <v>2.3307570241790674</v>
      </c>
      <c r="CT68">
        <f t="shared" si="102"/>
        <v>0.22689444972305978</v>
      </c>
      <c r="CU68">
        <f t="shared" si="110"/>
        <v>1.2546974272899019</v>
      </c>
      <c r="CV68">
        <f t="shared" si="103"/>
        <v>1.2546974272899019</v>
      </c>
      <c r="CW68">
        <f t="shared" si="111"/>
        <v>1.0000000000000001E-5</v>
      </c>
      <c r="CX68">
        <f t="shared" si="105"/>
        <v>0.57229738456854751</v>
      </c>
      <c r="CY68">
        <f t="shared" si="106"/>
        <v>0.57229738456854751</v>
      </c>
      <c r="CZ68">
        <f t="shared" si="112"/>
        <v>0.01</v>
      </c>
      <c r="DA68">
        <v>0.3</v>
      </c>
      <c r="DB68">
        <v>0.3</v>
      </c>
      <c r="DC68">
        <v>0.3</v>
      </c>
    </row>
    <row r="69" spans="1:118" x14ac:dyDescent="0.25">
      <c r="A69">
        <v>44</v>
      </c>
      <c r="B69">
        <v>176</v>
      </c>
      <c r="C69" t="str">
        <f t="shared" si="82"/>
        <v>Reverse</v>
      </c>
      <c r="D69">
        <v>0.50800000000000001</v>
      </c>
      <c r="E69">
        <f t="shared" si="108"/>
        <v>508</v>
      </c>
      <c r="F69">
        <v>1.1130000000000001E-2</v>
      </c>
      <c r="G69">
        <f t="shared" si="108"/>
        <v>11.13</v>
      </c>
      <c r="H69">
        <f t="shared" si="109"/>
        <v>45.642407906558844</v>
      </c>
      <c r="I69">
        <v>100</v>
      </c>
      <c r="R69">
        <v>51</v>
      </c>
      <c r="S69" t="s">
        <v>78</v>
      </c>
      <c r="T69" t="s">
        <v>79</v>
      </c>
      <c r="U69">
        <f t="shared" si="83"/>
        <v>18</v>
      </c>
      <c r="V69">
        <f t="shared" si="84"/>
        <v>37</v>
      </c>
      <c r="W69">
        <f t="shared" si="85"/>
        <v>0</v>
      </c>
      <c r="X69">
        <f t="shared" si="86"/>
        <v>0</v>
      </c>
      <c r="Y69">
        <v>0.9</v>
      </c>
      <c r="Z69">
        <v>1</v>
      </c>
      <c r="AB69">
        <f t="shared" si="87"/>
        <v>18.869930160350666</v>
      </c>
      <c r="AJ69">
        <f t="shared" si="88"/>
        <v>2.9375696582793154</v>
      </c>
      <c r="AK69">
        <v>0.2</v>
      </c>
      <c r="AZ69">
        <f t="shared" si="89"/>
        <v>0</v>
      </c>
      <c r="BA69">
        <f t="shared" si="90"/>
        <v>0</v>
      </c>
      <c r="BB69">
        <f t="shared" si="91"/>
        <v>3.8208372822910284</v>
      </c>
      <c r="BC69">
        <f t="shared" si="92"/>
        <v>-3.5227188000000003</v>
      </c>
      <c r="BD69">
        <f t="shared" si="93"/>
        <v>0.53883259999999999</v>
      </c>
      <c r="BE69">
        <f t="shared" si="94"/>
        <v>2.5446767599999998</v>
      </c>
      <c r="BF69">
        <f t="shared" si="95"/>
        <v>-0.50855733307133744</v>
      </c>
      <c r="CE69">
        <f t="shared" si="96"/>
        <v>2.1667009999999998</v>
      </c>
      <c r="CG69">
        <f t="shared" si="97"/>
        <v>-1.6094379124341003</v>
      </c>
      <c r="CH69">
        <f t="shared" si="98"/>
        <v>1.9132808875659</v>
      </c>
      <c r="CI69">
        <f t="shared" si="99"/>
        <v>0.88303872457062615</v>
      </c>
      <c r="CJ69">
        <f t="shared" si="100"/>
        <v>1.3893995965142862</v>
      </c>
      <c r="CK69">
        <f t="shared" si="101"/>
        <v>2.5785366299557344</v>
      </c>
      <c r="CT69">
        <f t="shared" si="102"/>
        <v>-0.47469746311560279</v>
      </c>
      <c r="CU69">
        <f t="shared" si="110"/>
        <v>0.62207322809545029</v>
      </c>
      <c r="CV69">
        <f t="shared" si="103"/>
        <v>0.62207322809545029</v>
      </c>
      <c r="CW69">
        <f t="shared" si="111"/>
        <v>1.0000000000000001E-5</v>
      </c>
      <c r="CX69">
        <f t="shared" si="105"/>
        <v>0.57229738456854751</v>
      </c>
      <c r="CY69">
        <f t="shared" si="106"/>
        <v>0.57229738456854751</v>
      </c>
      <c r="CZ69">
        <f t="shared" si="112"/>
        <v>0.01</v>
      </c>
      <c r="DA69">
        <v>0.3</v>
      </c>
      <c r="DB69">
        <v>0.3</v>
      </c>
      <c r="DC69">
        <v>0.3</v>
      </c>
    </row>
    <row r="70" spans="1:118" x14ac:dyDescent="0.25">
      <c r="A70">
        <v>45</v>
      </c>
      <c r="B70">
        <v>176</v>
      </c>
      <c r="C70" t="str">
        <f t="shared" si="82"/>
        <v>Reverse</v>
      </c>
      <c r="D70">
        <v>0.60960000000000003</v>
      </c>
      <c r="E70">
        <f t="shared" si="108"/>
        <v>609.6</v>
      </c>
      <c r="F70">
        <v>9.5299999999999985E-3</v>
      </c>
      <c r="G70">
        <f t="shared" si="108"/>
        <v>9.5299999999999994</v>
      </c>
      <c r="H70">
        <f t="shared" si="109"/>
        <v>63.966421825813235</v>
      </c>
      <c r="I70">
        <v>15</v>
      </c>
      <c r="R70">
        <v>44</v>
      </c>
      <c r="S70" t="s">
        <v>78</v>
      </c>
      <c r="T70" t="s">
        <v>80</v>
      </c>
      <c r="U70">
        <f t="shared" si="83"/>
        <v>18.5</v>
      </c>
      <c r="V70">
        <f t="shared" si="84"/>
        <v>40</v>
      </c>
      <c r="W70">
        <f t="shared" si="85"/>
        <v>0</v>
      </c>
      <c r="X70">
        <f t="shared" si="86"/>
        <v>0</v>
      </c>
      <c r="Y70">
        <v>0.9</v>
      </c>
      <c r="Z70">
        <v>1.2</v>
      </c>
      <c r="AB70">
        <f t="shared" si="87"/>
        <v>30.889355446920469</v>
      </c>
      <c r="AJ70">
        <f t="shared" si="88"/>
        <v>3.4304116406370531</v>
      </c>
      <c r="AK70">
        <v>0.2</v>
      </c>
      <c r="AZ70">
        <f t="shared" si="89"/>
        <v>0</v>
      </c>
      <c r="BA70">
        <f t="shared" si="90"/>
        <v>0</v>
      </c>
      <c r="BB70">
        <f t="shared" si="91"/>
        <v>4.158358286706326</v>
      </c>
      <c r="BC70">
        <f t="shared" si="92"/>
        <v>-3.6995335599999999</v>
      </c>
      <c r="BD70">
        <f t="shared" si="93"/>
        <v>0.49783511999999996</v>
      </c>
      <c r="BE70">
        <f t="shared" si="94"/>
        <v>2.4346421120000001</v>
      </c>
      <c r="BF70">
        <f t="shared" si="95"/>
        <v>-7.1844603442407146E-2</v>
      </c>
      <c r="CE70">
        <f t="shared" si="96"/>
        <v>2.2503511999999999</v>
      </c>
      <c r="CG70">
        <f t="shared" si="97"/>
        <v>-1.6094379124341003</v>
      </c>
      <c r="CH70">
        <f t="shared" si="98"/>
        <v>2.0900956475658994</v>
      </c>
      <c r="CI70">
        <f t="shared" si="99"/>
        <v>0.92878642567697856</v>
      </c>
      <c r="CJ70">
        <f t="shared" si="100"/>
        <v>1.6494814191438925</v>
      </c>
      <c r="CK70">
        <f t="shared" si="101"/>
        <v>3.3133086696332161</v>
      </c>
      <c r="CT70">
        <f t="shared" si="102"/>
        <v>0.80682195419080882</v>
      </c>
      <c r="CU70">
        <f t="shared" si="110"/>
        <v>2.2407753720113077</v>
      </c>
      <c r="CV70">
        <f t="shared" si="103"/>
        <v>2.2407753720113077</v>
      </c>
      <c r="CW70">
        <f t="shared" si="111"/>
        <v>1.0000000000000001E-5</v>
      </c>
      <c r="CX70">
        <f t="shared" si="105"/>
        <v>0.57229738456854751</v>
      </c>
      <c r="CY70">
        <f t="shared" si="106"/>
        <v>0.57229738456854751</v>
      </c>
      <c r="CZ70">
        <f t="shared" si="112"/>
        <v>0.01</v>
      </c>
      <c r="DA70">
        <v>0.3</v>
      </c>
      <c r="DB70">
        <v>0.3</v>
      </c>
      <c r="DC70">
        <v>0.3</v>
      </c>
    </row>
    <row r="71" spans="1:118" x14ac:dyDescent="0.25">
      <c r="A71">
        <v>46</v>
      </c>
      <c r="B71">
        <v>178</v>
      </c>
      <c r="C71" t="str">
        <f t="shared" si="82"/>
        <v>Reverse</v>
      </c>
      <c r="D71">
        <v>0.76200000000000001</v>
      </c>
      <c r="E71">
        <f t="shared" si="108"/>
        <v>762</v>
      </c>
      <c r="F71">
        <v>1.2699999999999999E-2</v>
      </c>
      <c r="G71">
        <f t="shared" si="108"/>
        <v>12.7</v>
      </c>
      <c r="H71">
        <f t="shared" si="109"/>
        <v>60</v>
      </c>
      <c r="I71">
        <v>30</v>
      </c>
      <c r="R71">
        <v>37</v>
      </c>
      <c r="S71" t="s">
        <v>78</v>
      </c>
      <c r="T71" t="s">
        <v>81</v>
      </c>
      <c r="U71">
        <f t="shared" si="83"/>
        <v>19</v>
      </c>
      <c r="V71">
        <f t="shared" si="84"/>
        <v>43</v>
      </c>
      <c r="W71">
        <f t="shared" si="85"/>
        <v>0</v>
      </c>
      <c r="X71">
        <f t="shared" si="86"/>
        <v>0</v>
      </c>
      <c r="Y71">
        <v>0.9</v>
      </c>
      <c r="Z71">
        <v>1.5</v>
      </c>
      <c r="AB71">
        <f t="shared" si="87"/>
        <v>54.659307029121074</v>
      </c>
      <c r="AJ71">
        <f t="shared" si="88"/>
        <v>4.0011195025769135</v>
      </c>
      <c r="AK71">
        <v>0.25</v>
      </c>
      <c r="AZ71">
        <f t="shared" si="89"/>
        <v>0</v>
      </c>
      <c r="BA71">
        <f t="shared" si="90"/>
        <v>0</v>
      </c>
      <c r="BB71">
        <f t="shared" si="91"/>
        <v>4.0943445622221004</v>
      </c>
      <c r="BC71">
        <f t="shared" si="92"/>
        <v>-3.5650431999999999</v>
      </c>
      <c r="BD71">
        <f t="shared" si="93"/>
        <v>0.52183889999999999</v>
      </c>
      <c r="BE71">
        <f t="shared" si="94"/>
        <v>2.3921401399999995</v>
      </c>
      <c r="BF71">
        <f t="shared" si="95"/>
        <v>0.15973147209986455</v>
      </c>
      <c r="CE71">
        <f t="shared" si="96"/>
        <v>2.2276265</v>
      </c>
      <c r="CG71">
        <f t="shared" si="97"/>
        <v>-1.3862943611198906</v>
      </c>
      <c r="CH71">
        <f t="shared" si="98"/>
        <v>2.1787488388801091</v>
      </c>
      <c r="CI71">
        <f t="shared" si="99"/>
        <v>0.97805841279052352</v>
      </c>
      <c r="CJ71">
        <f t="shared" si="100"/>
        <v>2.2507436237850884</v>
      </c>
      <c r="CK71">
        <f t="shared" si="101"/>
        <v>4.3131005062771068</v>
      </c>
      <c r="CT71">
        <f t="shared" si="102"/>
        <v>2.0806918383769717</v>
      </c>
      <c r="CU71">
        <f t="shared" si="110"/>
        <v>8.0100086291512458</v>
      </c>
      <c r="CV71">
        <f t="shared" si="103"/>
        <v>8.0100086291512458</v>
      </c>
      <c r="CW71">
        <f t="shared" si="111"/>
        <v>1.0000000000000001E-5</v>
      </c>
      <c r="CX71">
        <f t="shared" si="105"/>
        <v>0.57229738456854751</v>
      </c>
      <c r="CY71">
        <f t="shared" si="106"/>
        <v>0.57229738456854751</v>
      </c>
      <c r="CZ71">
        <f t="shared" si="112"/>
        <v>0.01</v>
      </c>
      <c r="DA71">
        <v>0.3</v>
      </c>
      <c r="DB71">
        <v>0.3</v>
      </c>
      <c r="DC71">
        <v>0.3</v>
      </c>
    </row>
    <row r="72" spans="1:118" x14ac:dyDescent="0.25">
      <c r="A72">
        <v>47</v>
      </c>
      <c r="B72">
        <v>178</v>
      </c>
      <c r="C72" t="str">
        <f t="shared" si="82"/>
        <v>Reverse</v>
      </c>
      <c r="D72">
        <v>0.86360000000000003</v>
      </c>
      <c r="E72">
        <f t="shared" si="108"/>
        <v>863.6</v>
      </c>
      <c r="F72">
        <v>1.1130000000000001E-2</v>
      </c>
      <c r="G72">
        <f t="shared" si="108"/>
        <v>11.13</v>
      </c>
      <c r="H72">
        <f t="shared" si="109"/>
        <v>77.592093441150041</v>
      </c>
      <c r="I72">
        <v>50</v>
      </c>
      <c r="R72">
        <v>30</v>
      </c>
      <c r="S72" t="s">
        <v>78</v>
      </c>
      <c r="T72" t="s">
        <v>79</v>
      </c>
      <c r="U72">
        <f t="shared" si="83"/>
        <v>18</v>
      </c>
      <c r="V72">
        <f t="shared" si="84"/>
        <v>37</v>
      </c>
      <c r="W72">
        <f t="shared" si="85"/>
        <v>0</v>
      </c>
      <c r="X72">
        <f t="shared" si="86"/>
        <v>0</v>
      </c>
      <c r="Y72">
        <v>0.9</v>
      </c>
      <c r="Z72">
        <v>1</v>
      </c>
      <c r="AB72">
        <f t="shared" si="87"/>
        <v>32.078881272596128</v>
      </c>
      <c r="AJ72">
        <f t="shared" si="88"/>
        <v>3.4681979093414856</v>
      </c>
      <c r="AK72">
        <v>0.28000000000000003</v>
      </c>
      <c r="AZ72">
        <f t="shared" si="89"/>
        <v>0</v>
      </c>
      <c r="BA72">
        <f t="shared" si="90"/>
        <v>0</v>
      </c>
      <c r="BB72">
        <f t="shared" si="91"/>
        <v>4.3514655333531991</v>
      </c>
      <c r="BC72">
        <f t="shared" si="92"/>
        <v>-3.4473329600000002</v>
      </c>
      <c r="BD72">
        <f t="shared" si="93"/>
        <v>0.54384142000000002</v>
      </c>
      <c r="BE72">
        <f t="shared" si="94"/>
        <v>2.3724054919999999</v>
      </c>
      <c r="BF72">
        <f t="shared" si="95"/>
        <v>5.9360032168138954E-2</v>
      </c>
      <c r="CE72">
        <f t="shared" si="96"/>
        <v>2.2020766999999997</v>
      </c>
      <c r="CG72">
        <f t="shared" si="97"/>
        <v>-1.2729656758128873</v>
      </c>
      <c r="CH72">
        <f t="shared" si="98"/>
        <v>2.1743672841871131</v>
      </c>
      <c r="CI72">
        <f t="shared" si="99"/>
        <v>0.98741668906769386</v>
      </c>
      <c r="CJ72">
        <f t="shared" si="100"/>
        <v>2.5311097606942257</v>
      </c>
      <c r="CK72">
        <f t="shared" si="101"/>
        <v>4.6541320090960072</v>
      </c>
      <c r="CT72">
        <f t="shared" si="102"/>
        <v>2.3410865492641464</v>
      </c>
      <c r="CU72">
        <f t="shared" si="110"/>
        <v>10.392522417888488</v>
      </c>
      <c r="CV72">
        <f t="shared" si="103"/>
        <v>10.392522417888488</v>
      </c>
      <c r="CW72">
        <f t="shared" si="111"/>
        <v>1.0000000000000001E-5</v>
      </c>
      <c r="CX72">
        <f t="shared" si="105"/>
        <v>0.57229738456854751</v>
      </c>
      <c r="CY72">
        <f t="shared" si="106"/>
        <v>0.57229738456854751</v>
      </c>
      <c r="CZ72">
        <f t="shared" si="112"/>
        <v>0.01</v>
      </c>
      <c r="DA72">
        <v>0.3</v>
      </c>
      <c r="DB72">
        <v>0.3</v>
      </c>
      <c r="DC72">
        <v>0.3</v>
      </c>
      <c r="DF72" t="s">
        <v>109</v>
      </c>
      <c r="DG72">
        <v>-0.28299999999999997</v>
      </c>
      <c r="DI72" t="s">
        <v>110</v>
      </c>
      <c r="DJ72" t="s">
        <v>111</v>
      </c>
      <c r="DK72" t="s">
        <v>112</v>
      </c>
      <c r="DL72" t="s">
        <v>113</v>
      </c>
      <c r="DM72" t="s">
        <v>114</v>
      </c>
      <c r="DN72" t="s">
        <v>115</v>
      </c>
    </row>
    <row r="73" spans="1:118" x14ac:dyDescent="0.25">
      <c r="A73">
        <v>48</v>
      </c>
      <c r="B73">
        <v>179</v>
      </c>
      <c r="C73" t="str">
        <f t="shared" si="82"/>
        <v>Reverse</v>
      </c>
      <c r="D73">
        <v>1.0668</v>
      </c>
      <c r="E73">
        <f t="shared" si="108"/>
        <v>1066.8</v>
      </c>
      <c r="F73">
        <v>1.2699999999999999E-2</v>
      </c>
      <c r="G73">
        <f t="shared" si="108"/>
        <v>12.7</v>
      </c>
      <c r="H73">
        <f t="shared" si="109"/>
        <v>84</v>
      </c>
      <c r="I73">
        <v>100</v>
      </c>
      <c r="R73">
        <v>23</v>
      </c>
      <c r="S73" t="s">
        <v>78</v>
      </c>
      <c r="T73" t="s">
        <v>80</v>
      </c>
      <c r="U73">
        <f t="shared" si="83"/>
        <v>18.5</v>
      </c>
      <c r="V73">
        <f t="shared" si="84"/>
        <v>40</v>
      </c>
      <c r="W73">
        <f t="shared" si="85"/>
        <v>0</v>
      </c>
      <c r="X73">
        <f t="shared" si="86"/>
        <v>0</v>
      </c>
      <c r="Y73">
        <v>0.9</v>
      </c>
      <c r="Z73">
        <v>1.2</v>
      </c>
      <c r="AB73">
        <f t="shared" si="87"/>
        <v>54.056372032110822</v>
      </c>
      <c r="AJ73">
        <f t="shared" si="88"/>
        <v>3.9900274285724762</v>
      </c>
      <c r="AK73">
        <v>0.18</v>
      </c>
      <c r="AZ73">
        <f t="shared" si="89"/>
        <v>0</v>
      </c>
      <c r="BA73">
        <f t="shared" si="90"/>
        <v>0</v>
      </c>
      <c r="BB73">
        <f t="shared" si="91"/>
        <v>4.4308167988433134</v>
      </c>
      <c r="BC73">
        <f t="shared" si="92"/>
        <v>-3.1838624800000002</v>
      </c>
      <c r="BD73">
        <f t="shared" si="93"/>
        <v>0.59384645999999996</v>
      </c>
      <c r="BE73">
        <f t="shared" si="94"/>
        <v>2.3415361959999998</v>
      </c>
      <c r="BF73">
        <f t="shared" si="95"/>
        <v>0.35113717457456706</v>
      </c>
      <c r="CE73">
        <f t="shared" si="96"/>
        <v>2.1405770999999998</v>
      </c>
      <c r="CG73">
        <f t="shared" si="97"/>
        <v>-1.7147984280919266</v>
      </c>
      <c r="CH73">
        <f t="shared" si="98"/>
        <v>1.4690640519080735</v>
      </c>
      <c r="CI73">
        <f t="shared" si="99"/>
        <v>0.68629345418488952</v>
      </c>
      <c r="CJ73">
        <f t="shared" si="100"/>
        <v>0.8409150977233486</v>
      </c>
      <c r="CK73">
        <f t="shared" si="101"/>
        <v>1.416048009654463</v>
      </c>
      <c r="CT73">
        <f t="shared" si="102"/>
        <v>-0.57435101177096981</v>
      </c>
      <c r="CU73">
        <f t="shared" si="110"/>
        <v>0.56307017617049704</v>
      </c>
      <c r="CV73">
        <f t="shared" si="103"/>
        <v>0.56307017617049704</v>
      </c>
      <c r="CW73">
        <f t="shared" si="111"/>
        <v>1.0000000000000001E-5</v>
      </c>
      <c r="CX73">
        <f t="shared" si="105"/>
        <v>0.57229738456854751</v>
      </c>
      <c r="CY73">
        <f t="shared" si="106"/>
        <v>0.57229738456854751</v>
      </c>
      <c r="CZ73">
        <f t="shared" si="112"/>
        <v>0.01</v>
      </c>
      <c r="DA73">
        <v>0.3</v>
      </c>
      <c r="DB73">
        <v>0.3</v>
      </c>
      <c r="DC73">
        <v>0.3</v>
      </c>
      <c r="DF73" t="s">
        <v>116</v>
      </c>
      <c r="DG73">
        <v>-0.625</v>
      </c>
      <c r="DI73">
        <v>-0.28299999999999997</v>
      </c>
      <c r="DJ73">
        <v>-0.625</v>
      </c>
      <c r="DK73">
        <v>0.46</v>
      </c>
      <c r="DL73">
        <v>0.70899999999999996</v>
      </c>
      <c r="DM73">
        <v>0.68799999999999994</v>
      </c>
      <c r="DN73">
        <v>0.312</v>
      </c>
    </row>
    <row r="74" spans="1:118" x14ac:dyDescent="0.25">
      <c r="A74">
        <v>49</v>
      </c>
      <c r="B74">
        <v>175</v>
      </c>
      <c r="C74" t="str">
        <f t="shared" si="82"/>
        <v>Reverse</v>
      </c>
      <c r="D74">
        <v>0.60960000000000003</v>
      </c>
      <c r="E74">
        <f t="shared" si="108"/>
        <v>609.6</v>
      </c>
      <c r="F74">
        <v>1.1130000000000001E-2</v>
      </c>
      <c r="G74">
        <f t="shared" si="108"/>
        <v>11.13</v>
      </c>
      <c r="H74">
        <f t="shared" si="109"/>
        <v>54.770889487870619</v>
      </c>
      <c r="I74">
        <v>150</v>
      </c>
      <c r="R74">
        <v>16</v>
      </c>
      <c r="S74" t="s">
        <v>78</v>
      </c>
      <c r="T74" t="s">
        <v>81</v>
      </c>
      <c r="U74">
        <f t="shared" si="83"/>
        <v>19</v>
      </c>
      <c r="V74">
        <f t="shared" si="84"/>
        <v>43</v>
      </c>
      <c r="W74">
        <f t="shared" si="85"/>
        <v>0</v>
      </c>
      <c r="X74">
        <f t="shared" si="86"/>
        <v>0</v>
      </c>
      <c r="Y74">
        <v>0.9</v>
      </c>
      <c r="Z74">
        <v>1.5</v>
      </c>
      <c r="AB74">
        <f t="shared" si="87"/>
        <v>43.727445623296873</v>
      </c>
      <c r="AJ74">
        <f t="shared" si="88"/>
        <v>3.7779759512627038</v>
      </c>
      <c r="AK74">
        <v>0.4</v>
      </c>
      <c r="AZ74">
        <f t="shared" si="89"/>
        <v>0</v>
      </c>
      <c r="BA74">
        <f t="shared" si="90"/>
        <v>0</v>
      </c>
      <c r="BB74">
        <f t="shared" si="91"/>
        <v>4.0031588390849828</v>
      </c>
      <c r="BC74">
        <f t="shared" si="92"/>
        <v>-3.32085856</v>
      </c>
      <c r="BD74">
        <f t="shared" si="93"/>
        <v>0.57883511999999993</v>
      </c>
      <c r="BE74">
        <f t="shared" si="94"/>
        <v>2.550742112</v>
      </c>
      <c r="BF74">
        <f t="shared" si="95"/>
        <v>1.3729882151536921E-3</v>
      </c>
      <c r="CE74">
        <f t="shared" si="96"/>
        <v>2.1099511999999998</v>
      </c>
      <c r="CG74">
        <f t="shared" si="97"/>
        <v>-0.916290731874155</v>
      </c>
      <c r="CH74">
        <f t="shared" si="98"/>
        <v>2.4045678281258449</v>
      </c>
      <c r="CI74">
        <f t="shared" si="99"/>
        <v>1.13963196311168</v>
      </c>
      <c r="CJ74">
        <f>IF(CI74&gt;=1,5,ATANH(CI74))</f>
        <v>5</v>
      </c>
      <c r="CK74">
        <f t="shared" si="101"/>
        <v>8.6380384106617445</v>
      </c>
      <c r="CT74">
        <f t="shared" si="102"/>
        <v>6.0886692868768986</v>
      </c>
      <c r="CU74">
        <f t="shared" si="110"/>
        <v>100</v>
      </c>
      <c r="CV74">
        <f t="shared" si="103"/>
        <v>100</v>
      </c>
      <c r="CW74">
        <f t="shared" si="111"/>
        <v>1.0000000000000001E-5</v>
      </c>
      <c r="CX74">
        <f t="shared" si="105"/>
        <v>0.57229738456854751</v>
      </c>
      <c r="CY74">
        <f t="shared" si="106"/>
        <v>0.57229738456854751</v>
      </c>
      <c r="CZ74">
        <f t="shared" si="112"/>
        <v>0.01</v>
      </c>
      <c r="DA74">
        <v>0.3</v>
      </c>
      <c r="DB74">
        <v>0.3</v>
      </c>
      <c r="DC74">
        <v>0.3</v>
      </c>
      <c r="DF74" t="s">
        <v>117</v>
      </c>
      <c r="DG74">
        <v>0.46</v>
      </c>
      <c r="DI74">
        <f>DI73*DM73+DJ73*DN73</f>
        <v>-0.38970399999999994</v>
      </c>
    </row>
    <row r="75" spans="1:118" x14ac:dyDescent="0.25">
      <c r="A75">
        <v>50</v>
      </c>
      <c r="B75">
        <v>177</v>
      </c>
      <c r="C75" t="str">
        <f t="shared" si="82"/>
        <v>Reverse</v>
      </c>
      <c r="D75">
        <v>0.60960000000000003</v>
      </c>
      <c r="E75">
        <f t="shared" si="108"/>
        <v>609.6</v>
      </c>
      <c r="F75">
        <v>1.1130000000000001E-2</v>
      </c>
      <c r="G75">
        <f t="shared" si="108"/>
        <v>11.13</v>
      </c>
      <c r="H75">
        <f t="shared" si="109"/>
        <v>54.770889487870619</v>
      </c>
      <c r="I75">
        <v>200</v>
      </c>
      <c r="R75">
        <v>15</v>
      </c>
      <c r="S75" t="s">
        <v>78</v>
      </c>
      <c r="T75" t="s">
        <v>79</v>
      </c>
      <c r="U75">
        <f t="shared" si="83"/>
        <v>18</v>
      </c>
      <c r="V75">
        <f t="shared" si="84"/>
        <v>37</v>
      </c>
      <c r="W75">
        <f t="shared" si="85"/>
        <v>0</v>
      </c>
      <c r="X75">
        <f t="shared" si="86"/>
        <v>0</v>
      </c>
      <c r="Y75">
        <v>0.9</v>
      </c>
      <c r="Z75">
        <v>1.2</v>
      </c>
      <c r="AB75">
        <f t="shared" si="87"/>
        <v>27.172699430904952</v>
      </c>
      <c r="AJ75">
        <f t="shared" si="88"/>
        <v>3.3022127718672243</v>
      </c>
      <c r="AK75">
        <v>1.2</v>
      </c>
      <c r="AZ75">
        <f t="shared" si="89"/>
        <v>0</v>
      </c>
      <c r="BA75">
        <f t="shared" si="90"/>
        <v>0</v>
      </c>
      <c r="BB75">
        <f t="shared" si="91"/>
        <v>4.0031588390849828</v>
      </c>
      <c r="BC75">
        <f t="shared" si="92"/>
        <v>-3.18060856</v>
      </c>
      <c r="BD75">
        <f t="shared" si="93"/>
        <v>0.60883511999999995</v>
      </c>
      <c r="BE75">
        <f t="shared" si="94"/>
        <v>2.5937421120000002</v>
      </c>
      <c r="BF75">
        <f t="shared" si="95"/>
        <v>-0.22283177455187525</v>
      </c>
      <c r="CE75">
        <f t="shared" si="96"/>
        <v>2.0579511999999998</v>
      </c>
      <c r="CG75">
        <f t="shared" si="97"/>
        <v>0.18232155679395459</v>
      </c>
      <c r="CH75">
        <f t="shared" si="98"/>
        <v>3.3629301167939545</v>
      </c>
      <c r="CI75">
        <f t="shared" si="99"/>
        <v>1.6341155790253699</v>
      </c>
      <c r="CJ75">
        <f>IF(CI75&gt;=1,5,ATANH(CI75))</f>
        <v>5</v>
      </c>
      <c r="CK75">
        <f t="shared" si="101"/>
        <v>8.2124040413437385</v>
      </c>
      <c r="CT75">
        <f t="shared" si="102"/>
        <v>5.395830154791863</v>
      </c>
      <c r="CU75">
        <f t="shared" si="110"/>
        <v>100</v>
      </c>
      <c r="CV75">
        <f t="shared" si="103"/>
        <v>100</v>
      </c>
      <c r="CW75">
        <f t="shared" si="111"/>
        <v>1.0000000000000001E-5</v>
      </c>
      <c r="CX75">
        <f t="shared" si="105"/>
        <v>0.57229738456854751</v>
      </c>
      <c r="CY75">
        <f t="shared" si="106"/>
        <v>0.57229738456854751</v>
      </c>
      <c r="CZ75">
        <f t="shared" si="112"/>
        <v>0.01</v>
      </c>
      <c r="DA75">
        <v>0.3</v>
      </c>
      <c r="DB75">
        <v>0.3</v>
      </c>
      <c r="DC75">
        <v>0.3</v>
      </c>
      <c r="DF75" t="s">
        <v>118</v>
      </c>
      <c r="DG75">
        <v>0.70899999999999996</v>
      </c>
      <c r="DI75">
        <f>DM73*DK73^2+DN73*DL73^2+DM73*DN73*(DI73-DJ73)^2</f>
        <v>0.32752429638399994</v>
      </c>
    </row>
    <row r="76" spans="1:118" x14ac:dyDescent="0.25">
      <c r="A76">
        <v>51</v>
      </c>
      <c r="B76">
        <v>176</v>
      </c>
      <c r="C76" t="str">
        <f t="shared" si="82"/>
        <v>Reverse</v>
      </c>
      <c r="D76">
        <v>0.20319999999999999</v>
      </c>
      <c r="E76">
        <f t="shared" si="108"/>
        <v>203.2</v>
      </c>
      <c r="F76">
        <v>5.5599999999999998E-3</v>
      </c>
      <c r="G76">
        <f t="shared" si="108"/>
        <v>5.56</v>
      </c>
      <c r="H76">
        <f t="shared" si="109"/>
        <v>36.546762589928058</v>
      </c>
      <c r="I76">
        <v>15</v>
      </c>
      <c r="R76">
        <v>72</v>
      </c>
      <c r="S76" t="s">
        <v>71</v>
      </c>
      <c r="T76" t="s">
        <v>72</v>
      </c>
      <c r="U76">
        <f t="shared" si="83"/>
        <v>17.5</v>
      </c>
      <c r="V76">
        <f t="shared" si="84"/>
        <v>0</v>
      </c>
      <c r="W76">
        <f t="shared" si="85"/>
        <v>37.5</v>
      </c>
      <c r="X76">
        <f t="shared" si="86"/>
        <v>1.1000000000000001</v>
      </c>
      <c r="Y76">
        <v>0.9</v>
      </c>
      <c r="Z76">
        <v>0</v>
      </c>
      <c r="AB76">
        <f t="shared" si="87"/>
        <v>26.332829622389646</v>
      </c>
      <c r="AJ76">
        <f t="shared" si="88"/>
        <v>3.2708164353522799</v>
      </c>
      <c r="AK76">
        <v>0.05</v>
      </c>
      <c r="AZ76">
        <f t="shared" si="89"/>
        <v>-12</v>
      </c>
      <c r="BA76">
        <f t="shared" si="90"/>
        <v>1</v>
      </c>
      <c r="BB76">
        <f t="shared" si="91"/>
        <v>3.598592607441836</v>
      </c>
      <c r="BC76">
        <f t="shared" si="92"/>
        <v>-4.4133025200000002</v>
      </c>
      <c r="BD76">
        <f t="shared" si="93"/>
        <v>0.31346503999999997</v>
      </c>
      <c r="BE76">
        <f t="shared" si="94"/>
        <v>3.2330207040000003</v>
      </c>
      <c r="BF76">
        <f t="shared" si="95"/>
        <v>1.3547345147356484</v>
      </c>
      <c r="CE76">
        <f t="shared" si="96"/>
        <v>3.3734704</v>
      </c>
      <c r="CG76">
        <f t="shared" si="97"/>
        <v>-2.9957322735539909</v>
      </c>
      <c r="CH76">
        <f t="shared" si="98"/>
        <v>1.4175702464460094</v>
      </c>
      <c r="CI76">
        <f t="shared" si="99"/>
        <v>0.4202112597300422</v>
      </c>
      <c r="CJ76">
        <f t="shared" ref="CJ76:CJ83" si="113">IF(ISNUMBER(ATANH(CI76)),ATANH(CI76),100)</f>
        <v>0.44794855885624785</v>
      </c>
      <c r="CK76">
        <f t="shared" si="101"/>
        <v>1.4290223843024021</v>
      </c>
      <c r="CT76">
        <f t="shared" si="102"/>
        <v>-0.44926380496194973</v>
      </c>
      <c r="CU76">
        <f t="shared" si="110"/>
        <v>0.63809774313738099</v>
      </c>
      <c r="CV76">
        <f t="shared" si="103"/>
        <v>0.63809774313738099</v>
      </c>
      <c r="CW76">
        <f t="shared" si="111"/>
        <v>1.0000000000000001E-5</v>
      </c>
      <c r="CX76">
        <f t="shared" si="105"/>
        <v>0.57229738456854751</v>
      </c>
      <c r="CY76">
        <f t="shared" si="106"/>
        <v>0.57229738456854751</v>
      </c>
      <c r="CZ76">
        <f t="shared" si="112"/>
        <v>0.01</v>
      </c>
      <c r="DA76">
        <v>0.3</v>
      </c>
      <c r="DB76">
        <v>0.3</v>
      </c>
      <c r="DC76">
        <v>0.3</v>
      </c>
      <c r="DF76" t="s">
        <v>119</v>
      </c>
      <c r="DG76">
        <v>0.68799999999999994</v>
      </c>
      <c r="DI76">
        <f>SQRT(DI75)</f>
        <v>0.57229738456854751</v>
      </c>
    </row>
    <row r="77" spans="1:118" x14ac:dyDescent="0.25">
      <c r="A77">
        <v>52</v>
      </c>
      <c r="B77">
        <v>175</v>
      </c>
      <c r="C77" t="str">
        <f t="shared" si="82"/>
        <v>Reverse</v>
      </c>
      <c r="D77">
        <v>0.30480000000000002</v>
      </c>
      <c r="E77">
        <f t="shared" si="108"/>
        <v>304.8</v>
      </c>
      <c r="F77">
        <v>7.1399999999999996E-3</v>
      </c>
      <c r="G77">
        <f t="shared" si="108"/>
        <v>7.14</v>
      </c>
      <c r="H77">
        <f t="shared" si="109"/>
        <v>42.689075630252105</v>
      </c>
      <c r="I77">
        <v>30</v>
      </c>
      <c r="R77">
        <v>65</v>
      </c>
      <c r="S77" t="s">
        <v>71</v>
      </c>
      <c r="T77" t="s">
        <v>74</v>
      </c>
      <c r="U77">
        <f t="shared" si="83"/>
        <v>18</v>
      </c>
      <c r="V77">
        <f t="shared" si="84"/>
        <v>0</v>
      </c>
      <c r="W77">
        <f t="shared" si="85"/>
        <v>75</v>
      </c>
      <c r="X77">
        <f t="shared" si="86"/>
        <v>0.72</v>
      </c>
      <c r="Y77">
        <v>0.9</v>
      </c>
      <c r="Z77">
        <v>0</v>
      </c>
      <c r="AB77">
        <f t="shared" si="87"/>
        <v>51.708101803965121</v>
      </c>
      <c r="AJ77">
        <f t="shared" si="88"/>
        <v>3.9456144772440287</v>
      </c>
      <c r="AK77">
        <v>0.1</v>
      </c>
      <c r="AZ77">
        <f t="shared" si="89"/>
        <v>-5</v>
      </c>
      <c r="BA77">
        <f t="shared" si="90"/>
        <v>1</v>
      </c>
      <c r="BB77">
        <f t="shared" si="91"/>
        <v>3.7539430474609983</v>
      </c>
      <c r="BC77">
        <f t="shared" si="92"/>
        <v>-4.0370092800000004</v>
      </c>
      <c r="BD77">
        <f t="shared" si="93"/>
        <v>0.41667756</v>
      </c>
      <c r="BE77">
        <f t="shared" si="94"/>
        <v>2.8294460559999997</v>
      </c>
      <c r="BF77">
        <f t="shared" si="95"/>
        <v>1.238139375053569</v>
      </c>
      <c r="CE77">
        <f t="shared" si="96"/>
        <v>2.7090505999999994</v>
      </c>
      <c r="CG77">
        <f t="shared" si="97"/>
        <v>-2.3025850929940455</v>
      </c>
      <c r="CH77">
        <f t="shared" si="98"/>
        <v>1.7344241870059549</v>
      </c>
      <c r="CI77">
        <f t="shared" si="99"/>
        <v>0.64023321934479749</v>
      </c>
      <c r="CJ77">
        <f t="shared" si="113"/>
        <v>0.75856886381101818</v>
      </c>
      <c r="CK77">
        <f t="shared" si="101"/>
        <v>1.8205176775322822</v>
      </c>
      <c r="CT77">
        <f t="shared" si="102"/>
        <v>0.22921099658585153</v>
      </c>
      <c r="CU77">
        <f t="shared" si="110"/>
        <v>1.257607361877443</v>
      </c>
      <c r="CV77">
        <f t="shared" si="103"/>
        <v>1.257607361877443</v>
      </c>
      <c r="CW77">
        <f t="shared" si="111"/>
        <v>1.0000000000000001E-5</v>
      </c>
      <c r="CX77">
        <f t="shared" si="105"/>
        <v>0.57229738456854751</v>
      </c>
      <c r="CY77">
        <f t="shared" si="106"/>
        <v>0.57229738456854751</v>
      </c>
      <c r="CZ77">
        <f t="shared" si="112"/>
        <v>0.01</v>
      </c>
      <c r="DA77">
        <v>0.3</v>
      </c>
      <c r="DB77">
        <v>0.3</v>
      </c>
      <c r="DC77">
        <v>0.3</v>
      </c>
      <c r="DF77" t="s">
        <v>120</v>
      </c>
      <c r="DG77">
        <v>0.312</v>
      </c>
    </row>
    <row r="78" spans="1:118" x14ac:dyDescent="0.25">
      <c r="A78">
        <v>53</v>
      </c>
      <c r="B78">
        <v>177</v>
      </c>
      <c r="C78" t="str">
        <f t="shared" si="82"/>
        <v>Reverse</v>
      </c>
      <c r="D78">
        <v>0.40639999999999998</v>
      </c>
      <c r="E78">
        <f t="shared" si="108"/>
        <v>406.4</v>
      </c>
      <c r="F78">
        <v>9.5299999999999985E-3</v>
      </c>
      <c r="G78">
        <f t="shared" si="108"/>
        <v>9.5299999999999994</v>
      </c>
      <c r="H78">
        <f t="shared" si="109"/>
        <v>42.644281217208821</v>
      </c>
      <c r="I78">
        <v>50</v>
      </c>
      <c r="R78">
        <v>58</v>
      </c>
      <c r="S78" t="s">
        <v>71</v>
      </c>
      <c r="T78" t="s">
        <v>76</v>
      </c>
      <c r="U78">
        <f t="shared" si="83"/>
        <v>18.5</v>
      </c>
      <c r="V78">
        <f t="shared" si="84"/>
        <v>0</v>
      </c>
      <c r="W78">
        <f t="shared" si="85"/>
        <v>125</v>
      </c>
      <c r="X78">
        <f t="shared" si="86"/>
        <v>0.4</v>
      </c>
      <c r="Y78">
        <v>0.9</v>
      </c>
      <c r="Z78">
        <v>0</v>
      </c>
      <c r="AB78">
        <f t="shared" si="87"/>
        <v>63.837162720944598</v>
      </c>
      <c r="AJ78">
        <f t="shared" si="88"/>
        <v>4.1563355085596809</v>
      </c>
      <c r="AK78">
        <v>0.15</v>
      </c>
      <c r="AZ78">
        <f t="shared" si="89"/>
        <v>0</v>
      </c>
      <c r="BA78">
        <f t="shared" si="90"/>
        <v>1</v>
      </c>
      <c r="BB78">
        <f t="shared" si="91"/>
        <v>3.7528931785981614</v>
      </c>
      <c r="BC78">
        <f t="shared" si="92"/>
        <v>-3.7245790400000001</v>
      </c>
      <c r="BD78">
        <f t="shared" si="93"/>
        <v>0.49883007999999995</v>
      </c>
      <c r="BE78">
        <f t="shared" si="94"/>
        <v>2.538611408</v>
      </c>
      <c r="BF78">
        <f t="shared" si="95"/>
        <v>0.80424378081597592</v>
      </c>
      <c r="CE78">
        <f t="shared" si="96"/>
        <v>2.2234507999999997</v>
      </c>
      <c r="CG78">
        <f t="shared" si="97"/>
        <v>-1.8971199848858813</v>
      </c>
      <c r="CH78">
        <f t="shared" si="98"/>
        <v>1.8274590551141188</v>
      </c>
      <c r="CI78">
        <f t="shared" si="99"/>
        <v>0.82190217796324483</v>
      </c>
      <c r="CJ78">
        <f t="shared" si="113"/>
        <v>1.1626517128318059</v>
      </c>
      <c r="CK78">
        <f t="shared" si="101"/>
        <v>2.3307570241790674</v>
      </c>
      <c r="CT78">
        <f t="shared" si="102"/>
        <v>0.59638939699504334</v>
      </c>
      <c r="CU78">
        <f t="shared" si="110"/>
        <v>1.8155517154769825</v>
      </c>
      <c r="CV78">
        <f t="shared" si="103"/>
        <v>1.8155517154769825</v>
      </c>
      <c r="CW78">
        <f t="shared" si="111"/>
        <v>1.0000000000000001E-5</v>
      </c>
      <c r="CX78">
        <f t="shared" si="105"/>
        <v>0.57229738456854751</v>
      </c>
      <c r="CY78">
        <f t="shared" si="106"/>
        <v>0.57229738456854751</v>
      </c>
      <c r="CZ78">
        <f t="shared" si="112"/>
        <v>0.01</v>
      </c>
      <c r="DA78">
        <v>0.3</v>
      </c>
      <c r="DB78">
        <v>0.3</v>
      </c>
      <c r="DC78">
        <v>0.3</v>
      </c>
    </row>
    <row r="79" spans="1:118" x14ac:dyDescent="0.25">
      <c r="A79">
        <v>54</v>
      </c>
      <c r="B79">
        <v>180</v>
      </c>
      <c r="C79" t="str">
        <f t="shared" si="82"/>
        <v>Reverse</v>
      </c>
      <c r="D79">
        <v>0.50800000000000001</v>
      </c>
      <c r="E79">
        <f t="shared" si="108"/>
        <v>508</v>
      </c>
      <c r="F79">
        <v>1.1130000000000001E-2</v>
      </c>
      <c r="G79">
        <f t="shared" si="108"/>
        <v>11.13</v>
      </c>
      <c r="H79">
        <f t="shared" si="109"/>
        <v>45.642407906558844</v>
      </c>
      <c r="I79">
        <v>100</v>
      </c>
      <c r="R79">
        <v>51</v>
      </c>
      <c r="S79" t="s">
        <v>71</v>
      </c>
      <c r="T79" t="s">
        <v>72</v>
      </c>
      <c r="U79">
        <f t="shared" si="83"/>
        <v>17.5</v>
      </c>
      <c r="V79">
        <f t="shared" si="84"/>
        <v>0</v>
      </c>
      <c r="W79">
        <f t="shared" si="85"/>
        <v>37.5</v>
      </c>
      <c r="X79">
        <f t="shared" si="86"/>
        <v>1.1000000000000001</v>
      </c>
      <c r="Y79">
        <v>0.9</v>
      </c>
      <c r="Z79">
        <v>0</v>
      </c>
      <c r="AB79">
        <f t="shared" si="87"/>
        <v>65.832074055974118</v>
      </c>
      <c r="AJ79">
        <f t="shared" si="88"/>
        <v>4.1871071672264346</v>
      </c>
      <c r="AK79">
        <v>0.2</v>
      </c>
      <c r="AZ79">
        <f t="shared" si="89"/>
        <v>0</v>
      </c>
      <c r="BA79">
        <f t="shared" si="90"/>
        <v>0</v>
      </c>
      <c r="BB79">
        <f t="shared" si="91"/>
        <v>3.8208372822910284</v>
      </c>
      <c r="BC79">
        <f t="shared" si="92"/>
        <v>-3.5227188000000003</v>
      </c>
      <c r="BD79">
        <f t="shared" si="93"/>
        <v>0.53883259999999999</v>
      </c>
      <c r="BE79">
        <f t="shared" si="94"/>
        <v>2.5446767599999998</v>
      </c>
      <c r="BF79">
        <f t="shared" si="95"/>
        <v>8.0474648646334468E-2</v>
      </c>
      <c r="CE79">
        <f t="shared" si="96"/>
        <v>2.1667009999999998</v>
      </c>
      <c r="CG79">
        <f t="shared" si="97"/>
        <v>-1.6094379124341003</v>
      </c>
      <c r="CH79">
        <f t="shared" si="98"/>
        <v>1.9132808875659</v>
      </c>
      <c r="CI79">
        <f t="shared" si="99"/>
        <v>0.88303872457062615</v>
      </c>
      <c r="CJ79">
        <f t="shared" si="113"/>
        <v>1.3893995965142862</v>
      </c>
      <c r="CK79">
        <f t="shared" si="101"/>
        <v>2.5785366299557344</v>
      </c>
      <c r="CT79">
        <f t="shared" si="102"/>
        <v>0.11433451860206911</v>
      </c>
      <c r="CU79">
        <f t="shared" si="110"/>
        <v>1.1211271000328198</v>
      </c>
      <c r="CV79">
        <f t="shared" si="103"/>
        <v>1.1211271000328198</v>
      </c>
      <c r="CW79">
        <f t="shared" si="111"/>
        <v>1.0000000000000001E-5</v>
      </c>
      <c r="CX79">
        <f t="shared" si="105"/>
        <v>0.57229738456854751</v>
      </c>
      <c r="CY79">
        <f t="shared" si="106"/>
        <v>0.57229738456854751</v>
      </c>
      <c r="CZ79">
        <f t="shared" si="112"/>
        <v>0.01</v>
      </c>
      <c r="DA79">
        <v>0.3</v>
      </c>
      <c r="DB79">
        <v>0.3</v>
      </c>
      <c r="DC79">
        <v>0.3</v>
      </c>
    </row>
    <row r="80" spans="1:118" x14ac:dyDescent="0.25">
      <c r="A80">
        <v>55</v>
      </c>
      <c r="B80">
        <v>176</v>
      </c>
      <c r="C80" t="str">
        <f t="shared" si="82"/>
        <v>Reverse</v>
      </c>
      <c r="D80">
        <v>0.60960000000000003</v>
      </c>
      <c r="E80">
        <f t="shared" si="108"/>
        <v>609.6</v>
      </c>
      <c r="F80">
        <v>9.5299999999999985E-3</v>
      </c>
      <c r="G80">
        <f t="shared" si="108"/>
        <v>9.5299999999999994</v>
      </c>
      <c r="H80">
        <f t="shared" si="109"/>
        <v>63.966421825813235</v>
      </c>
      <c r="I80">
        <v>15</v>
      </c>
      <c r="R80">
        <v>44</v>
      </c>
      <c r="S80" t="s">
        <v>71</v>
      </c>
      <c r="T80" t="s">
        <v>74</v>
      </c>
      <c r="U80">
        <f t="shared" si="83"/>
        <v>18</v>
      </c>
      <c r="V80">
        <f t="shared" si="84"/>
        <v>0</v>
      </c>
      <c r="W80">
        <f t="shared" si="85"/>
        <v>75</v>
      </c>
      <c r="X80">
        <f t="shared" si="86"/>
        <v>0.72</v>
      </c>
      <c r="Y80">
        <v>0.9</v>
      </c>
      <c r="Z80">
        <v>0</v>
      </c>
      <c r="AB80">
        <f t="shared" si="87"/>
        <v>103.41620360793024</v>
      </c>
      <c r="AJ80">
        <f t="shared" si="88"/>
        <v>4.6387616578039736</v>
      </c>
      <c r="AK80">
        <v>0.2</v>
      </c>
      <c r="AZ80">
        <f t="shared" si="89"/>
        <v>0</v>
      </c>
      <c r="BA80">
        <f t="shared" si="90"/>
        <v>0</v>
      </c>
      <c r="BB80">
        <f t="shared" si="91"/>
        <v>4.158358286706326</v>
      </c>
      <c r="BC80">
        <f t="shared" si="92"/>
        <v>-3.6995335599999999</v>
      </c>
      <c r="BD80">
        <f t="shared" si="93"/>
        <v>0.49783511999999996</v>
      </c>
      <c r="BE80">
        <f t="shared" si="94"/>
        <v>2.4346421120000001</v>
      </c>
      <c r="BF80">
        <f t="shared" si="95"/>
        <v>0.49777159465007936</v>
      </c>
      <c r="CE80">
        <f t="shared" si="96"/>
        <v>2.2503511999999999</v>
      </c>
      <c r="CG80">
        <f t="shared" si="97"/>
        <v>-1.6094379124341003</v>
      </c>
      <c r="CH80">
        <f t="shared" si="98"/>
        <v>2.0900956475658994</v>
      </c>
      <c r="CI80">
        <f t="shared" si="99"/>
        <v>0.92878642567697856</v>
      </c>
      <c r="CJ80">
        <f t="shared" si="113"/>
        <v>1.6494814191438925</v>
      </c>
      <c r="CK80">
        <f t="shared" si="101"/>
        <v>3.3133086696332161</v>
      </c>
      <c r="CT80">
        <f t="shared" si="102"/>
        <v>1.3764381522832954</v>
      </c>
      <c r="CU80">
        <f t="shared" si="110"/>
        <v>3.9607688176086686</v>
      </c>
      <c r="CV80">
        <f t="shared" si="103"/>
        <v>3.9607688176086686</v>
      </c>
      <c r="CW80">
        <f t="shared" si="111"/>
        <v>1.0000000000000001E-5</v>
      </c>
      <c r="CX80">
        <f t="shared" si="105"/>
        <v>0.57229738456854751</v>
      </c>
      <c r="CY80">
        <f t="shared" si="106"/>
        <v>0.57229738456854751</v>
      </c>
      <c r="CZ80">
        <f t="shared" si="112"/>
        <v>0.01</v>
      </c>
      <c r="DA80">
        <v>0.3</v>
      </c>
      <c r="DB80">
        <v>0.3</v>
      </c>
      <c r="DC80">
        <v>0.3</v>
      </c>
    </row>
    <row r="81" spans="1:107" x14ac:dyDescent="0.25">
      <c r="A81">
        <v>56</v>
      </c>
      <c r="B81">
        <v>179</v>
      </c>
      <c r="C81" t="str">
        <f t="shared" si="82"/>
        <v>Reverse</v>
      </c>
      <c r="D81">
        <v>0.76200000000000001</v>
      </c>
      <c r="E81">
        <f t="shared" si="108"/>
        <v>762</v>
      </c>
      <c r="F81">
        <v>1.2699999999999999E-2</v>
      </c>
      <c r="G81">
        <f t="shared" si="108"/>
        <v>12.7</v>
      </c>
      <c r="H81">
        <f t="shared" si="109"/>
        <v>60</v>
      </c>
      <c r="I81">
        <v>30</v>
      </c>
      <c r="R81">
        <v>37</v>
      </c>
      <c r="S81" t="s">
        <v>71</v>
      </c>
      <c r="T81" t="s">
        <v>76</v>
      </c>
      <c r="U81">
        <f t="shared" si="83"/>
        <v>18.5</v>
      </c>
      <c r="V81">
        <f t="shared" si="84"/>
        <v>0</v>
      </c>
      <c r="W81">
        <f t="shared" si="85"/>
        <v>125</v>
      </c>
      <c r="X81">
        <f t="shared" si="86"/>
        <v>0.4</v>
      </c>
      <c r="Y81">
        <v>0.9</v>
      </c>
      <c r="Z81">
        <v>0</v>
      </c>
      <c r="AB81">
        <f t="shared" si="87"/>
        <v>119.69468010177111</v>
      </c>
      <c r="AJ81">
        <f t="shared" si="88"/>
        <v>4.7849441679820552</v>
      </c>
      <c r="AK81">
        <v>0.25</v>
      </c>
      <c r="AZ81">
        <f t="shared" si="89"/>
        <v>0</v>
      </c>
      <c r="BA81">
        <f t="shared" si="90"/>
        <v>0</v>
      </c>
      <c r="BB81">
        <f t="shared" si="91"/>
        <v>4.0943445622221004</v>
      </c>
      <c r="BC81">
        <f t="shared" si="92"/>
        <v>-3.5650431999999999</v>
      </c>
      <c r="BD81">
        <f t="shared" si="93"/>
        <v>0.52183889999999999</v>
      </c>
      <c r="BE81">
        <f t="shared" si="94"/>
        <v>2.3921401399999995</v>
      </c>
      <c r="BF81">
        <f t="shared" si="95"/>
        <v>0.529226419371848</v>
      </c>
      <c r="CE81">
        <f t="shared" si="96"/>
        <v>2.2276265</v>
      </c>
      <c r="CG81">
        <f t="shared" si="97"/>
        <v>-1.3862943611198906</v>
      </c>
      <c r="CH81">
        <f t="shared" si="98"/>
        <v>2.1787488388801091</v>
      </c>
      <c r="CI81">
        <f t="shared" si="99"/>
        <v>0.97805841279052352</v>
      </c>
      <c r="CJ81">
        <f t="shared" si="113"/>
        <v>2.2507436237850884</v>
      </c>
      <c r="CK81">
        <f t="shared" si="101"/>
        <v>4.3131005062771068</v>
      </c>
      <c r="CT81">
        <f t="shared" si="102"/>
        <v>2.4501867856489552</v>
      </c>
      <c r="CU81">
        <f t="shared" si="110"/>
        <v>11.590511458250456</v>
      </c>
      <c r="CV81">
        <f t="shared" si="103"/>
        <v>11.590511458250456</v>
      </c>
      <c r="CW81">
        <f t="shared" si="111"/>
        <v>1.0000000000000001E-5</v>
      </c>
      <c r="CX81">
        <f t="shared" si="105"/>
        <v>0.57229738456854751</v>
      </c>
      <c r="CY81">
        <f t="shared" si="106"/>
        <v>0.57229738456854751</v>
      </c>
      <c r="CZ81">
        <f t="shared" si="112"/>
        <v>0.01</v>
      </c>
      <c r="DA81">
        <v>0.3</v>
      </c>
      <c r="DB81">
        <v>0.3</v>
      </c>
      <c r="DC81">
        <v>0.3</v>
      </c>
    </row>
    <row r="82" spans="1:107" x14ac:dyDescent="0.25">
      <c r="A82">
        <v>57</v>
      </c>
      <c r="B82">
        <v>177</v>
      </c>
      <c r="C82" t="str">
        <f t="shared" si="82"/>
        <v>Reverse</v>
      </c>
      <c r="D82">
        <v>0.86360000000000003</v>
      </c>
      <c r="E82">
        <f t="shared" si="108"/>
        <v>863.6</v>
      </c>
      <c r="F82">
        <v>1.1130000000000001E-2</v>
      </c>
      <c r="G82">
        <f t="shared" si="108"/>
        <v>11.13</v>
      </c>
      <c r="H82">
        <f t="shared" si="109"/>
        <v>77.592093441150041</v>
      </c>
      <c r="I82">
        <v>50</v>
      </c>
      <c r="R82">
        <v>30</v>
      </c>
      <c r="S82" t="s">
        <v>71</v>
      </c>
      <c r="T82" t="s">
        <v>72</v>
      </c>
      <c r="U82">
        <f t="shared" si="83"/>
        <v>17.5</v>
      </c>
      <c r="V82">
        <f t="shared" si="84"/>
        <v>0</v>
      </c>
      <c r="W82">
        <f t="shared" si="85"/>
        <v>37.5</v>
      </c>
      <c r="X82">
        <f t="shared" si="86"/>
        <v>1.1000000000000001</v>
      </c>
      <c r="Y82">
        <v>0.9</v>
      </c>
      <c r="Z82">
        <v>0</v>
      </c>
      <c r="AB82">
        <f t="shared" si="87"/>
        <v>111.91452589515602</v>
      </c>
      <c r="AJ82">
        <f t="shared" si="88"/>
        <v>4.7177354182886058</v>
      </c>
      <c r="AK82">
        <v>0.28000000000000003</v>
      </c>
      <c r="AZ82">
        <f t="shared" si="89"/>
        <v>0</v>
      </c>
      <c r="BA82">
        <f t="shared" si="90"/>
        <v>0</v>
      </c>
      <c r="BB82">
        <f t="shared" si="91"/>
        <v>4.3514655333531991</v>
      </c>
      <c r="BC82">
        <f t="shared" si="92"/>
        <v>-3.4473329600000002</v>
      </c>
      <c r="BD82">
        <f t="shared" si="93"/>
        <v>0.54384142000000002</v>
      </c>
      <c r="BE82">
        <f t="shared" si="94"/>
        <v>2.3724054919999999</v>
      </c>
      <c r="BF82">
        <f t="shared" si="95"/>
        <v>0.64839201388581147</v>
      </c>
      <c r="CE82">
        <f t="shared" si="96"/>
        <v>2.2020766999999997</v>
      </c>
      <c r="CG82">
        <f t="shared" si="97"/>
        <v>-1.2729656758128873</v>
      </c>
      <c r="CH82">
        <f t="shared" si="98"/>
        <v>2.1743672841871131</v>
      </c>
      <c r="CI82">
        <f t="shared" si="99"/>
        <v>0.98741668906769386</v>
      </c>
      <c r="CJ82">
        <f t="shared" si="113"/>
        <v>2.5311097606942257</v>
      </c>
      <c r="CK82">
        <f t="shared" si="101"/>
        <v>4.6541320090960072</v>
      </c>
      <c r="CT82">
        <f t="shared" si="102"/>
        <v>2.9301185309818187</v>
      </c>
      <c r="CU82">
        <f t="shared" si="110"/>
        <v>18.729850432665824</v>
      </c>
      <c r="CV82">
        <f t="shared" si="103"/>
        <v>18.729850432665824</v>
      </c>
      <c r="CW82">
        <f t="shared" si="111"/>
        <v>1.0000000000000001E-5</v>
      </c>
      <c r="CX82">
        <f t="shared" si="105"/>
        <v>0.57229738456854751</v>
      </c>
      <c r="CY82">
        <f t="shared" si="106"/>
        <v>0.57229738456854751</v>
      </c>
      <c r="CZ82">
        <f t="shared" si="112"/>
        <v>0.01</v>
      </c>
      <c r="DA82">
        <v>0.3</v>
      </c>
      <c r="DB82">
        <v>0.3</v>
      </c>
      <c r="DC82">
        <v>0.3</v>
      </c>
    </row>
    <row r="83" spans="1:107" x14ac:dyDescent="0.25">
      <c r="A83">
        <v>58</v>
      </c>
      <c r="B83">
        <v>179</v>
      </c>
      <c r="C83" t="str">
        <f t="shared" si="82"/>
        <v>Reverse</v>
      </c>
      <c r="D83">
        <v>1.0668</v>
      </c>
      <c r="E83">
        <f t="shared" si="108"/>
        <v>1066.8</v>
      </c>
      <c r="F83">
        <v>1.2699999999999999E-2</v>
      </c>
      <c r="G83">
        <f t="shared" si="108"/>
        <v>12.7</v>
      </c>
      <c r="H83">
        <f t="shared" si="109"/>
        <v>84</v>
      </c>
      <c r="I83">
        <v>100</v>
      </c>
      <c r="R83">
        <v>23</v>
      </c>
      <c r="S83" t="s">
        <v>71</v>
      </c>
      <c r="T83" t="s">
        <v>74</v>
      </c>
      <c r="U83">
        <f t="shared" si="83"/>
        <v>18</v>
      </c>
      <c r="V83">
        <f t="shared" si="84"/>
        <v>0</v>
      </c>
      <c r="W83">
        <f t="shared" si="85"/>
        <v>75</v>
      </c>
      <c r="X83">
        <f t="shared" si="86"/>
        <v>0.72</v>
      </c>
      <c r="Y83">
        <v>0.9</v>
      </c>
      <c r="Z83">
        <v>0</v>
      </c>
      <c r="AB83">
        <f t="shared" si="87"/>
        <v>180.97835631387795</v>
      </c>
      <c r="AJ83">
        <f t="shared" si="88"/>
        <v>5.1983774457393972</v>
      </c>
      <c r="AK83">
        <v>0.18</v>
      </c>
      <c r="AZ83">
        <f t="shared" si="89"/>
        <v>0</v>
      </c>
      <c r="BA83">
        <f t="shared" si="90"/>
        <v>0</v>
      </c>
      <c r="BB83">
        <f t="shared" si="91"/>
        <v>4.4308167988433134</v>
      </c>
      <c r="BC83">
        <f t="shared" si="92"/>
        <v>-3.1838624800000002</v>
      </c>
      <c r="BD83">
        <f t="shared" si="93"/>
        <v>0.59384645999999996</v>
      </c>
      <c r="BE83">
        <f t="shared" si="94"/>
        <v>2.3415361959999998</v>
      </c>
      <c r="BF83">
        <f t="shared" si="95"/>
        <v>0.92075337266705359</v>
      </c>
      <c r="CE83">
        <f t="shared" si="96"/>
        <v>2.1405770999999998</v>
      </c>
      <c r="CG83">
        <f t="shared" si="97"/>
        <v>-1.7147984280919266</v>
      </c>
      <c r="CH83">
        <f t="shared" si="98"/>
        <v>1.4690640519080735</v>
      </c>
      <c r="CI83">
        <f t="shared" si="99"/>
        <v>0.68629345418488952</v>
      </c>
      <c r="CJ83">
        <f t="shared" si="113"/>
        <v>0.8409150977233486</v>
      </c>
      <c r="CK83">
        <f t="shared" si="101"/>
        <v>1.416048009654463</v>
      </c>
      <c r="CT83">
        <f t="shared" si="102"/>
        <v>-4.7348136784832739E-3</v>
      </c>
      <c r="CU83">
        <f t="shared" si="110"/>
        <v>0.99527637788151735</v>
      </c>
      <c r="CV83">
        <f t="shared" si="103"/>
        <v>0.99527637788151735</v>
      </c>
      <c r="CW83">
        <f t="shared" si="111"/>
        <v>1.0000000000000001E-5</v>
      </c>
      <c r="CX83">
        <f t="shared" si="105"/>
        <v>0.57229738456854751</v>
      </c>
      <c r="CY83">
        <f t="shared" si="106"/>
        <v>0.57229738456854751</v>
      </c>
      <c r="CZ83">
        <f t="shared" si="112"/>
        <v>0.01</v>
      </c>
      <c r="DA83">
        <v>0.3</v>
      </c>
      <c r="DB83">
        <v>0.3</v>
      </c>
      <c r="DC83">
        <v>0.3</v>
      </c>
    </row>
    <row r="84" spans="1:107" x14ac:dyDescent="0.25">
      <c r="A84">
        <v>59</v>
      </c>
      <c r="B84">
        <v>175</v>
      </c>
      <c r="C84" t="str">
        <f t="shared" si="82"/>
        <v>Reverse</v>
      </c>
      <c r="D84">
        <v>0.60960000000000003</v>
      </c>
      <c r="E84">
        <f t="shared" si="108"/>
        <v>609.6</v>
      </c>
      <c r="F84">
        <v>1.1130000000000001E-2</v>
      </c>
      <c r="G84">
        <f t="shared" si="108"/>
        <v>11.13</v>
      </c>
      <c r="H84">
        <f t="shared" si="109"/>
        <v>54.770889487870619</v>
      </c>
      <c r="I84">
        <v>150</v>
      </c>
      <c r="R84">
        <v>16</v>
      </c>
      <c r="S84" t="s">
        <v>71</v>
      </c>
      <c r="T84" t="s">
        <v>76</v>
      </c>
      <c r="U84">
        <f t="shared" si="83"/>
        <v>18.5</v>
      </c>
      <c r="V84">
        <f t="shared" si="84"/>
        <v>0</v>
      </c>
      <c r="W84">
        <f t="shared" si="85"/>
        <v>125</v>
      </c>
      <c r="X84">
        <f t="shared" si="86"/>
        <v>0.4</v>
      </c>
      <c r="Y84">
        <v>0.9</v>
      </c>
      <c r="Z84">
        <v>0</v>
      </c>
      <c r="AB84">
        <f t="shared" si="87"/>
        <v>95.755744081416907</v>
      </c>
      <c r="AJ84">
        <f t="shared" si="88"/>
        <v>4.5618006166678455</v>
      </c>
      <c r="AK84">
        <v>0.4</v>
      </c>
      <c r="AZ84">
        <f t="shared" si="89"/>
        <v>0</v>
      </c>
      <c r="BA84">
        <f t="shared" si="90"/>
        <v>0</v>
      </c>
      <c r="BB84">
        <f t="shared" si="91"/>
        <v>4.0031588390849828</v>
      </c>
      <c r="BC84">
        <f t="shared" si="92"/>
        <v>-3.32085856</v>
      </c>
      <c r="BD84">
        <f t="shared" si="93"/>
        <v>0.57883511999999993</v>
      </c>
      <c r="BE84">
        <f t="shared" si="94"/>
        <v>2.550742112</v>
      </c>
      <c r="BF84">
        <f t="shared" si="95"/>
        <v>0.37086793548713748</v>
      </c>
      <c r="CE84">
        <f t="shared" si="96"/>
        <v>2.1099511999999998</v>
      </c>
      <c r="CG84">
        <f t="shared" si="97"/>
        <v>-0.916290731874155</v>
      </c>
      <c r="CH84">
        <f t="shared" si="98"/>
        <v>2.4045678281258449</v>
      </c>
      <c r="CI84">
        <f t="shared" si="99"/>
        <v>1.13963196311168</v>
      </c>
      <c r="CJ84">
        <f>IF(CI84&gt;=1,5,ATANH(CI84))</f>
        <v>5</v>
      </c>
      <c r="CK84">
        <f t="shared" si="101"/>
        <v>8.6380384106617445</v>
      </c>
      <c r="CT84">
        <f t="shared" si="102"/>
        <v>6.4581642341488816</v>
      </c>
      <c r="CU84">
        <f t="shared" si="110"/>
        <v>100</v>
      </c>
      <c r="CV84">
        <f t="shared" si="103"/>
        <v>100</v>
      </c>
      <c r="CW84">
        <f t="shared" si="111"/>
        <v>1.0000000000000001E-5</v>
      </c>
      <c r="CX84">
        <f t="shared" si="105"/>
        <v>0.57229738456854751</v>
      </c>
      <c r="CY84">
        <f t="shared" si="106"/>
        <v>0.57229738456854751</v>
      </c>
      <c r="CZ84">
        <f t="shared" si="112"/>
        <v>0.01</v>
      </c>
      <c r="DA84">
        <v>0.3</v>
      </c>
      <c r="DB84">
        <v>0.3</v>
      </c>
      <c r="DC84">
        <v>0.3</v>
      </c>
    </row>
    <row r="85" spans="1:107" x14ac:dyDescent="0.25">
      <c r="A85">
        <v>60</v>
      </c>
      <c r="B85">
        <v>180</v>
      </c>
      <c r="C85" t="str">
        <f t="shared" si="82"/>
        <v>Reverse</v>
      </c>
      <c r="D85">
        <v>0.60960000000000003</v>
      </c>
      <c r="E85">
        <f t="shared" si="108"/>
        <v>609.6</v>
      </c>
      <c r="F85">
        <v>1.1130000000000001E-2</v>
      </c>
      <c r="G85">
        <f t="shared" si="108"/>
        <v>11.13</v>
      </c>
      <c r="H85">
        <f t="shared" si="109"/>
        <v>54.770889487870619</v>
      </c>
      <c r="I85">
        <v>200</v>
      </c>
      <c r="R85">
        <v>15</v>
      </c>
      <c r="S85" t="s">
        <v>71</v>
      </c>
      <c r="T85" t="s">
        <v>72</v>
      </c>
      <c r="U85">
        <f t="shared" si="83"/>
        <v>17.5</v>
      </c>
      <c r="V85">
        <f t="shared" si="84"/>
        <v>0</v>
      </c>
      <c r="W85">
        <f t="shared" si="85"/>
        <v>37.5</v>
      </c>
      <c r="X85">
        <f t="shared" si="86"/>
        <v>1.1000000000000001</v>
      </c>
      <c r="Y85">
        <v>0.9</v>
      </c>
      <c r="Z85">
        <v>0</v>
      </c>
      <c r="AB85">
        <f t="shared" si="87"/>
        <v>78.998488867168945</v>
      </c>
      <c r="AJ85">
        <f t="shared" si="88"/>
        <v>4.3694287240203895</v>
      </c>
      <c r="AK85">
        <v>1.2</v>
      </c>
      <c r="AZ85">
        <f t="shared" si="89"/>
        <v>0</v>
      </c>
      <c r="BA85">
        <f t="shared" si="90"/>
        <v>0</v>
      </c>
      <c r="BB85">
        <f t="shared" si="91"/>
        <v>4.0031588390849828</v>
      </c>
      <c r="BC85">
        <f t="shared" si="92"/>
        <v>-3.18060856</v>
      </c>
      <c r="BD85">
        <f t="shared" si="93"/>
        <v>0.60883511999999995</v>
      </c>
      <c r="BE85">
        <f t="shared" si="94"/>
        <v>2.5937421120000002</v>
      </c>
      <c r="BF85">
        <f t="shared" si="95"/>
        <v>0.28025382529312659</v>
      </c>
      <c r="CE85">
        <f t="shared" si="96"/>
        <v>2.0579511999999998</v>
      </c>
      <c r="CG85">
        <f t="shared" si="97"/>
        <v>0.18232155679395459</v>
      </c>
      <c r="CH85">
        <f t="shared" si="98"/>
        <v>3.3629301167939545</v>
      </c>
      <c r="CI85">
        <f t="shared" si="99"/>
        <v>1.6341155790253699</v>
      </c>
      <c r="CJ85">
        <f>IF(CI85&gt;=1,5,ATANH(CI85))</f>
        <v>5</v>
      </c>
      <c r="CK85">
        <f t="shared" si="101"/>
        <v>8.2124040413437385</v>
      </c>
      <c r="CT85">
        <f t="shared" si="102"/>
        <v>5.8989157546368647</v>
      </c>
      <c r="CU85">
        <f t="shared" si="110"/>
        <v>100</v>
      </c>
      <c r="CV85">
        <f t="shared" si="103"/>
        <v>100</v>
      </c>
      <c r="CW85">
        <f t="shared" si="111"/>
        <v>1.0000000000000001E-5</v>
      </c>
      <c r="CX85">
        <f t="shared" si="105"/>
        <v>0.57229738456854751</v>
      </c>
      <c r="CY85">
        <f t="shared" si="106"/>
        <v>0.57229738456854751</v>
      </c>
      <c r="CZ85">
        <f t="shared" si="112"/>
        <v>0.01</v>
      </c>
      <c r="DA85">
        <v>0.3</v>
      </c>
      <c r="DB85">
        <v>0.3</v>
      </c>
      <c r="DC85">
        <v>0.3</v>
      </c>
    </row>
    <row r="87" spans="1:107" x14ac:dyDescent="0.25">
      <c r="D87" t="s">
        <v>1</v>
      </c>
      <c r="E87" t="s">
        <v>2</v>
      </c>
      <c r="F87" t="s">
        <v>3</v>
      </c>
      <c r="G87" t="s">
        <v>4</v>
      </c>
      <c r="H87" t="s">
        <v>5</v>
      </c>
      <c r="I87" t="s">
        <v>6</v>
      </c>
      <c r="J87" t="s">
        <v>7</v>
      </c>
      <c r="K87" s="1" t="s">
        <v>8</v>
      </c>
      <c r="L87" s="1" t="s">
        <v>9</v>
      </c>
      <c r="M87" s="1" t="s">
        <v>10</v>
      </c>
      <c r="N87" s="1" t="s">
        <v>11</v>
      </c>
      <c r="O87" s="2" t="s">
        <v>12</v>
      </c>
      <c r="P87" t="s">
        <v>13</v>
      </c>
      <c r="Q87" t="s">
        <v>14</v>
      </c>
      <c r="R87" t="s">
        <v>15</v>
      </c>
      <c r="S87" t="s">
        <v>16</v>
      </c>
      <c r="T87" t="s">
        <v>17</v>
      </c>
      <c r="U87" t="s">
        <v>18</v>
      </c>
      <c r="V87" t="s">
        <v>19</v>
      </c>
      <c r="W87" t="s">
        <v>20</v>
      </c>
      <c r="X87" t="s">
        <v>21</v>
      </c>
      <c r="Y87" t="s">
        <v>22</v>
      </c>
      <c r="Z87" t="s">
        <v>23</v>
      </c>
      <c r="AA87" t="s">
        <v>24</v>
      </c>
      <c r="AB87" t="s">
        <v>25</v>
      </c>
      <c r="AE87" t="s">
        <v>26</v>
      </c>
      <c r="AF87" t="s">
        <v>27</v>
      </c>
      <c r="AG87" t="s">
        <v>28</v>
      </c>
      <c r="AH87" t="s">
        <v>29</v>
      </c>
      <c r="AI87" t="s">
        <v>30</v>
      </c>
      <c r="AJ87" t="s">
        <v>31</v>
      </c>
      <c r="AK87" t="s">
        <v>58</v>
      </c>
      <c r="AL87" t="s">
        <v>32</v>
      </c>
      <c r="AM87" t="s">
        <v>33</v>
      </c>
      <c r="AN87" t="s">
        <v>34</v>
      </c>
      <c r="AO87" t="s">
        <v>35</v>
      </c>
      <c r="AP87" t="s">
        <v>36</v>
      </c>
      <c r="AQ87" t="s">
        <v>37</v>
      </c>
      <c r="AR87" t="s">
        <v>38</v>
      </c>
      <c r="AY87" t="s">
        <v>39</v>
      </c>
      <c r="BC87" t="s">
        <v>40</v>
      </c>
      <c r="BD87" t="s">
        <v>41</v>
      </c>
      <c r="BE87" t="s">
        <v>42</v>
      </c>
      <c r="BF87" t="s">
        <v>43</v>
      </c>
      <c r="BG87" t="s">
        <v>44</v>
      </c>
      <c r="BH87" t="s">
        <v>45</v>
      </c>
      <c r="BI87" t="s">
        <v>46</v>
      </c>
      <c r="BJ87" t="s">
        <v>47</v>
      </c>
      <c r="BK87" t="s">
        <v>48</v>
      </c>
      <c r="BL87" t="s">
        <v>49</v>
      </c>
      <c r="BM87" t="s">
        <v>50</v>
      </c>
      <c r="BN87" t="s">
        <v>51</v>
      </c>
      <c r="BO87" t="s">
        <v>52</v>
      </c>
      <c r="BP87" t="s">
        <v>53</v>
      </c>
      <c r="CB87" t="s">
        <v>56</v>
      </c>
      <c r="CC87" t="s">
        <v>54</v>
      </c>
      <c r="CD87" t="s">
        <v>55</v>
      </c>
      <c r="CE87" t="s">
        <v>57</v>
      </c>
      <c r="CG87" t="s">
        <v>59</v>
      </c>
      <c r="CN87" t="s">
        <v>60</v>
      </c>
      <c r="CO87" t="s">
        <v>61</v>
      </c>
      <c r="CP87" t="s">
        <v>62</v>
      </c>
      <c r="CQ87" t="s">
        <v>63</v>
      </c>
      <c r="CR87" t="s">
        <v>64</v>
      </c>
      <c r="CS87" t="s">
        <v>65</v>
      </c>
      <c r="CT87" t="s">
        <v>66</v>
      </c>
      <c r="CU87" t="s">
        <v>67</v>
      </c>
      <c r="CX87" t="s">
        <v>68</v>
      </c>
      <c r="DA87" t="s">
        <v>69</v>
      </c>
    </row>
    <row r="88" spans="1:107" x14ac:dyDescent="0.25">
      <c r="A88">
        <v>61</v>
      </c>
      <c r="B88">
        <v>4</v>
      </c>
      <c r="C88" t="str">
        <f t="shared" ref="C88:C107" si="114">IF(AND(B88&gt;=0,B88&lt;=5),"Normal",IF(AND(B88&gt;5,B88&lt;90),"SSTens",IF(AND(B88&gt;=90,B88&lt;175),"SSComp",IF(AND(B88&gt;=175,B88&lt;=180),"Reverse"))))</f>
        <v>Normal</v>
      </c>
      <c r="D88">
        <v>1.0668</v>
      </c>
      <c r="E88">
        <f>D88*1000</f>
        <v>1066.8</v>
      </c>
      <c r="F88">
        <v>9.5250000000000005E-3</v>
      </c>
      <c r="G88">
        <f>F88*1000</f>
        <v>9.5250000000000004</v>
      </c>
      <c r="H88" s="3">
        <f>E88/G88</f>
        <v>111.99999999999999</v>
      </c>
      <c r="I88" s="1">
        <v>30</v>
      </c>
      <c r="J88" s="4" t="s">
        <v>70</v>
      </c>
      <c r="K88" s="1">
        <f>IF(J88="Grade-B",3,IF(J88="X-42",3,IF(J88="X-52",8,IF(J88="X-60",8,IF(J88="X-70",14,IF(J88="X-80",15,8))))))</f>
        <v>8</v>
      </c>
      <c r="L88" s="1">
        <f>IF(J88="Grade-B",8,IF(J88="X-42",9,IF(J88="X-52",10,IF(J88="X-60",12,IF(J88="X-70",15,IF(J88="X-80",20,10))))))</f>
        <v>10</v>
      </c>
      <c r="M88" s="1">
        <f>IF(J88="Grade-B",241,IF(J88="X-42",290,IF(J88="X-52",359,IF(J88="X-60",414,IF(J88="X-70",483,IF(J88="X-80",552,359))))))*1000</f>
        <v>359000</v>
      </c>
      <c r="N88" s="1">
        <f>IF(J88="Grade-B",344,IF(J88="X-42",414,IF(J88="X-52",455,IF(J88="X-60",517,IF(J88="X-70",565,IF(J88="X-80",625,M88*1.2/1000))))))*1000</f>
        <v>455000</v>
      </c>
      <c r="O88" s="1">
        <f>N88/200000000*(1+K88/(1+L88)*(N88/M88)^L88)*100</f>
        <v>1.9969902892117808</v>
      </c>
      <c r="P88" s="3">
        <f>100*IF(J88='[1]Estimation Model Normal-Slip'!$J$8,'[1]Estimation Model Normal-Slip'!$O$8,IF(J88='[1]Estimation Model Normal-Slip'!$J$9,'[1]Estimation Model Normal-Slip'!$O$9,IF(J88='[1]Estimation Model Normal-Slip'!$J$10,'[1]Estimation Model Normal-Slip'!$O$10,IF(J88='[1]Estimation Model Normal-Slip'!$J$11,'[1]Estimation Model Normal-Slip'!$O$11,IF(J88='[1]Estimation Model Normal-Slip'!$J$12,'[1]Estimation Model Normal-Slip'!$O$12,IF(J88='[1]Estimation Model Normal-Slip'!$J$13,'[1]Estimation Model Normal-Slip'!$O$13,2))))))</f>
        <v>1.9041242414694344</v>
      </c>
      <c r="Q88" s="1">
        <f>LN(O88)</f>
        <v>0.69164119173371341</v>
      </c>
      <c r="R88" s="1">
        <v>45</v>
      </c>
      <c r="S88" s="1" t="s">
        <v>71</v>
      </c>
      <c r="T88" t="s">
        <v>72</v>
      </c>
      <c r="U88">
        <f>IF(T88="medium dense",18,IF(T88="dense",18.5,IF(T88="very dense",19,IF(T88="soft",17.5,IF(T88="medium stiff",18,IF(T88="stiff",18.5,0))))))</f>
        <v>17.5</v>
      </c>
      <c r="V88" s="1">
        <f>IF(T88="medium dense",37,IF(T88="dense",40,IF(T88="very dense",43,0)))</f>
        <v>0</v>
      </c>
      <c r="W88">
        <f>IF(T88="soft",37.5,IF(T88="medium stiff",75,IF(T88="stiff",125,0)))</f>
        <v>37.5</v>
      </c>
      <c r="X88">
        <f>IF(T88="soft",1.1,IF(T88="medium stiff",0.72,IF(T88="stiff",0.4,0)))</f>
        <v>1.1000000000000001</v>
      </c>
      <c r="Y88">
        <v>0.9</v>
      </c>
      <c r="Z88" s="1">
        <v>0.78739999999999999</v>
      </c>
      <c r="AA88" s="1">
        <f t="shared" ref="AA88:AA107" si="115">MIN(11.5,MAX(1.8,Z88/D88))</f>
        <v>1.8</v>
      </c>
      <c r="AB88">
        <f>IF(S88="sand", PI() * D88 * Z88*U88* TAN(RADIANS(Y88*V88)), PI() * D88 * X88 * W88)</f>
        <v>138.24735551754566</v>
      </c>
      <c r="AE88">
        <f>IF(T88="medium dense",'[1]Coefficient Normal'!$E$18 + ('[1]Coefficient Normal'!$E$19*AA88) + ('[1]Coefficient Normal'!$E$20*(AA88^2)) + ('[1]Coefficient Normal'!$E$21*(AA88^3)) + ('[1]Coefficient Normal'!$E$22*(AA88^4)),IF(T88="dense",'[1]Coefficient Normal'!$F$18 + ('[1]Coefficient Normal'!$F$19*AA88) + ('[1]Coefficient Normal'!$F$20*(AA88^2)) + ('[1]Coefficient Normal'!$F$21*(AA88^3)) + ('[1]Coefficient Normal'!$F$22*(AA88^4)),IF(T88="very dense",'[1]Coefficient Normal'!$G$18 + ('[1]Coefficient Normal'!$G$19*AA88) + ('[1]Coefficient Normal'!$G$20*(AA88^2)) + ('[1]Coefficient Normal'!$G$21*(AA88^3)) + ('[1]Coefficient Normal'!$G$22*(AA88^4)),0)))</f>
        <v>0</v>
      </c>
      <c r="AF88">
        <f t="shared" ref="AF88:AF107" si="116">IF(S88="sand",MIN(80,EXP(0.18*V88-2.5)),0)</f>
        <v>0</v>
      </c>
      <c r="AG88">
        <f t="shared" ref="AG88:AG107" si="117">IF(S88="sand",AE88*U88*Z88*D88 + 0.5*U88*(D88^2)*AF88,5.14*W88*D88)</f>
        <v>205.62569999999999</v>
      </c>
      <c r="AH88">
        <f>LN(AG88)</f>
        <v>5.3260575257691611</v>
      </c>
      <c r="AI88">
        <f t="shared" ref="AI88:AI107" si="118">LN(H88)</f>
        <v>4.7184988712950942</v>
      </c>
      <c r="AJ88">
        <f t="shared" ref="AJ88:AJ107" si="119">LN(AB88)</f>
        <v>4.9290445119558122</v>
      </c>
      <c r="AK88" s="1">
        <v>2.2496671510000001</v>
      </c>
      <c r="AL88" s="5">
        <f>VLOOKUP(R88,'[1]Coefficient Normal'!$A$3:$H$7,2,TRUE)</f>
        <v>3.7532999999999999</v>
      </c>
      <c r="AM88" s="5">
        <f>VLOOKUP(R88,'[1]Coefficient Normal'!$A$3:$H$7,3,TRUE)</f>
        <v>0.14510000000000001</v>
      </c>
      <c r="AN88" s="5">
        <f>VLOOKUP(R88,'[1]Coefficient Normal'!$A$3:$H$7,4,TRUE)</f>
        <v>1.2497</v>
      </c>
      <c r="AO88" s="5">
        <f>VLOOKUP(R88,'[1]Coefficient Normal'!$A$3:$H$7,5,TRUE)</f>
        <v>-0.46100000000000002</v>
      </c>
      <c r="AP88" s="5">
        <f>VLOOKUP(R88,'[1]Coefficient Normal'!$A$3:$H$7,6,TRUE)</f>
        <v>0.39140000000000003</v>
      </c>
      <c r="AQ88" s="5">
        <f>VLOOKUP(R88,'[1]Coefficient Normal'!$A$3:$H$7,7,TRUE)</f>
        <v>-0.21310000000000001</v>
      </c>
      <c r="AR88" s="5">
        <f>VLOOKUP(R88,'[1]Coefficient Normal'!$A$3:$H$7,8,TRUE)</f>
        <v>-0.34139999999999998</v>
      </c>
      <c r="AS88" s="5"/>
      <c r="AT88" s="5"/>
      <c r="AU88" s="5"/>
      <c r="AV88" s="5"/>
      <c r="AW88" s="5"/>
      <c r="AY88" s="5">
        <f t="shared" ref="AY88:AY107" si="120">AL88+AM88*LN(I88) + AN88*LN(D88) + AO88*AI88 + AP88*Q88 + AQ88*AH88 + AR88*AJ88</f>
        <v>-0.39465453966325215</v>
      </c>
      <c r="BC88" s="5">
        <f>VLOOKUP(R88,'[1]Coefficient Normal'!$A$10:$P$14,2,TRUE)</f>
        <v>-1.1082000000000001</v>
      </c>
      <c r="BD88" s="5">
        <f>VLOOKUP(R88,'[1]Coefficient Normal'!$A$10:$P$14,3,TRUE)</f>
        <v>0.10630000000000001</v>
      </c>
      <c r="BE88" s="5">
        <f>VLOOKUP(R88,'[1]Coefficient Normal'!$A$10:$P$14,4,TRUE)</f>
        <v>-0.1439</v>
      </c>
      <c r="BF88" s="5">
        <f>VLOOKUP(R88,'[1]Coefficient Normal'!$A$10:$P$14,5,TRUE)</f>
        <v>0.27879999999999999</v>
      </c>
      <c r="BG88" s="5">
        <f>VLOOKUP(R88,'[1]Coefficient Normal'!$A$10:$P$14,6,TRUE)</f>
        <v>-0.31030000000000002</v>
      </c>
      <c r="BH88" s="5">
        <f>VLOOKUP(R88,'[1]Coefficient Normal'!$A$10:$P$14,7,TRUE)</f>
        <v>1.2553000000000001</v>
      </c>
      <c r="BI88" s="5">
        <f>VLOOKUP(R88,'[1]Coefficient Normal'!$A$10:$P$14,8,TRUE)</f>
        <v>2.9999999999999997E-4</v>
      </c>
      <c r="BJ88" s="5">
        <f>VLOOKUP(R88,'[1]Coefficient Normal'!$A$10:$P$14,9,TRUE)</f>
        <v>5.1999999999999998E-3</v>
      </c>
      <c r="BK88" s="5">
        <f>VLOOKUP(R88,'[1]Coefficient Normal'!$A$10:$P$14,10,TRUE)</f>
        <v>-8.5900000000000004E-2</v>
      </c>
      <c r="BL88" s="5">
        <f>VLOOKUP(R88,'[1]Coefficient Normal'!$A$10:$P$14,11,TRUE)</f>
        <v>5.9999999999999995E-4</v>
      </c>
      <c r="BM88" s="5">
        <f>VLOOKUP(R88,'[1]Coefficient Normal'!$A$10:$P$14,12,TRUE)</f>
        <v>-0.21759999999999999</v>
      </c>
      <c r="BN88" s="5">
        <f>VLOOKUP(R88,'[1]Coefficient Normal'!$A$10:$P$14,13,TRUE)</f>
        <v>-2.69E-2</v>
      </c>
      <c r="BO88" s="5">
        <f>VLOOKUP(R88,'[1]Coefficient Normal'!$A$10:$P$14,14,TRUE)</f>
        <v>0.57389999999999997</v>
      </c>
      <c r="BP88" s="5">
        <f>VLOOKUP(R88,'[1]Coefficient Normal'!$A$10:$P$14,15,TRUE)</f>
        <v>0.34460000000000002</v>
      </c>
      <c r="BQ88" s="5"/>
      <c r="BR88" s="5"/>
      <c r="BS88" s="5"/>
      <c r="BT88" s="5"/>
      <c r="BU88" s="5"/>
      <c r="BV88" s="5"/>
      <c r="BW88" s="5"/>
      <c r="BX88" s="5"/>
      <c r="BY88" s="5"/>
      <c r="CB88" s="6">
        <f t="shared" ref="CB88:CB107" si="121">IF(S88="sand",1,0)</f>
        <v>0</v>
      </c>
      <c r="CC88" s="6">
        <f t="shared" ref="CC88:CC107" si="122">IF(CG88&lt;AY88,1,0)</f>
        <v>0</v>
      </c>
      <c r="CD88" s="6">
        <f t="shared" ref="CD88:CD107" si="123">IF(I88&lt;100,1,0)</f>
        <v>1</v>
      </c>
      <c r="CE88" s="5">
        <f t="shared" ref="CE88:CE107" si="124">CC88 * (BH88+BI88*AB88 + BJ88*CD88*(I88-100) + BK88*(1-CD88) + BL88*H88) + (1-CC88) * (BM88 + BN88*CD88*(I88-100) + BO88*(1-CD88) + BP88*Q88)</f>
        <v>1.9037395546714377</v>
      </c>
      <c r="CG88">
        <f t="shared" ref="CG88:CG107" si="125">LN(AK88)</f>
        <v>0.8107822723842909</v>
      </c>
      <c r="CN88" s="5">
        <f t="shared" ref="CN88:CN107" si="126">CG88-AY88</f>
        <v>1.2054368120475432</v>
      </c>
      <c r="CO88" s="5">
        <f t="shared" ref="CO88:CO107" si="127">CE88*CN88</f>
        <v>2.2948377397519475</v>
      </c>
      <c r="CP88" s="5">
        <f t="shared" ref="CP88:CP107" si="128">BD88*AI88</f>
        <v>0.50157643001866858</v>
      </c>
      <c r="CQ88" s="5">
        <f t="shared" ref="CQ88:CQ107" si="129">BE88*CB88*AJ88</f>
        <v>0</v>
      </c>
      <c r="CR88" s="5">
        <f t="shared" ref="CR88:CR107" si="130">BF88*AH88</f>
        <v>1.4849048381844421</v>
      </c>
      <c r="CS88" s="5">
        <f t="shared" ref="CS88:CS107" si="131">BG88* LN(D88)</f>
        <v>-2.0065088184971575E-2</v>
      </c>
      <c r="CT88" s="5">
        <f t="shared" ref="CT88:CT107" si="132">BC88+CO88+CP88+CQ88+CR88+CS88</f>
        <v>3.1530539197700866</v>
      </c>
      <c r="CU88" s="7">
        <f>EXP(CT88)</f>
        <v>23.407439981823291</v>
      </c>
      <c r="CV88">
        <f t="shared" ref="CV88:CV107" si="133">IF(OR($C88="SSComp",$C88="Reverse"),CU88,0.00001)</f>
        <v>1.0000000000000001E-5</v>
      </c>
      <c r="CW88">
        <f t="shared" ref="CW88:CW107" si="134">IF(OR($C88="SSTens",$C88="Normal"),CU88,0.00001)</f>
        <v>23.407439981823291</v>
      </c>
      <c r="CX88">
        <f>VLOOKUP(R88,'[1]Coefficient Normal'!$A$10:$P$14,16,TRUE)</f>
        <v>0.3997</v>
      </c>
      <c r="CY88">
        <f t="shared" ref="CY88:CY107" si="135">IF(OR($C88="SSComp",$C88="Reverse"),CX88,0.01)</f>
        <v>0.01</v>
      </c>
      <c r="CZ88">
        <f t="shared" ref="CZ88:CZ107" si="136">IF(OR($C88="SSTens",$C88="Normal"),CX88,0.01)</f>
        <v>0.3997</v>
      </c>
      <c r="DA88">
        <v>0.3</v>
      </c>
      <c r="DB88">
        <v>0.3</v>
      </c>
      <c r="DC88">
        <v>0.3</v>
      </c>
    </row>
    <row r="89" spans="1:107" x14ac:dyDescent="0.25">
      <c r="A89">
        <v>62</v>
      </c>
      <c r="B89">
        <v>3</v>
      </c>
      <c r="C89" t="str">
        <f t="shared" si="114"/>
        <v>Normal</v>
      </c>
      <c r="D89">
        <v>0.60960000000000003</v>
      </c>
      <c r="E89">
        <f t="shared" ref="E89:G107" si="137">D89*1000</f>
        <v>609.6</v>
      </c>
      <c r="F89">
        <v>9.5250000000000005E-3</v>
      </c>
      <c r="G89">
        <f t="shared" si="137"/>
        <v>9.5250000000000004</v>
      </c>
      <c r="H89" s="3">
        <f t="shared" ref="H89:H107" si="138">E89/G89</f>
        <v>64</v>
      </c>
      <c r="I89" s="1">
        <v>50</v>
      </c>
      <c r="J89" s="4" t="s">
        <v>73</v>
      </c>
      <c r="K89" s="1">
        <f t="shared" ref="K89:K107" si="139">IF(J89="Grade-B",3,IF(J89="X-42",3,IF(J89="X-52",8,IF(J89="X-60",8,IF(J89="X-70",14,IF(J89="X-80",15,8))))))</f>
        <v>8</v>
      </c>
      <c r="L89" s="1">
        <f t="shared" ref="L89:L107" si="140">IF(J89="Grade-B",8,IF(J89="X-42",9,IF(J89="X-52",10,IF(J89="X-60",12,IF(J89="X-70",15,IF(J89="X-80",20,10))))))</f>
        <v>12</v>
      </c>
      <c r="M89" s="1">
        <f t="shared" ref="M89:M107" si="141">IF(J89="Grade-B",241,IF(J89="X-42",290,IF(J89="X-52",359,IF(J89="X-60",414,IF(J89="X-70",483,IF(J89="X-80",552,359))))))*1000</f>
        <v>414000</v>
      </c>
      <c r="N89" s="1">
        <f t="shared" ref="N89:N107" si="142">IF(J89="Grade-B",344,IF(J89="X-42",414,IF(J89="X-52",455,IF(J89="X-60",517,IF(J89="X-70",565,IF(J89="X-80",625,M89*1.2/1000))))))*1000</f>
        <v>517000</v>
      </c>
      <c r="O89" s="1">
        <f t="shared" ref="O89:O107" si="143">N89/200000000*(1+K89/(1+L89)*(N89/M89)^L89)*100</f>
        <v>2.5466769467238102</v>
      </c>
      <c r="P89" s="3">
        <f>100*IF(J89='[1]Estimation Model Normal-Slip'!$J$8,'[1]Estimation Model Normal-Slip'!$O$8,IF(J89='[1]Estimation Model Normal-Slip'!$J$9,'[1]Estimation Model Normal-Slip'!$O$9,IF(J89='[1]Estimation Model Normal-Slip'!$J$10,'[1]Estimation Model Normal-Slip'!$O$10,IF(J89='[1]Estimation Model Normal-Slip'!$J$11,'[1]Estimation Model Normal-Slip'!$O$11,IF(J89='[1]Estimation Model Normal-Slip'!$J$12,'[1]Estimation Model Normal-Slip'!$O$12,IF(J89='[1]Estimation Model Normal-Slip'!$J$13,'[1]Estimation Model Normal-Slip'!$O$13,2))))))</f>
        <v>2.4313344008036557</v>
      </c>
      <c r="Q89" s="1">
        <f t="shared" ref="Q89:Q107" si="144">LN(O89)</f>
        <v>0.93478935117382533</v>
      </c>
      <c r="R89" s="1">
        <v>60</v>
      </c>
      <c r="S89" s="1" t="s">
        <v>71</v>
      </c>
      <c r="T89" t="s">
        <v>74</v>
      </c>
      <c r="U89">
        <f t="shared" ref="U89:U107" si="145">IF(T89="medium dense",18,IF(T89="dense",18.5,IF(T89="very dense",19,IF(T89="soft",17.5,IF(T89="medium stiff",18,IF(T89="stiff",18.5,0))))))</f>
        <v>18</v>
      </c>
      <c r="V89" s="1">
        <f t="shared" ref="V89:V107" si="146">IF(T89="medium dense",37,IF(T89="dense",40,IF(T89="very dense",43,0)))</f>
        <v>0</v>
      </c>
      <c r="W89">
        <f t="shared" ref="W89:W107" si="147">IF(T89="soft",37.5,IF(T89="medium stiff",75,IF(T89="stiff",125,0)))</f>
        <v>75</v>
      </c>
      <c r="X89">
        <f t="shared" ref="X89:X107" si="148">IF(T89="soft",1.1,IF(T89="medium stiff",0.72,IF(T89="stiff",0.4,0)))</f>
        <v>0.72</v>
      </c>
      <c r="Y89">
        <v>0.9</v>
      </c>
      <c r="Z89" s="1">
        <v>1</v>
      </c>
      <c r="AA89" s="1">
        <f t="shared" si="115"/>
        <v>1.8</v>
      </c>
      <c r="AB89">
        <f t="shared" ref="AB89:AB107" si="149">IF(S89="sand", PI() * D89 * Z89*U89* TAN(RADIANS(Y89*V89)), PI() * D89 * X89 * W89)</f>
        <v>103.41620360793024</v>
      </c>
      <c r="AE89">
        <f>IF(T89="medium dense",'[1]Coefficient Normal'!$E$18 + ('[1]Coefficient Normal'!$E$19*AA89) + ('[1]Coefficient Normal'!$E$20*(AA89^2)) + ('[1]Coefficient Normal'!$E$21*(AA89^3)) + ('[1]Coefficient Normal'!$E$22*(AA89^4)),IF(T89="dense",'[1]Coefficient Normal'!$F$18 + ('[1]Coefficient Normal'!$F$19*AA89) + ('[1]Coefficient Normal'!$F$20*(AA89^2)) + ('[1]Coefficient Normal'!$F$21*(AA89^3)) + ('[1]Coefficient Normal'!$F$22*(AA89^4)),IF(T89="very dense",'[1]Coefficient Normal'!$G$18 + ('[1]Coefficient Normal'!$G$19*AA89) + ('[1]Coefficient Normal'!$G$20*(AA89^2)) + ('[1]Coefficient Normal'!$G$21*(AA89^3)) + ('[1]Coefficient Normal'!$G$22*(AA89^4)),0)))</f>
        <v>0</v>
      </c>
      <c r="AF89">
        <f t="shared" si="116"/>
        <v>0</v>
      </c>
      <c r="AG89">
        <f t="shared" si="117"/>
        <v>235.0008</v>
      </c>
      <c r="AH89">
        <f t="shared" ref="AH89:AH107" si="150">LN(AG89)</f>
        <v>5.4595889183936839</v>
      </c>
      <c r="AI89">
        <f t="shared" si="118"/>
        <v>4.1588830833596715</v>
      </c>
      <c r="AJ89">
        <f t="shared" si="119"/>
        <v>4.6387616578039736</v>
      </c>
      <c r="AK89" s="1">
        <v>2.3997944580000001</v>
      </c>
      <c r="AL89" s="5">
        <f>VLOOKUP(R89,'[1]Coefficient Normal'!$A$3:$H$7,2,TRUE)</f>
        <v>4.3182999999999998</v>
      </c>
      <c r="AM89" s="5">
        <f>VLOOKUP(R89,'[1]Coefficient Normal'!$A$3:$H$7,3,TRUE)</f>
        <v>-2.7900000000000001E-2</v>
      </c>
      <c r="AN89" s="5">
        <f>VLOOKUP(R89,'[1]Coefficient Normal'!$A$3:$H$7,4,TRUE)</f>
        <v>1.0497000000000001</v>
      </c>
      <c r="AO89" s="5">
        <f>VLOOKUP(R89,'[1]Coefficient Normal'!$A$3:$H$7,5,TRUE)</f>
        <v>-0.46910000000000002</v>
      </c>
      <c r="AP89" s="5">
        <f>VLOOKUP(R89,'[1]Coefficient Normal'!$A$3:$H$7,6,TRUE)</f>
        <v>0.29149999999999998</v>
      </c>
      <c r="AQ89" s="5">
        <f>VLOOKUP(R89,'[1]Coefficient Normal'!$A$3:$H$7,7,TRUE)</f>
        <v>-0.28610000000000002</v>
      </c>
      <c r="AR89" s="5">
        <f>VLOOKUP(R89,'[1]Coefficient Normal'!$A$3:$H$7,8,TRUE)</f>
        <v>-0.1348</v>
      </c>
      <c r="AS89" s="5"/>
      <c r="AT89" s="5"/>
      <c r="AU89" s="5"/>
      <c r="AV89" s="5"/>
      <c r="AW89" s="5"/>
      <c r="AY89" s="5">
        <f t="shared" si="120"/>
        <v>-0.17613126407050839</v>
      </c>
      <c r="BC89" s="5">
        <f>VLOOKUP(R89,'[1]Coefficient Normal'!$A$10:$P$14,2,TRUE)</f>
        <v>-2.1276999999999999</v>
      </c>
      <c r="BD89" s="5">
        <f>VLOOKUP(R89,'[1]Coefficient Normal'!$A$10:$P$14,3,TRUE)</f>
        <v>0.14760000000000001</v>
      </c>
      <c r="BE89" s="5">
        <f>VLOOKUP(R89,'[1]Coefficient Normal'!$A$10:$P$14,4,TRUE)</f>
        <v>-0.21829999999999999</v>
      </c>
      <c r="BF89" s="5">
        <f>VLOOKUP(R89,'[1]Coefficient Normal'!$A$10:$P$14,5,TRUE)</f>
        <v>0.42270000000000002</v>
      </c>
      <c r="BG89" s="5">
        <f>VLOOKUP(R89,'[1]Coefficient Normal'!$A$10:$P$14,6,TRUE)</f>
        <v>-0.53720000000000001</v>
      </c>
      <c r="BH89" s="5">
        <f>VLOOKUP(R89,'[1]Coefficient Normal'!$A$10:$P$14,7,TRUE)</f>
        <v>1.252</v>
      </c>
      <c r="BI89" s="5">
        <f>VLOOKUP(R89,'[1]Coefficient Normal'!$A$10:$P$14,8,TRUE)</f>
        <v>-5.9999999999999995E-4</v>
      </c>
      <c r="BJ89" s="5">
        <f>VLOOKUP(R89,'[1]Coefficient Normal'!$A$10:$P$14,9,TRUE)</f>
        <v>5.3E-3</v>
      </c>
      <c r="BK89" s="5">
        <f>VLOOKUP(R89,'[1]Coefficient Normal'!$A$10:$P$14,10,TRUE)</f>
        <v>-4.8500000000000001E-2</v>
      </c>
      <c r="BL89" s="5">
        <f>VLOOKUP(R89,'[1]Coefficient Normal'!$A$10:$P$14,11,TRUE)</f>
        <v>1.2999999999999999E-3</v>
      </c>
      <c r="BM89" s="5">
        <f>VLOOKUP(R89,'[1]Coefficient Normal'!$A$10:$P$14,12,TRUE)</f>
        <v>-0.56599999999999995</v>
      </c>
      <c r="BN89" s="5">
        <f>VLOOKUP(R89,'[1]Coefficient Normal'!$A$10:$P$14,13,TRUE)</f>
        <v>-3.2099999999999997E-2</v>
      </c>
      <c r="BO89" s="5">
        <f>VLOOKUP(R89,'[1]Coefficient Normal'!$A$10:$P$14,14,TRUE)</f>
        <v>0.84970000000000001</v>
      </c>
      <c r="BP89" s="5">
        <f>VLOOKUP(R89,'[1]Coefficient Normal'!$A$10:$P$14,15,TRUE)</f>
        <v>9.01E-2</v>
      </c>
      <c r="BQ89" s="5"/>
      <c r="BR89" s="5"/>
      <c r="BS89" s="5"/>
      <c r="BT89" s="5"/>
      <c r="BU89" s="5"/>
      <c r="BV89" s="5"/>
      <c r="BW89" s="5"/>
      <c r="BX89" s="5"/>
      <c r="BY89" s="5"/>
      <c r="CB89" s="6">
        <f t="shared" si="121"/>
        <v>0</v>
      </c>
      <c r="CC89" s="6">
        <f t="shared" si="122"/>
        <v>0</v>
      </c>
      <c r="CD89" s="6">
        <f t="shared" si="123"/>
        <v>1</v>
      </c>
      <c r="CE89" s="5">
        <f t="shared" si="124"/>
        <v>1.1232245205407614</v>
      </c>
      <c r="CG89">
        <f t="shared" si="125"/>
        <v>0.8753830911863717</v>
      </c>
      <c r="CN89" s="5">
        <f t="shared" si="126"/>
        <v>1.05151435525688</v>
      </c>
      <c r="CO89" s="5">
        <f t="shared" si="127"/>
        <v>1.1810867075251368</v>
      </c>
      <c r="CP89" s="5">
        <f t="shared" si="128"/>
        <v>0.61385114310388755</v>
      </c>
      <c r="CQ89" s="5">
        <f t="shared" si="129"/>
        <v>0</v>
      </c>
      <c r="CR89" s="5">
        <f t="shared" si="130"/>
        <v>2.3077682358050104</v>
      </c>
      <c r="CS89" s="5">
        <f t="shared" si="131"/>
        <v>0.26588836192033111</v>
      </c>
      <c r="CT89" s="5">
        <f t="shared" si="132"/>
        <v>2.240894448354366</v>
      </c>
      <c r="CU89" s="7">
        <f t="shared" ref="CU89:CU107" si="151">EXP(CT89)</f>
        <v>9.4017368957857244</v>
      </c>
      <c r="CV89">
        <f t="shared" si="133"/>
        <v>1.0000000000000001E-5</v>
      </c>
      <c r="CW89">
        <f t="shared" si="134"/>
        <v>9.4017368957857244</v>
      </c>
      <c r="CX89">
        <f>VLOOKUP(R89,'[1]Coefficient Normal'!$A$10:$P$14,16,TRUE)</f>
        <v>0.50170000000000003</v>
      </c>
      <c r="CY89">
        <f t="shared" si="135"/>
        <v>0.01</v>
      </c>
      <c r="CZ89">
        <f t="shared" si="136"/>
        <v>0.50170000000000003</v>
      </c>
      <c r="DA89">
        <v>0.3</v>
      </c>
      <c r="DB89">
        <v>0.3</v>
      </c>
      <c r="DC89">
        <v>0.3</v>
      </c>
    </row>
    <row r="90" spans="1:107" x14ac:dyDescent="0.25">
      <c r="A90">
        <v>63</v>
      </c>
      <c r="B90">
        <v>1</v>
      </c>
      <c r="C90" t="str">
        <f t="shared" si="114"/>
        <v>Normal</v>
      </c>
      <c r="D90">
        <v>0.40960000000000002</v>
      </c>
      <c r="E90">
        <f t="shared" si="137"/>
        <v>409.6</v>
      </c>
      <c r="F90">
        <v>9.5250000000000005E-3</v>
      </c>
      <c r="G90">
        <f t="shared" si="137"/>
        <v>9.5250000000000004</v>
      </c>
      <c r="H90" s="3">
        <f t="shared" si="138"/>
        <v>43.00262467191601</v>
      </c>
      <c r="I90" s="1">
        <v>100</v>
      </c>
      <c r="J90" s="4" t="s">
        <v>75</v>
      </c>
      <c r="K90" s="1">
        <f t="shared" si="139"/>
        <v>14</v>
      </c>
      <c r="L90" s="1">
        <f t="shared" si="140"/>
        <v>15</v>
      </c>
      <c r="M90" s="1">
        <f t="shared" si="141"/>
        <v>483000</v>
      </c>
      <c r="N90" s="1">
        <f t="shared" si="142"/>
        <v>565000</v>
      </c>
      <c r="O90" s="1">
        <f t="shared" si="143"/>
        <v>2.8799444073326219</v>
      </c>
      <c r="P90" s="3">
        <f>100*IF(J90='[1]Estimation Model Normal-Slip'!$J$8,'[1]Estimation Model Normal-Slip'!$O$8,IF(J90='[1]Estimation Model Normal-Slip'!$J$9,'[1]Estimation Model Normal-Slip'!$O$9,IF(J90='[1]Estimation Model Normal-Slip'!$J$10,'[1]Estimation Model Normal-Slip'!$O$10,IF(J90='[1]Estimation Model Normal-Slip'!$J$11,'[1]Estimation Model Normal-Slip'!$O$11,IF(J90='[1]Estimation Model Normal-Slip'!$J$12,'[1]Estimation Model Normal-Slip'!$O$12,IF(J90='[1]Estimation Model Normal-Slip'!$J$13,'[1]Estimation Model Normal-Slip'!$O$13,2))))))</f>
        <v>2.7690517990613435</v>
      </c>
      <c r="Q90" s="1">
        <f t="shared" si="144"/>
        <v>1.0577709909520427</v>
      </c>
      <c r="R90" s="1">
        <v>75</v>
      </c>
      <c r="S90" s="1" t="s">
        <v>71</v>
      </c>
      <c r="T90" t="s">
        <v>76</v>
      </c>
      <c r="U90">
        <f t="shared" si="145"/>
        <v>18.5</v>
      </c>
      <c r="V90" s="1">
        <f t="shared" si="146"/>
        <v>0</v>
      </c>
      <c r="W90">
        <f t="shared" si="147"/>
        <v>125</v>
      </c>
      <c r="X90">
        <f t="shared" si="148"/>
        <v>0.4</v>
      </c>
      <c r="Y90">
        <v>0.9</v>
      </c>
      <c r="Z90" s="1">
        <v>1.2</v>
      </c>
      <c r="AA90" s="1">
        <f t="shared" si="115"/>
        <v>2.9296874999999996</v>
      </c>
      <c r="AB90">
        <f t="shared" si="149"/>
        <v>64.339817545518969</v>
      </c>
      <c r="AE90">
        <f>IF(T90="medium dense",'[1]Coefficient Normal'!$E$18 + ('[1]Coefficient Normal'!$E$19*AA90) + ('[1]Coefficient Normal'!$E$20*(AA90^2)) + ('[1]Coefficient Normal'!$E$21*(AA90^3)) + ('[1]Coefficient Normal'!$E$22*(AA90^4)),IF(T90="dense",'[1]Coefficient Normal'!$F$18 + ('[1]Coefficient Normal'!$F$19*AA90) + ('[1]Coefficient Normal'!$F$20*(AA90^2)) + ('[1]Coefficient Normal'!$F$21*(AA90^3)) + ('[1]Coefficient Normal'!$F$22*(AA90^4)),IF(T90="very dense",'[1]Coefficient Normal'!$G$18 + ('[1]Coefficient Normal'!$G$19*AA90) + ('[1]Coefficient Normal'!$G$20*(AA90^2)) + ('[1]Coefficient Normal'!$G$21*(AA90^3)) + ('[1]Coefficient Normal'!$G$22*(AA90^4)),0)))</f>
        <v>0</v>
      </c>
      <c r="AF90">
        <f t="shared" si="116"/>
        <v>0</v>
      </c>
      <c r="AG90">
        <f t="shared" si="117"/>
        <v>263.16800000000001</v>
      </c>
      <c r="AH90">
        <f t="shared" si="150"/>
        <v>5.5727926115125355</v>
      </c>
      <c r="AI90">
        <f t="shared" si="118"/>
        <v>3.7612611527125335</v>
      </c>
      <c r="AJ90">
        <f t="shared" si="119"/>
        <v>4.1641786860207075</v>
      </c>
      <c r="AK90" s="1">
        <v>2.5498958799999998</v>
      </c>
      <c r="AL90" s="5">
        <f>VLOOKUP(R90,'[1]Coefficient Normal'!$A$3:$H$7,2,TRUE)</f>
        <v>5.5951000000000004</v>
      </c>
      <c r="AM90" s="5">
        <f>VLOOKUP(R90,'[1]Coefficient Normal'!$A$3:$H$7,3,TRUE)</f>
        <v>1.6E-2</v>
      </c>
      <c r="AN90" s="5">
        <f>VLOOKUP(R90,'[1]Coefficient Normal'!$A$3:$H$7,4,TRUE)</f>
        <v>1.2641</v>
      </c>
      <c r="AO90" s="5">
        <f>VLOOKUP(R90,'[1]Coefficient Normal'!$A$3:$H$7,5,TRUE)</f>
        <v>-0.52429999999999999</v>
      </c>
      <c r="AP90" s="5">
        <f>VLOOKUP(R90,'[1]Coefficient Normal'!$A$3:$H$7,6,TRUE)</f>
        <v>0.35830000000000001</v>
      </c>
      <c r="AQ90" s="5">
        <f>VLOOKUP(R90,'[1]Coefficient Normal'!$A$3:$H$7,7,TRUE)</f>
        <v>-0.35920000000000002</v>
      </c>
      <c r="AR90" s="5">
        <f>VLOOKUP(R90,'[1]Coefficient Normal'!$A$3:$H$7,8,TRUE)</f>
        <v>-0.2482</v>
      </c>
      <c r="AS90" s="5"/>
      <c r="AT90" s="5"/>
      <c r="AU90" s="5"/>
      <c r="AV90" s="5"/>
      <c r="AW90" s="5"/>
      <c r="AY90" s="5">
        <f t="shared" si="120"/>
        <v>-8.7846462124065994E-2</v>
      </c>
      <c r="BC90" s="5">
        <f>VLOOKUP(R90,'[1]Coefficient Normal'!$A$10:$P$14,2,TRUE)</f>
        <v>-2.3450000000000002</v>
      </c>
      <c r="BD90" s="5">
        <f>VLOOKUP(R90,'[1]Coefficient Normal'!$A$10:$P$14,3,TRUE)</f>
        <v>0.19470000000000001</v>
      </c>
      <c r="BE90" s="5">
        <f>VLOOKUP(R90,'[1]Coefficient Normal'!$A$10:$P$14,4,TRUE)</f>
        <v>-0.2044</v>
      </c>
      <c r="BF90" s="5">
        <f>VLOOKUP(R90,'[1]Coefficient Normal'!$A$10:$P$14,5,TRUE)</f>
        <v>0.4143</v>
      </c>
      <c r="BG90" s="5">
        <f>VLOOKUP(R90,'[1]Coefficient Normal'!$A$10:$P$14,6,TRUE)</f>
        <v>-0.55710000000000004</v>
      </c>
      <c r="BH90" s="5">
        <f>VLOOKUP(R90,'[1]Coefficient Normal'!$A$10:$P$14,7,TRUE)</f>
        <v>1.0931</v>
      </c>
      <c r="BI90" s="5">
        <f>VLOOKUP(R90,'[1]Coefficient Normal'!$A$10:$P$14,8,TRUE)</f>
        <v>1E-4</v>
      </c>
      <c r="BJ90" s="5">
        <f>VLOOKUP(R90,'[1]Coefficient Normal'!$A$10:$P$14,9,TRUE)</f>
        <v>3.5000000000000001E-3</v>
      </c>
      <c r="BK90" s="5">
        <f>VLOOKUP(R90,'[1]Coefficient Normal'!$A$10:$P$14,10,TRUE)</f>
        <v>-4.07E-2</v>
      </c>
      <c r="BL90" s="5">
        <f>VLOOKUP(R90,'[1]Coefficient Normal'!$A$10:$P$14,11,TRUE)</f>
        <v>1.6000000000000001E-3</v>
      </c>
      <c r="BM90" s="5">
        <f>VLOOKUP(R90,'[1]Coefficient Normal'!$A$10:$P$14,12,TRUE)</f>
        <v>-0.65949999999999998</v>
      </c>
      <c r="BN90" s="5">
        <f>VLOOKUP(R90,'[1]Coefficient Normal'!$A$10:$P$14,13,TRUE)</f>
        <v>-3.0099999999999998E-2</v>
      </c>
      <c r="BO90" s="5">
        <f>VLOOKUP(R90,'[1]Coefficient Normal'!$A$10:$P$14,14,TRUE)</f>
        <v>0.84219999999999995</v>
      </c>
      <c r="BP90" s="5">
        <f>VLOOKUP(R90,'[1]Coefficient Normal'!$A$10:$P$14,15,TRUE)</f>
        <v>0.50680000000000003</v>
      </c>
      <c r="BQ90" s="5"/>
      <c r="BR90" s="5"/>
      <c r="BS90" s="5"/>
      <c r="BT90" s="5"/>
      <c r="BU90" s="5"/>
      <c r="BV90" s="5"/>
      <c r="BW90" s="5"/>
      <c r="BX90" s="5"/>
      <c r="BY90" s="5"/>
      <c r="CB90" s="6">
        <f t="shared" si="121"/>
        <v>0</v>
      </c>
      <c r="CC90" s="6">
        <f t="shared" si="122"/>
        <v>0</v>
      </c>
      <c r="CD90" s="6">
        <f t="shared" si="123"/>
        <v>0</v>
      </c>
      <c r="CE90" s="5">
        <f t="shared" si="124"/>
        <v>0.71877833821449522</v>
      </c>
      <c r="CG90">
        <f t="shared" si="125"/>
        <v>0.93605252696416252</v>
      </c>
      <c r="CN90" s="5">
        <f t="shared" si="126"/>
        <v>1.0238989890882286</v>
      </c>
      <c r="CO90" s="5">
        <f t="shared" si="127"/>
        <v>0.73595641387633859</v>
      </c>
      <c r="CP90" s="5">
        <f t="shared" si="128"/>
        <v>0.7323175464331303</v>
      </c>
      <c r="CQ90" s="5">
        <f t="shared" si="129"/>
        <v>0</v>
      </c>
      <c r="CR90" s="5">
        <f t="shared" si="130"/>
        <v>2.3088079789496434</v>
      </c>
      <c r="CS90" s="5">
        <f t="shared" si="131"/>
        <v>0.49725308974858501</v>
      </c>
      <c r="CT90" s="5">
        <f t="shared" si="132"/>
        <v>1.9293350290076969</v>
      </c>
      <c r="CU90" s="7">
        <f t="shared" si="151"/>
        <v>6.8849304400058262</v>
      </c>
      <c r="CV90">
        <f t="shared" si="133"/>
        <v>1.0000000000000001E-5</v>
      </c>
      <c r="CW90">
        <f t="shared" si="134"/>
        <v>6.8849304400058262</v>
      </c>
      <c r="CX90">
        <f>VLOOKUP(R90,'[1]Coefficient Normal'!$A$10:$P$14,16,TRUE)</f>
        <v>0.43780000000000002</v>
      </c>
      <c r="CY90">
        <f t="shared" si="135"/>
        <v>0.01</v>
      </c>
      <c r="CZ90">
        <f t="shared" si="136"/>
        <v>0.43780000000000002</v>
      </c>
      <c r="DA90">
        <v>0.3</v>
      </c>
      <c r="DB90">
        <v>0.3</v>
      </c>
      <c r="DC90">
        <v>0.3</v>
      </c>
    </row>
    <row r="91" spans="1:107" x14ac:dyDescent="0.25">
      <c r="A91">
        <v>64</v>
      </c>
      <c r="B91">
        <v>2</v>
      </c>
      <c r="C91" t="str">
        <f t="shared" si="114"/>
        <v>Normal</v>
      </c>
      <c r="D91">
        <v>0.89600000000000002</v>
      </c>
      <c r="E91">
        <f t="shared" si="137"/>
        <v>896</v>
      </c>
      <c r="F91">
        <v>9.5250000000000005E-3</v>
      </c>
      <c r="G91">
        <f t="shared" si="137"/>
        <v>9.5250000000000004</v>
      </c>
      <c r="H91" s="3">
        <f t="shared" si="138"/>
        <v>94.068241469816272</v>
      </c>
      <c r="I91" s="1">
        <v>300</v>
      </c>
      <c r="J91" s="4" t="s">
        <v>70</v>
      </c>
      <c r="K91" s="1">
        <f t="shared" si="139"/>
        <v>8</v>
      </c>
      <c r="L91" s="1">
        <f t="shared" si="140"/>
        <v>10</v>
      </c>
      <c r="M91" s="1">
        <f t="shared" si="141"/>
        <v>359000</v>
      </c>
      <c r="N91" s="1">
        <f t="shared" si="142"/>
        <v>455000</v>
      </c>
      <c r="O91" s="1">
        <f t="shared" si="143"/>
        <v>1.9969902892117808</v>
      </c>
      <c r="P91" s="3">
        <f>100*IF(J91='[1]Estimation Model Normal-Slip'!$J$8,'[1]Estimation Model Normal-Slip'!$O$8,IF(J91='[1]Estimation Model Normal-Slip'!$J$9,'[1]Estimation Model Normal-Slip'!$O$9,IF(J91='[1]Estimation Model Normal-Slip'!$J$10,'[1]Estimation Model Normal-Slip'!$O$10,IF(J91='[1]Estimation Model Normal-Slip'!$J$11,'[1]Estimation Model Normal-Slip'!$O$11,IF(J91='[1]Estimation Model Normal-Slip'!$J$12,'[1]Estimation Model Normal-Slip'!$O$12,IF(J91='[1]Estimation Model Normal-Slip'!$J$13,'[1]Estimation Model Normal-Slip'!$O$13,2))))))</f>
        <v>1.9041242414694344</v>
      </c>
      <c r="Q91" s="1">
        <f t="shared" si="144"/>
        <v>0.69164119173371341</v>
      </c>
      <c r="R91" s="1">
        <v>90</v>
      </c>
      <c r="S91" s="1" t="s">
        <v>71</v>
      </c>
      <c r="T91" t="s">
        <v>72</v>
      </c>
      <c r="U91">
        <f t="shared" si="145"/>
        <v>17.5</v>
      </c>
      <c r="V91" s="1">
        <f t="shared" si="146"/>
        <v>0</v>
      </c>
      <c r="W91">
        <f t="shared" si="147"/>
        <v>37.5</v>
      </c>
      <c r="X91">
        <f t="shared" si="148"/>
        <v>1.1000000000000001</v>
      </c>
      <c r="Y91">
        <v>0.9</v>
      </c>
      <c r="Z91" s="1">
        <v>2.5</v>
      </c>
      <c r="AA91" s="1">
        <f t="shared" si="115"/>
        <v>2.7901785714285712</v>
      </c>
      <c r="AB91">
        <f t="shared" si="149"/>
        <v>116.11326447667876</v>
      </c>
      <c r="AE91">
        <f>IF(T91="medium dense",'[1]Coefficient Normal'!$E$18 + ('[1]Coefficient Normal'!$E$19*AA91) + ('[1]Coefficient Normal'!$E$20*(AA91^2)) + ('[1]Coefficient Normal'!$E$21*(AA91^3)) + ('[1]Coefficient Normal'!$E$22*(AA91^4)),IF(T91="dense",'[1]Coefficient Normal'!$F$18 + ('[1]Coefficient Normal'!$F$19*AA91) + ('[1]Coefficient Normal'!$F$20*(AA91^2)) + ('[1]Coefficient Normal'!$F$21*(AA91^3)) + ('[1]Coefficient Normal'!$F$22*(AA91^4)),IF(T91="very dense",'[1]Coefficient Normal'!$G$18 + ('[1]Coefficient Normal'!$G$19*AA91) + ('[1]Coefficient Normal'!$G$20*(AA91^2)) + ('[1]Coefficient Normal'!$G$21*(AA91^3)) + ('[1]Coefficient Normal'!$G$22*(AA91^4)),0)))</f>
        <v>0</v>
      </c>
      <c r="AF91">
        <f t="shared" si="116"/>
        <v>0</v>
      </c>
      <c r="AG91">
        <f t="shared" si="117"/>
        <v>172.70400000000001</v>
      </c>
      <c r="AH91">
        <f t="shared" si="150"/>
        <v>5.1515791464362319</v>
      </c>
      <c r="AI91">
        <f t="shared" si="118"/>
        <v>4.5440204919621658</v>
      </c>
      <c r="AJ91">
        <f t="shared" si="119"/>
        <v>4.7545661326228839</v>
      </c>
      <c r="AK91" s="1">
        <v>2.699997304</v>
      </c>
      <c r="AL91" s="5">
        <f>VLOOKUP(R91,'[1]Coefficient Normal'!$A$3:$H$7,2,TRUE)</f>
        <v>14.575100000000001</v>
      </c>
      <c r="AM91" s="5">
        <f>VLOOKUP(R91,'[1]Coefficient Normal'!$A$3:$H$7,3,TRUE)</f>
        <v>0.1356</v>
      </c>
      <c r="AN91" s="5">
        <f>VLOOKUP(R91,'[1]Coefficient Normal'!$A$3:$H$7,4,TRUE)</f>
        <v>2.9990000000000001</v>
      </c>
      <c r="AO91" s="5">
        <f>VLOOKUP(R91,'[1]Coefficient Normal'!$A$3:$H$7,5,TRUE)</f>
        <v>-0.94710000000000005</v>
      </c>
      <c r="AP91" s="5">
        <f>VLOOKUP(R91,'[1]Coefficient Normal'!$A$3:$H$7,6,TRUE)</f>
        <v>0.6603</v>
      </c>
      <c r="AQ91" s="5">
        <f>VLOOKUP(R91,'[1]Coefficient Normal'!$A$3:$H$7,7,TRUE)</f>
        <v>-1.2488999999999999</v>
      </c>
      <c r="AR91" s="5">
        <f>VLOOKUP(R91,'[1]Coefficient Normal'!$A$3:$H$7,8,TRUE)</f>
        <v>-0.44140000000000001</v>
      </c>
      <c r="AS91" s="5"/>
      <c r="AT91" s="5"/>
      <c r="AU91" s="5"/>
      <c r="AV91" s="5"/>
      <c r="AW91" s="5"/>
      <c r="AY91" s="5">
        <f t="shared" si="120"/>
        <v>2.6397743044482214</v>
      </c>
      <c r="BC91" s="5">
        <f>VLOOKUP(R91,'[1]Coefficient Normal'!$A$10:$P$14,2,TRUE)</f>
        <v>5.1353999999999997</v>
      </c>
      <c r="BD91" s="5">
        <f>VLOOKUP(R91,'[1]Coefficient Normal'!$A$10:$P$14,3,TRUE)</f>
        <v>-4.9599999999999998E-2</v>
      </c>
      <c r="BE91" s="5">
        <f>VLOOKUP(R91,'[1]Coefficient Normal'!$A$10:$P$14,4,TRUE)</f>
        <v>0.44590000000000002</v>
      </c>
      <c r="BF91" s="5">
        <f>VLOOKUP(R91,'[1]Coefficient Normal'!$A$10:$P$14,5,TRUE)</f>
        <v>-0.83709999999999996</v>
      </c>
      <c r="BG91" s="5">
        <f>VLOOKUP(R91,'[1]Coefficient Normal'!$A$10:$P$14,6,TRUE)</f>
        <v>0.63090000000000002</v>
      </c>
      <c r="BH91" s="5">
        <f>VLOOKUP(R91,'[1]Coefficient Normal'!$A$10:$P$14,7,TRUE)</f>
        <v>0.91390000000000005</v>
      </c>
      <c r="BI91" s="5">
        <f>VLOOKUP(R91,'[1]Coefficient Normal'!$A$10:$P$14,8,TRUE)</f>
        <v>2.5000000000000001E-3</v>
      </c>
      <c r="BJ91" s="5">
        <f>VLOOKUP(R91,'[1]Coefficient Normal'!$A$10:$P$14,9,TRUE)</f>
        <v>1.6000000000000001E-3</v>
      </c>
      <c r="BK91" s="5">
        <f>VLOOKUP(R91,'[1]Coefficient Normal'!$A$10:$P$14,10,TRUE)</f>
        <v>-9.7500000000000003E-2</v>
      </c>
      <c r="BL91" s="5">
        <f>VLOOKUP(R91,'[1]Coefficient Normal'!$A$10:$P$14,11,TRUE)</f>
        <v>1.1999999999999999E-3</v>
      </c>
      <c r="BM91" s="5">
        <f>VLOOKUP(R91,'[1]Coefficient Normal'!$A$10:$P$14,12,TRUE)</f>
        <v>0.46479999999999999</v>
      </c>
      <c r="BN91" s="5">
        <f>VLOOKUP(R91,'[1]Coefficient Normal'!$A$10:$P$14,13,TRUE)</f>
        <v>8.0000000000000004E-4</v>
      </c>
      <c r="BO91" s="5">
        <f>VLOOKUP(R91,'[1]Coefficient Normal'!$A$10:$P$14,14,TRUE)</f>
        <v>6.7900000000000002E-2</v>
      </c>
      <c r="BP91" s="5">
        <f>VLOOKUP(R91,'[1]Coefficient Normal'!$A$10:$P$14,15,TRUE)</f>
        <v>0.58979999999999999</v>
      </c>
      <c r="BQ91" s="5"/>
      <c r="BR91" s="5"/>
      <c r="BS91" s="5"/>
      <c r="BT91" s="5"/>
      <c r="BU91" s="5"/>
      <c r="BV91" s="5"/>
      <c r="BW91" s="5"/>
      <c r="BX91" s="5"/>
      <c r="BY91" s="5"/>
      <c r="CB91" s="6">
        <f t="shared" si="121"/>
        <v>0</v>
      </c>
      <c r="CC91" s="6">
        <f t="shared" si="122"/>
        <v>1</v>
      </c>
      <c r="CD91" s="6">
        <f t="shared" si="123"/>
        <v>0</v>
      </c>
      <c r="CE91" s="5">
        <f t="shared" si="124"/>
        <v>1.2195650509554765</v>
      </c>
      <c r="CG91">
        <f t="shared" si="125"/>
        <v>0.99325077449126642</v>
      </c>
      <c r="CN91" s="5">
        <f t="shared" si="126"/>
        <v>-1.6465235299569549</v>
      </c>
      <c r="CO91" s="5">
        <f t="shared" si="127"/>
        <v>-2.0080425527113448</v>
      </c>
      <c r="CP91" s="5">
        <f t="shared" si="128"/>
        <v>-0.22538341640132342</v>
      </c>
      <c r="CQ91" s="5">
        <f t="shared" si="129"/>
        <v>0</v>
      </c>
      <c r="CR91" s="5">
        <f t="shared" si="130"/>
        <v>-4.3123869034817695</v>
      </c>
      <c r="CS91" s="5">
        <f t="shared" si="131"/>
        <v>-6.928219896394662E-2</v>
      </c>
      <c r="CT91" s="5">
        <f t="shared" si="132"/>
        <v>-1.4796950715583848</v>
      </c>
      <c r="CU91" s="7">
        <f t="shared" si="151"/>
        <v>0.22770711217349057</v>
      </c>
      <c r="CV91">
        <f t="shared" si="133"/>
        <v>1.0000000000000001E-5</v>
      </c>
      <c r="CW91">
        <f t="shared" si="134"/>
        <v>0.22770711217349057</v>
      </c>
      <c r="CX91">
        <f>VLOOKUP(R91,'[1]Coefficient Normal'!$A$10:$P$14,16,TRUE)</f>
        <v>0.34749999999999998</v>
      </c>
      <c r="CY91">
        <f t="shared" si="135"/>
        <v>0.01</v>
      </c>
      <c r="CZ91">
        <f t="shared" si="136"/>
        <v>0.34749999999999998</v>
      </c>
      <c r="DA91">
        <v>0.3</v>
      </c>
      <c r="DB91">
        <v>0.3</v>
      </c>
      <c r="DC91">
        <v>0.3</v>
      </c>
    </row>
    <row r="92" spans="1:107" x14ac:dyDescent="0.25">
      <c r="A92">
        <v>65</v>
      </c>
      <c r="B92">
        <v>1</v>
      </c>
      <c r="C92" t="str">
        <f t="shared" si="114"/>
        <v>Normal</v>
      </c>
      <c r="D92">
        <v>0.5</v>
      </c>
      <c r="E92">
        <f t="shared" si="137"/>
        <v>500</v>
      </c>
      <c r="F92">
        <v>9.5250000000000005E-3</v>
      </c>
      <c r="G92">
        <f t="shared" si="137"/>
        <v>9.5250000000000004</v>
      </c>
      <c r="H92" s="3">
        <f t="shared" si="138"/>
        <v>52.493438320209975</v>
      </c>
      <c r="I92" s="1">
        <v>30</v>
      </c>
      <c r="J92" s="4" t="s">
        <v>75</v>
      </c>
      <c r="K92" s="1">
        <f t="shared" si="139"/>
        <v>14</v>
      </c>
      <c r="L92" s="1">
        <f t="shared" si="140"/>
        <v>15</v>
      </c>
      <c r="M92" s="1">
        <f t="shared" si="141"/>
        <v>483000</v>
      </c>
      <c r="N92" s="1">
        <f t="shared" si="142"/>
        <v>565000</v>
      </c>
      <c r="O92" s="1">
        <f t="shared" si="143"/>
        <v>2.8799444073326219</v>
      </c>
      <c r="P92" s="3">
        <f>100*IF(J92='[1]Estimation Model Normal-Slip'!$J$8,'[1]Estimation Model Normal-Slip'!$O$8,IF(J92='[1]Estimation Model Normal-Slip'!$J$9,'[1]Estimation Model Normal-Slip'!$O$9,IF(J92='[1]Estimation Model Normal-Slip'!$J$10,'[1]Estimation Model Normal-Slip'!$O$10,IF(J92='[1]Estimation Model Normal-Slip'!$J$11,'[1]Estimation Model Normal-Slip'!$O$11,IF(J92='[1]Estimation Model Normal-Slip'!$J$12,'[1]Estimation Model Normal-Slip'!$O$12,IF(J92='[1]Estimation Model Normal-Slip'!$J$13,'[1]Estimation Model Normal-Slip'!$O$13,2))))))</f>
        <v>2.7690517990613435</v>
      </c>
      <c r="Q92" s="1">
        <f t="shared" si="144"/>
        <v>1.0577709909520427</v>
      </c>
      <c r="R92" s="1">
        <v>45</v>
      </c>
      <c r="S92" s="1" t="s">
        <v>71</v>
      </c>
      <c r="T92" t="s">
        <v>74</v>
      </c>
      <c r="U92">
        <f t="shared" si="145"/>
        <v>18</v>
      </c>
      <c r="V92" s="1">
        <f t="shared" si="146"/>
        <v>0</v>
      </c>
      <c r="W92">
        <f t="shared" si="147"/>
        <v>75</v>
      </c>
      <c r="X92">
        <f t="shared" si="148"/>
        <v>0.72</v>
      </c>
      <c r="Y92">
        <v>0.9</v>
      </c>
      <c r="Z92" s="1">
        <v>1</v>
      </c>
      <c r="AA92" s="1">
        <f t="shared" si="115"/>
        <v>2</v>
      </c>
      <c r="AB92">
        <f t="shared" si="149"/>
        <v>84.823001646924411</v>
      </c>
      <c r="AE92">
        <f>IF(T92="medium dense",'[1]Coefficient Normal'!$E$18 + ('[1]Coefficient Normal'!$E$19*AA92) + ('[1]Coefficient Normal'!$E$20*(AA92^2)) + ('[1]Coefficient Normal'!$E$21*(AA92^3)) + ('[1]Coefficient Normal'!$E$22*(AA92^4)),IF(T92="dense",'[1]Coefficient Normal'!$F$18 + ('[1]Coefficient Normal'!$F$19*AA92) + ('[1]Coefficient Normal'!$F$20*(AA92^2)) + ('[1]Coefficient Normal'!$F$21*(AA92^3)) + ('[1]Coefficient Normal'!$F$22*(AA92^4)),IF(T92="very dense",'[1]Coefficient Normal'!$G$18 + ('[1]Coefficient Normal'!$G$19*AA92) + ('[1]Coefficient Normal'!$G$20*(AA92^2)) + ('[1]Coefficient Normal'!$G$21*(AA92^3)) + ('[1]Coefficient Normal'!$G$22*(AA92^4)),0)))</f>
        <v>0</v>
      </c>
      <c r="AF92">
        <f t="shared" si="116"/>
        <v>0</v>
      </c>
      <c r="AG92">
        <f t="shared" si="117"/>
        <v>192.75</v>
      </c>
      <c r="AH92">
        <f t="shared" si="150"/>
        <v>5.2613940124434393</v>
      </c>
      <c r="AI92">
        <f t="shared" si="118"/>
        <v>3.9606881774094269</v>
      </c>
      <c r="AJ92">
        <f t="shared" si="119"/>
        <v>4.4405667518537291</v>
      </c>
      <c r="AK92" s="1">
        <v>2.8500987279999999</v>
      </c>
      <c r="AL92" s="5">
        <f>VLOOKUP(R92,'[1]Coefficient Normal'!$A$3:$H$7,2,TRUE)</f>
        <v>3.7532999999999999</v>
      </c>
      <c r="AM92" s="5">
        <f>VLOOKUP(R92,'[1]Coefficient Normal'!$A$3:$H$7,3,TRUE)</f>
        <v>0.14510000000000001</v>
      </c>
      <c r="AN92" s="5">
        <f>VLOOKUP(R92,'[1]Coefficient Normal'!$A$3:$H$7,4,TRUE)</f>
        <v>1.2497</v>
      </c>
      <c r="AO92" s="5">
        <f>VLOOKUP(R92,'[1]Coefficient Normal'!$A$3:$H$7,5,TRUE)</f>
        <v>-0.46100000000000002</v>
      </c>
      <c r="AP92" s="5">
        <f>VLOOKUP(R92,'[1]Coefficient Normal'!$A$3:$H$7,6,TRUE)</f>
        <v>0.39140000000000003</v>
      </c>
      <c r="AQ92" s="5">
        <f>VLOOKUP(R92,'[1]Coefficient Normal'!$A$3:$H$7,7,TRUE)</f>
        <v>-0.21310000000000001</v>
      </c>
      <c r="AR92" s="5">
        <f>VLOOKUP(R92,'[1]Coefficient Normal'!$A$3:$H$7,8,TRUE)</f>
        <v>-0.34139999999999998</v>
      </c>
      <c r="AS92" s="5"/>
      <c r="AT92" s="5"/>
      <c r="AU92" s="5"/>
      <c r="AV92" s="5"/>
      <c r="AW92" s="5"/>
      <c r="AY92" s="5">
        <f t="shared" si="120"/>
        <v>-0.66849052852826096</v>
      </c>
      <c r="BC92" s="5">
        <f>VLOOKUP(R92,'[1]Coefficient Normal'!$A$10:$P$14,2,TRUE)</f>
        <v>-1.1082000000000001</v>
      </c>
      <c r="BD92" s="5">
        <f>VLOOKUP(R92,'[1]Coefficient Normal'!$A$10:$P$14,3,TRUE)</f>
        <v>0.10630000000000001</v>
      </c>
      <c r="BE92" s="5">
        <f>VLOOKUP(R92,'[1]Coefficient Normal'!$A$10:$P$14,4,TRUE)</f>
        <v>-0.1439</v>
      </c>
      <c r="BF92" s="5">
        <f>VLOOKUP(R92,'[1]Coefficient Normal'!$A$10:$P$14,5,TRUE)</f>
        <v>0.27879999999999999</v>
      </c>
      <c r="BG92" s="5">
        <f>VLOOKUP(R92,'[1]Coefficient Normal'!$A$10:$P$14,6,TRUE)</f>
        <v>-0.31030000000000002</v>
      </c>
      <c r="BH92" s="5">
        <f>VLOOKUP(R92,'[1]Coefficient Normal'!$A$10:$P$14,7,TRUE)</f>
        <v>1.2553000000000001</v>
      </c>
      <c r="BI92" s="5">
        <f>VLOOKUP(R92,'[1]Coefficient Normal'!$A$10:$P$14,8,TRUE)</f>
        <v>2.9999999999999997E-4</v>
      </c>
      <c r="BJ92" s="5">
        <f>VLOOKUP(R92,'[1]Coefficient Normal'!$A$10:$P$14,9,TRUE)</f>
        <v>5.1999999999999998E-3</v>
      </c>
      <c r="BK92" s="5">
        <f>VLOOKUP(R92,'[1]Coefficient Normal'!$A$10:$P$14,10,TRUE)</f>
        <v>-8.5900000000000004E-2</v>
      </c>
      <c r="BL92" s="5">
        <f>VLOOKUP(R92,'[1]Coefficient Normal'!$A$10:$P$14,11,TRUE)</f>
        <v>5.9999999999999995E-4</v>
      </c>
      <c r="BM92" s="5">
        <f>VLOOKUP(R92,'[1]Coefficient Normal'!$A$10:$P$14,12,TRUE)</f>
        <v>-0.21759999999999999</v>
      </c>
      <c r="BN92" s="5">
        <f>VLOOKUP(R92,'[1]Coefficient Normal'!$A$10:$P$14,13,TRUE)</f>
        <v>-2.69E-2</v>
      </c>
      <c r="BO92" s="5">
        <f>VLOOKUP(R92,'[1]Coefficient Normal'!$A$10:$P$14,14,TRUE)</f>
        <v>0.57389999999999997</v>
      </c>
      <c r="BP92" s="5">
        <f>VLOOKUP(R92,'[1]Coefficient Normal'!$A$10:$P$14,15,TRUE)</f>
        <v>0.34460000000000002</v>
      </c>
      <c r="BQ92" s="5"/>
      <c r="BR92" s="5"/>
      <c r="BS92" s="5"/>
      <c r="BT92" s="5"/>
      <c r="BU92" s="5"/>
      <c r="BV92" s="5"/>
      <c r="BW92" s="5"/>
      <c r="BX92" s="5"/>
      <c r="BY92" s="5"/>
      <c r="CB92" s="6">
        <f t="shared" si="121"/>
        <v>0</v>
      </c>
      <c r="CC92" s="6">
        <f t="shared" si="122"/>
        <v>0</v>
      </c>
      <c r="CD92" s="6">
        <f t="shared" si="123"/>
        <v>1</v>
      </c>
      <c r="CE92" s="5">
        <f t="shared" si="124"/>
        <v>2.0299078834820738</v>
      </c>
      <c r="CG92">
        <f t="shared" si="125"/>
        <v>1.0473536350840684</v>
      </c>
      <c r="CN92" s="5">
        <f t="shared" si="126"/>
        <v>1.7158441636123294</v>
      </c>
      <c r="CO92" s="5">
        <f t="shared" si="127"/>
        <v>3.4830055945433727</v>
      </c>
      <c r="CP92" s="5">
        <f t="shared" si="128"/>
        <v>0.42102115325862211</v>
      </c>
      <c r="CQ92" s="5">
        <f t="shared" si="129"/>
        <v>0</v>
      </c>
      <c r="CR92" s="5">
        <f t="shared" si="130"/>
        <v>1.4668766506692308</v>
      </c>
      <c r="CS92" s="5">
        <f t="shared" si="131"/>
        <v>0.21508357012775103</v>
      </c>
      <c r="CT92" s="5">
        <f t="shared" si="132"/>
        <v>4.4777869685989762</v>
      </c>
      <c r="CU92" s="7">
        <f t="shared" si="151"/>
        <v>88.03962248006998</v>
      </c>
      <c r="CV92">
        <f t="shared" si="133"/>
        <v>1.0000000000000001E-5</v>
      </c>
      <c r="CW92">
        <f t="shared" si="134"/>
        <v>88.03962248006998</v>
      </c>
      <c r="CX92">
        <f>VLOOKUP(R92,'[1]Coefficient Normal'!$A$10:$P$14,16,TRUE)</f>
        <v>0.3997</v>
      </c>
      <c r="CY92">
        <f t="shared" si="135"/>
        <v>0.01</v>
      </c>
      <c r="CZ92">
        <f t="shared" si="136"/>
        <v>0.3997</v>
      </c>
      <c r="DA92">
        <v>0.3</v>
      </c>
      <c r="DB92">
        <v>0.3</v>
      </c>
      <c r="DC92">
        <v>0.3</v>
      </c>
    </row>
    <row r="93" spans="1:107" x14ac:dyDescent="0.25">
      <c r="A93">
        <v>66</v>
      </c>
      <c r="B93">
        <v>1</v>
      </c>
      <c r="C93" t="str">
        <f t="shared" si="114"/>
        <v>Normal</v>
      </c>
      <c r="D93">
        <v>1.0668</v>
      </c>
      <c r="E93">
        <f t="shared" si="137"/>
        <v>1066.8</v>
      </c>
      <c r="F93">
        <v>9.5250000000000005E-3</v>
      </c>
      <c r="G93">
        <f t="shared" si="137"/>
        <v>9.5250000000000004</v>
      </c>
      <c r="H93" s="3">
        <f t="shared" si="138"/>
        <v>111.99999999999999</v>
      </c>
      <c r="I93" s="1">
        <v>50</v>
      </c>
      <c r="J93" s="4" t="s">
        <v>77</v>
      </c>
      <c r="K93" s="1">
        <f t="shared" si="139"/>
        <v>15</v>
      </c>
      <c r="L93" s="1">
        <f t="shared" si="140"/>
        <v>20</v>
      </c>
      <c r="M93" s="1">
        <f t="shared" si="141"/>
        <v>552000</v>
      </c>
      <c r="N93" s="1">
        <f t="shared" si="142"/>
        <v>625000</v>
      </c>
      <c r="O93" s="1">
        <f t="shared" si="143"/>
        <v>2.9888368774026359</v>
      </c>
      <c r="P93" s="3">
        <f>100*IF(J93='[1]Estimation Model Normal-Slip'!$J$8,'[1]Estimation Model Normal-Slip'!$O$8,IF(J93='[1]Estimation Model Normal-Slip'!$J$9,'[1]Estimation Model Normal-Slip'!$O$9,IF(J93='[1]Estimation Model Normal-Slip'!$J$10,'[1]Estimation Model Normal-Slip'!$O$10,IF(J93='[1]Estimation Model Normal-Slip'!$J$11,'[1]Estimation Model Normal-Slip'!$O$11,IF(J93='[1]Estimation Model Normal-Slip'!$J$12,'[1]Estimation Model Normal-Slip'!$O$12,IF(J93='[1]Estimation Model Normal-Slip'!$J$13,'[1]Estimation Model Normal-Slip'!$O$13,2))))))</f>
        <v>2.8464933991254466</v>
      </c>
      <c r="Q93" s="1">
        <f t="shared" si="144"/>
        <v>1.0948843075076633</v>
      </c>
      <c r="R93" s="1">
        <v>60</v>
      </c>
      <c r="S93" s="1" t="s">
        <v>71</v>
      </c>
      <c r="T93" t="s">
        <v>76</v>
      </c>
      <c r="U93">
        <f t="shared" si="145"/>
        <v>18.5</v>
      </c>
      <c r="V93" s="1">
        <f t="shared" si="146"/>
        <v>0</v>
      </c>
      <c r="W93">
        <f t="shared" si="147"/>
        <v>125</v>
      </c>
      <c r="X93">
        <f t="shared" si="148"/>
        <v>0.4</v>
      </c>
      <c r="Y93">
        <v>0.9</v>
      </c>
      <c r="Z93" s="1">
        <v>1.2</v>
      </c>
      <c r="AA93" s="1">
        <f t="shared" si="115"/>
        <v>1.8</v>
      </c>
      <c r="AB93">
        <f t="shared" si="149"/>
        <v>167.57255214247957</v>
      </c>
      <c r="AE93">
        <f>IF(T93="medium dense",'[1]Coefficient Normal'!$E$18 + ('[1]Coefficient Normal'!$E$19*AA93) + ('[1]Coefficient Normal'!$E$20*(AA93^2)) + ('[1]Coefficient Normal'!$E$21*(AA93^3)) + ('[1]Coefficient Normal'!$E$22*(AA93^4)),IF(T93="dense",'[1]Coefficient Normal'!$F$18 + ('[1]Coefficient Normal'!$F$19*AA93) + ('[1]Coefficient Normal'!$F$20*(AA93^2)) + ('[1]Coefficient Normal'!$F$21*(AA93^3)) + ('[1]Coefficient Normal'!$F$22*(AA93^4)),IF(T93="very dense",'[1]Coefficient Normal'!$G$18 + ('[1]Coefficient Normal'!$G$19*AA93) + ('[1]Coefficient Normal'!$G$20*(AA93^2)) + ('[1]Coefficient Normal'!$G$21*(AA93^3)) + ('[1]Coefficient Normal'!$G$22*(AA93^4)),0)))</f>
        <v>0</v>
      </c>
      <c r="AF93">
        <f t="shared" si="116"/>
        <v>0</v>
      </c>
      <c r="AG93">
        <f t="shared" si="117"/>
        <v>685.41899999999998</v>
      </c>
      <c r="AH93">
        <f t="shared" si="150"/>
        <v>6.530030330095097</v>
      </c>
      <c r="AI93">
        <f t="shared" si="118"/>
        <v>4.7184988712950942</v>
      </c>
      <c r="AJ93">
        <f t="shared" si="119"/>
        <v>5.1214164046032682</v>
      </c>
      <c r="AK93" s="1">
        <v>3.0002260330000001</v>
      </c>
      <c r="AL93" s="5">
        <f>VLOOKUP(R93,'[1]Coefficient Normal'!$A$3:$H$7,2,TRUE)</f>
        <v>4.3182999999999998</v>
      </c>
      <c r="AM93" s="5">
        <f>VLOOKUP(R93,'[1]Coefficient Normal'!$A$3:$H$7,3,TRUE)</f>
        <v>-2.7900000000000001E-2</v>
      </c>
      <c r="AN93" s="5">
        <f>VLOOKUP(R93,'[1]Coefficient Normal'!$A$3:$H$7,4,TRUE)</f>
        <v>1.0497000000000001</v>
      </c>
      <c r="AO93" s="5">
        <f>VLOOKUP(R93,'[1]Coefficient Normal'!$A$3:$H$7,5,TRUE)</f>
        <v>-0.46910000000000002</v>
      </c>
      <c r="AP93" s="5">
        <f>VLOOKUP(R93,'[1]Coefficient Normal'!$A$3:$H$7,6,TRUE)</f>
        <v>0.29149999999999998</v>
      </c>
      <c r="AQ93" s="5">
        <f>VLOOKUP(R93,'[1]Coefficient Normal'!$A$3:$H$7,7,TRUE)</f>
        <v>-0.28610000000000002</v>
      </c>
      <c r="AR93" s="5">
        <f>VLOOKUP(R93,'[1]Coefficient Normal'!$A$3:$H$7,8,TRUE)</f>
        <v>-0.1348</v>
      </c>
      <c r="AS93" s="5"/>
      <c r="AT93" s="5"/>
      <c r="AU93" s="5"/>
      <c r="AV93" s="5"/>
      <c r="AW93" s="5"/>
      <c r="AY93" s="5">
        <f t="shared" si="120"/>
        <v>-0.17586580558020715</v>
      </c>
      <c r="BC93" s="5">
        <f>VLOOKUP(R93,'[1]Coefficient Normal'!$A$10:$P$14,2,TRUE)</f>
        <v>-2.1276999999999999</v>
      </c>
      <c r="BD93" s="5">
        <f>VLOOKUP(R93,'[1]Coefficient Normal'!$A$10:$P$14,3,TRUE)</f>
        <v>0.14760000000000001</v>
      </c>
      <c r="BE93" s="5">
        <f>VLOOKUP(R93,'[1]Coefficient Normal'!$A$10:$P$14,4,TRUE)</f>
        <v>-0.21829999999999999</v>
      </c>
      <c r="BF93" s="5">
        <f>VLOOKUP(R93,'[1]Coefficient Normal'!$A$10:$P$14,5,TRUE)</f>
        <v>0.42270000000000002</v>
      </c>
      <c r="BG93" s="5">
        <f>VLOOKUP(R93,'[1]Coefficient Normal'!$A$10:$P$14,6,TRUE)</f>
        <v>-0.53720000000000001</v>
      </c>
      <c r="BH93" s="5">
        <f>VLOOKUP(R93,'[1]Coefficient Normal'!$A$10:$P$14,7,TRUE)</f>
        <v>1.252</v>
      </c>
      <c r="BI93" s="5">
        <f>VLOOKUP(R93,'[1]Coefficient Normal'!$A$10:$P$14,8,TRUE)</f>
        <v>-5.9999999999999995E-4</v>
      </c>
      <c r="BJ93" s="5">
        <f>VLOOKUP(R93,'[1]Coefficient Normal'!$A$10:$P$14,9,TRUE)</f>
        <v>5.3E-3</v>
      </c>
      <c r="BK93" s="5">
        <f>VLOOKUP(R93,'[1]Coefficient Normal'!$A$10:$P$14,10,TRUE)</f>
        <v>-4.8500000000000001E-2</v>
      </c>
      <c r="BL93" s="5">
        <f>VLOOKUP(R93,'[1]Coefficient Normal'!$A$10:$P$14,11,TRUE)</f>
        <v>1.2999999999999999E-3</v>
      </c>
      <c r="BM93" s="5">
        <f>VLOOKUP(R93,'[1]Coefficient Normal'!$A$10:$P$14,12,TRUE)</f>
        <v>-0.56599999999999995</v>
      </c>
      <c r="BN93" s="5">
        <f>VLOOKUP(R93,'[1]Coefficient Normal'!$A$10:$P$14,13,TRUE)</f>
        <v>-3.2099999999999997E-2</v>
      </c>
      <c r="BO93" s="5">
        <f>VLOOKUP(R93,'[1]Coefficient Normal'!$A$10:$P$14,14,TRUE)</f>
        <v>0.84970000000000001</v>
      </c>
      <c r="BP93" s="5">
        <f>VLOOKUP(R93,'[1]Coefficient Normal'!$A$10:$P$14,15,TRUE)</f>
        <v>9.01E-2</v>
      </c>
      <c r="BQ93" s="5"/>
      <c r="BR93" s="5"/>
      <c r="BS93" s="5"/>
      <c r="BT93" s="5"/>
      <c r="BU93" s="5"/>
      <c r="BV93" s="5"/>
      <c r="BW93" s="5"/>
      <c r="BX93" s="5"/>
      <c r="BY93" s="5"/>
      <c r="CB93" s="6">
        <f t="shared" si="121"/>
        <v>0</v>
      </c>
      <c r="CC93" s="6">
        <f t="shared" si="122"/>
        <v>0</v>
      </c>
      <c r="CD93" s="6">
        <f t="shared" si="123"/>
        <v>1</v>
      </c>
      <c r="CE93" s="5">
        <f t="shared" si="124"/>
        <v>1.1376490761064402</v>
      </c>
      <c r="CG93">
        <f t="shared" si="125"/>
        <v>1.0986876301632014</v>
      </c>
      <c r="CN93" s="5">
        <f t="shared" si="126"/>
        <v>1.2745534357434085</v>
      </c>
      <c r="CO93" s="5">
        <f t="shared" si="127"/>
        <v>1.4499945386217779</v>
      </c>
      <c r="CP93" s="5">
        <f t="shared" si="128"/>
        <v>0.69645043340315593</v>
      </c>
      <c r="CQ93" s="5">
        <f t="shared" si="129"/>
        <v>0</v>
      </c>
      <c r="CR93" s="5">
        <f t="shared" si="130"/>
        <v>2.7602438205311977</v>
      </c>
      <c r="CS93" s="5">
        <f t="shared" si="131"/>
        <v>-3.4737239358577927E-2</v>
      </c>
      <c r="CT93" s="5">
        <f t="shared" si="132"/>
        <v>2.7442515531975533</v>
      </c>
      <c r="CU93" s="7">
        <f t="shared" si="151"/>
        <v>15.552969005003565</v>
      </c>
      <c r="CV93">
        <f t="shared" si="133"/>
        <v>1.0000000000000001E-5</v>
      </c>
      <c r="CW93">
        <f t="shared" si="134"/>
        <v>15.552969005003565</v>
      </c>
      <c r="CX93">
        <f>VLOOKUP(R93,'[1]Coefficient Normal'!$A$10:$P$14,16,TRUE)</f>
        <v>0.50170000000000003</v>
      </c>
      <c r="CY93">
        <f t="shared" si="135"/>
        <v>0.01</v>
      </c>
      <c r="CZ93">
        <f t="shared" si="136"/>
        <v>0.50170000000000003</v>
      </c>
      <c r="DA93">
        <v>0.3</v>
      </c>
      <c r="DB93">
        <v>0.3</v>
      </c>
      <c r="DC93">
        <v>0.3</v>
      </c>
    </row>
    <row r="94" spans="1:107" x14ac:dyDescent="0.25">
      <c r="A94">
        <v>67</v>
      </c>
      <c r="B94">
        <v>0</v>
      </c>
      <c r="C94" t="str">
        <f t="shared" si="114"/>
        <v>Normal</v>
      </c>
      <c r="D94">
        <v>0.60960000000000003</v>
      </c>
      <c r="E94">
        <f t="shared" si="137"/>
        <v>609.6</v>
      </c>
      <c r="F94">
        <v>9.5250000000000005E-3</v>
      </c>
      <c r="G94">
        <f t="shared" si="137"/>
        <v>9.5250000000000004</v>
      </c>
      <c r="H94" s="3">
        <f t="shared" si="138"/>
        <v>64</v>
      </c>
      <c r="I94" s="1">
        <v>100</v>
      </c>
      <c r="J94" s="4" t="s">
        <v>70</v>
      </c>
      <c r="K94" s="1">
        <f t="shared" si="139"/>
        <v>8</v>
      </c>
      <c r="L94" s="1">
        <f t="shared" si="140"/>
        <v>10</v>
      </c>
      <c r="M94" s="1">
        <f t="shared" si="141"/>
        <v>359000</v>
      </c>
      <c r="N94" s="1">
        <f t="shared" si="142"/>
        <v>455000</v>
      </c>
      <c r="O94" s="1">
        <f t="shared" si="143"/>
        <v>1.9969902892117808</v>
      </c>
      <c r="P94" s="3">
        <f>100*IF(J94='[1]Estimation Model Normal-Slip'!$J$8,'[1]Estimation Model Normal-Slip'!$O$8,IF(J94='[1]Estimation Model Normal-Slip'!$J$9,'[1]Estimation Model Normal-Slip'!$O$9,IF(J94='[1]Estimation Model Normal-Slip'!$J$10,'[1]Estimation Model Normal-Slip'!$O$10,IF(J94='[1]Estimation Model Normal-Slip'!$J$11,'[1]Estimation Model Normal-Slip'!$O$11,IF(J94='[1]Estimation Model Normal-Slip'!$J$12,'[1]Estimation Model Normal-Slip'!$O$12,IF(J94='[1]Estimation Model Normal-Slip'!$J$13,'[1]Estimation Model Normal-Slip'!$O$13,2))))))</f>
        <v>1.9041242414694344</v>
      </c>
      <c r="Q94" s="1">
        <f t="shared" si="144"/>
        <v>0.69164119173371341</v>
      </c>
      <c r="R94" s="1">
        <v>75</v>
      </c>
      <c r="S94" s="1" t="s">
        <v>71</v>
      </c>
      <c r="T94" t="s">
        <v>72</v>
      </c>
      <c r="U94">
        <f t="shared" si="145"/>
        <v>17.5</v>
      </c>
      <c r="V94" s="1">
        <f t="shared" si="146"/>
        <v>0</v>
      </c>
      <c r="W94">
        <f t="shared" si="147"/>
        <v>37.5</v>
      </c>
      <c r="X94">
        <f t="shared" si="148"/>
        <v>1.1000000000000001</v>
      </c>
      <c r="Y94">
        <v>0.9</v>
      </c>
      <c r="Z94" s="1">
        <v>0.78739999999999999</v>
      </c>
      <c r="AA94" s="1">
        <f t="shared" si="115"/>
        <v>1.8</v>
      </c>
      <c r="AB94">
        <f t="shared" si="149"/>
        <v>78.998488867168945</v>
      </c>
      <c r="AE94">
        <f>IF(T94="medium dense",'[1]Coefficient Normal'!$E$18 + ('[1]Coefficient Normal'!$E$19*AA94) + ('[1]Coefficient Normal'!$E$20*(AA94^2)) + ('[1]Coefficient Normal'!$E$21*(AA94^3)) + ('[1]Coefficient Normal'!$E$22*(AA94^4)),IF(T94="dense",'[1]Coefficient Normal'!$F$18 + ('[1]Coefficient Normal'!$F$19*AA94) + ('[1]Coefficient Normal'!$F$20*(AA94^2)) + ('[1]Coefficient Normal'!$F$21*(AA94^3)) + ('[1]Coefficient Normal'!$F$22*(AA94^4)),IF(T94="very dense",'[1]Coefficient Normal'!$G$18 + ('[1]Coefficient Normal'!$G$19*AA94) + ('[1]Coefficient Normal'!$G$20*(AA94^2)) + ('[1]Coefficient Normal'!$G$21*(AA94^3)) + ('[1]Coefficient Normal'!$G$22*(AA94^4)),0)))</f>
        <v>0</v>
      </c>
      <c r="AF94">
        <f t="shared" si="116"/>
        <v>0</v>
      </c>
      <c r="AG94">
        <f t="shared" si="117"/>
        <v>117.5004</v>
      </c>
      <c r="AH94">
        <f t="shared" si="150"/>
        <v>4.7664417378337385</v>
      </c>
      <c r="AI94">
        <f t="shared" si="118"/>
        <v>4.1588830833596715</v>
      </c>
      <c r="AJ94">
        <f t="shared" si="119"/>
        <v>4.3694287240203895</v>
      </c>
      <c r="AK94" s="1">
        <v>0.14999670000000001</v>
      </c>
      <c r="AL94" s="5">
        <f>VLOOKUP(R94,'[1]Coefficient Normal'!$A$3:$H$7,2,TRUE)</f>
        <v>5.5951000000000004</v>
      </c>
      <c r="AM94" s="5">
        <f>VLOOKUP(R94,'[1]Coefficient Normal'!$A$3:$H$7,3,TRUE)</f>
        <v>1.6E-2</v>
      </c>
      <c r="AN94" s="5">
        <f>VLOOKUP(R94,'[1]Coefficient Normal'!$A$3:$H$7,4,TRUE)</f>
        <v>1.2641</v>
      </c>
      <c r="AO94" s="5">
        <f>VLOOKUP(R94,'[1]Coefficient Normal'!$A$3:$H$7,5,TRUE)</f>
        <v>-0.52429999999999999</v>
      </c>
      <c r="AP94" s="5">
        <f>VLOOKUP(R94,'[1]Coefficient Normal'!$A$3:$H$7,6,TRUE)</f>
        <v>0.35830000000000001</v>
      </c>
      <c r="AQ94" s="5">
        <f>VLOOKUP(R94,'[1]Coefficient Normal'!$A$3:$H$7,7,TRUE)</f>
        <v>-0.35920000000000002</v>
      </c>
      <c r="AR94" s="5">
        <f>VLOOKUP(R94,'[1]Coefficient Normal'!$A$3:$H$7,8,TRUE)</f>
        <v>-0.2482</v>
      </c>
      <c r="AS94" s="5"/>
      <c r="AT94" s="5"/>
      <c r="AU94" s="5"/>
      <c r="AV94" s="5"/>
      <c r="AW94" s="5"/>
      <c r="AY94" s="5">
        <f t="shared" si="120"/>
        <v>0.31382810950266227</v>
      </c>
      <c r="BC94" s="5">
        <f>VLOOKUP(R94,'[1]Coefficient Normal'!$A$10:$P$14,2,TRUE)</f>
        <v>-2.3450000000000002</v>
      </c>
      <c r="BD94" s="5">
        <f>VLOOKUP(R94,'[1]Coefficient Normal'!$A$10:$P$14,3,TRUE)</f>
        <v>0.19470000000000001</v>
      </c>
      <c r="BE94" s="5">
        <f>VLOOKUP(R94,'[1]Coefficient Normal'!$A$10:$P$14,4,TRUE)</f>
        <v>-0.2044</v>
      </c>
      <c r="BF94" s="5">
        <f>VLOOKUP(R94,'[1]Coefficient Normal'!$A$10:$P$14,5,TRUE)</f>
        <v>0.4143</v>
      </c>
      <c r="BG94" s="5">
        <f>VLOOKUP(R94,'[1]Coefficient Normal'!$A$10:$P$14,6,TRUE)</f>
        <v>-0.55710000000000004</v>
      </c>
      <c r="BH94" s="5">
        <f>VLOOKUP(R94,'[1]Coefficient Normal'!$A$10:$P$14,7,TRUE)</f>
        <v>1.0931</v>
      </c>
      <c r="BI94" s="5">
        <f>VLOOKUP(R94,'[1]Coefficient Normal'!$A$10:$P$14,8,TRUE)</f>
        <v>1E-4</v>
      </c>
      <c r="BJ94" s="5">
        <f>VLOOKUP(R94,'[1]Coefficient Normal'!$A$10:$P$14,9,TRUE)</f>
        <v>3.5000000000000001E-3</v>
      </c>
      <c r="BK94" s="5">
        <f>VLOOKUP(R94,'[1]Coefficient Normal'!$A$10:$P$14,10,TRUE)</f>
        <v>-4.07E-2</v>
      </c>
      <c r="BL94" s="5">
        <f>VLOOKUP(R94,'[1]Coefficient Normal'!$A$10:$P$14,11,TRUE)</f>
        <v>1.6000000000000001E-3</v>
      </c>
      <c r="BM94" s="5">
        <f>VLOOKUP(R94,'[1]Coefficient Normal'!$A$10:$P$14,12,TRUE)</f>
        <v>-0.65949999999999998</v>
      </c>
      <c r="BN94" s="5">
        <f>VLOOKUP(R94,'[1]Coefficient Normal'!$A$10:$P$14,13,TRUE)</f>
        <v>-3.0099999999999998E-2</v>
      </c>
      <c r="BO94" s="5">
        <f>VLOOKUP(R94,'[1]Coefficient Normal'!$A$10:$P$14,14,TRUE)</f>
        <v>0.84219999999999995</v>
      </c>
      <c r="BP94" s="5">
        <f>VLOOKUP(R94,'[1]Coefficient Normal'!$A$10:$P$14,15,TRUE)</f>
        <v>0.50680000000000003</v>
      </c>
      <c r="BQ94" s="5"/>
      <c r="BR94" s="5"/>
      <c r="BS94" s="5"/>
      <c r="BT94" s="5"/>
      <c r="BU94" s="5"/>
      <c r="BV94" s="5"/>
      <c r="BW94" s="5"/>
      <c r="BX94" s="5"/>
      <c r="BY94" s="5"/>
      <c r="CB94" s="6">
        <f t="shared" si="121"/>
        <v>0</v>
      </c>
      <c r="CC94" s="6">
        <f t="shared" si="122"/>
        <v>1</v>
      </c>
      <c r="CD94" s="6">
        <f t="shared" si="123"/>
        <v>0</v>
      </c>
      <c r="CE94" s="5">
        <f t="shared" si="124"/>
        <v>1.1626998488867168</v>
      </c>
      <c r="CG94">
        <f t="shared" si="125"/>
        <v>-1.8971419851278848</v>
      </c>
      <c r="CN94" s="5">
        <f t="shared" si="126"/>
        <v>-2.2109700946305471</v>
      </c>
      <c r="CO94" s="5">
        <f t="shared" si="127"/>
        <v>-2.5706945949199871</v>
      </c>
      <c r="CP94" s="5">
        <f t="shared" si="128"/>
        <v>0.80973453633012804</v>
      </c>
      <c r="CQ94" s="5">
        <f t="shared" si="129"/>
        <v>0</v>
      </c>
      <c r="CR94" s="5">
        <f t="shared" si="130"/>
        <v>1.9747368119845179</v>
      </c>
      <c r="CS94" s="5">
        <f t="shared" si="131"/>
        <v>0.27573791218506416</v>
      </c>
      <c r="CT94" s="5">
        <f t="shared" si="132"/>
        <v>-1.8554853344202775</v>
      </c>
      <c r="CU94" s="7">
        <f t="shared" si="151"/>
        <v>0.15637702909994644</v>
      </c>
      <c r="CV94">
        <f t="shared" si="133"/>
        <v>1.0000000000000001E-5</v>
      </c>
      <c r="CW94">
        <f t="shared" si="134"/>
        <v>0.15637702909994644</v>
      </c>
      <c r="CX94">
        <f>VLOOKUP(R94,'[1]Coefficient Normal'!$A$10:$P$14,16,TRUE)</f>
        <v>0.43780000000000002</v>
      </c>
      <c r="CY94">
        <f t="shared" si="135"/>
        <v>0.01</v>
      </c>
      <c r="CZ94">
        <f t="shared" si="136"/>
        <v>0.43780000000000002</v>
      </c>
      <c r="DA94">
        <v>0.3</v>
      </c>
      <c r="DB94">
        <v>0.3</v>
      </c>
      <c r="DC94">
        <v>0.3</v>
      </c>
    </row>
    <row r="95" spans="1:107" x14ac:dyDescent="0.25">
      <c r="A95">
        <v>68</v>
      </c>
      <c r="B95">
        <v>2</v>
      </c>
      <c r="C95" t="str">
        <f t="shared" si="114"/>
        <v>Normal</v>
      </c>
      <c r="D95">
        <v>0.40960000000000002</v>
      </c>
      <c r="E95">
        <f t="shared" si="137"/>
        <v>409.6</v>
      </c>
      <c r="F95">
        <v>9.5250000000000005E-3</v>
      </c>
      <c r="G95">
        <f t="shared" si="137"/>
        <v>9.5250000000000004</v>
      </c>
      <c r="H95" s="3">
        <f t="shared" si="138"/>
        <v>43.00262467191601</v>
      </c>
      <c r="I95" s="1">
        <v>300</v>
      </c>
      <c r="J95" s="4" t="s">
        <v>73</v>
      </c>
      <c r="K95" s="1">
        <f t="shared" si="139"/>
        <v>8</v>
      </c>
      <c r="L95" s="1">
        <f t="shared" si="140"/>
        <v>12</v>
      </c>
      <c r="M95" s="1">
        <f t="shared" si="141"/>
        <v>414000</v>
      </c>
      <c r="N95" s="1">
        <f t="shared" si="142"/>
        <v>517000</v>
      </c>
      <c r="O95" s="1">
        <f t="shared" si="143"/>
        <v>2.5466769467238102</v>
      </c>
      <c r="P95" s="3">
        <f>100*IF(J95='[1]Estimation Model Normal-Slip'!$J$8,'[1]Estimation Model Normal-Slip'!$O$8,IF(J95='[1]Estimation Model Normal-Slip'!$J$9,'[1]Estimation Model Normal-Slip'!$O$9,IF(J95='[1]Estimation Model Normal-Slip'!$J$10,'[1]Estimation Model Normal-Slip'!$O$10,IF(J95='[1]Estimation Model Normal-Slip'!$J$11,'[1]Estimation Model Normal-Slip'!$O$11,IF(J95='[1]Estimation Model Normal-Slip'!$J$12,'[1]Estimation Model Normal-Slip'!$O$12,IF(J95='[1]Estimation Model Normal-Slip'!$J$13,'[1]Estimation Model Normal-Slip'!$O$13,2))))))</f>
        <v>2.4313344008036557</v>
      </c>
      <c r="Q95" s="1">
        <f t="shared" si="144"/>
        <v>0.93478935117382533</v>
      </c>
      <c r="R95" s="1">
        <v>90</v>
      </c>
      <c r="S95" s="1" t="s">
        <v>71</v>
      </c>
      <c r="T95" t="s">
        <v>74</v>
      </c>
      <c r="U95">
        <f t="shared" si="145"/>
        <v>18</v>
      </c>
      <c r="V95" s="1">
        <f t="shared" si="146"/>
        <v>0</v>
      </c>
      <c r="W95">
        <f t="shared" si="147"/>
        <v>75</v>
      </c>
      <c r="X95">
        <f t="shared" si="148"/>
        <v>0.72</v>
      </c>
      <c r="Y95">
        <v>0.9</v>
      </c>
      <c r="Z95" s="1">
        <v>1</v>
      </c>
      <c r="AA95" s="1">
        <f t="shared" si="115"/>
        <v>2.44140625</v>
      </c>
      <c r="AB95">
        <f t="shared" si="149"/>
        <v>69.487002949160484</v>
      </c>
      <c r="AE95">
        <f>IF(T95="medium dense",'[1]Coefficient Normal'!$E$18 + ('[1]Coefficient Normal'!$E$19*AA95) + ('[1]Coefficient Normal'!$E$20*(AA95^2)) + ('[1]Coefficient Normal'!$E$21*(AA95^3)) + ('[1]Coefficient Normal'!$E$22*(AA95^4)),IF(T95="dense",'[1]Coefficient Normal'!$F$18 + ('[1]Coefficient Normal'!$F$19*AA95) + ('[1]Coefficient Normal'!$F$20*(AA95^2)) + ('[1]Coefficient Normal'!$F$21*(AA95^3)) + ('[1]Coefficient Normal'!$F$22*(AA95^4)),IF(T95="very dense",'[1]Coefficient Normal'!$G$18 + ('[1]Coefficient Normal'!$G$19*AA95) + ('[1]Coefficient Normal'!$G$20*(AA95^2)) + ('[1]Coefficient Normal'!$G$21*(AA95^3)) + ('[1]Coefficient Normal'!$G$22*(AA95^4)),0)))</f>
        <v>0</v>
      </c>
      <c r="AF95">
        <f t="shared" si="116"/>
        <v>0</v>
      </c>
      <c r="AG95">
        <f t="shared" si="117"/>
        <v>157.9008</v>
      </c>
      <c r="AH95">
        <f t="shared" si="150"/>
        <v>5.061966987746545</v>
      </c>
      <c r="AI95">
        <f t="shared" si="118"/>
        <v>3.7612611527125335</v>
      </c>
      <c r="AJ95">
        <f t="shared" si="119"/>
        <v>4.2411397271568356</v>
      </c>
      <c r="AK95" s="1">
        <v>0.29999340000000002</v>
      </c>
      <c r="AL95" s="5">
        <f>VLOOKUP(R95,'[1]Coefficient Normal'!$A$3:$H$7,2,TRUE)</f>
        <v>14.575100000000001</v>
      </c>
      <c r="AM95" s="5">
        <f>VLOOKUP(R95,'[1]Coefficient Normal'!$A$3:$H$7,3,TRUE)</f>
        <v>0.1356</v>
      </c>
      <c r="AN95" s="5">
        <f>VLOOKUP(R95,'[1]Coefficient Normal'!$A$3:$H$7,4,TRUE)</f>
        <v>2.9990000000000001</v>
      </c>
      <c r="AO95" s="5">
        <f>VLOOKUP(R95,'[1]Coefficient Normal'!$A$3:$H$7,5,TRUE)</f>
        <v>-0.94710000000000005</v>
      </c>
      <c r="AP95" s="5">
        <f>VLOOKUP(R95,'[1]Coefficient Normal'!$A$3:$H$7,6,TRUE)</f>
        <v>0.6603</v>
      </c>
      <c r="AQ95" s="5">
        <f>VLOOKUP(R95,'[1]Coefficient Normal'!$A$3:$H$7,7,TRUE)</f>
        <v>-1.2488999999999999</v>
      </c>
      <c r="AR95" s="5">
        <f>VLOOKUP(R95,'[1]Coefficient Normal'!$A$3:$H$7,8,TRUE)</f>
        <v>-0.44140000000000001</v>
      </c>
      <c r="AS95" s="5"/>
      <c r="AT95" s="5"/>
      <c r="AU95" s="5"/>
      <c r="AV95" s="5"/>
      <c r="AW95" s="5"/>
      <c r="AY95" s="5">
        <f t="shared" si="120"/>
        <v>1.5327241862804701</v>
      </c>
      <c r="BC95" s="5">
        <f>VLOOKUP(R95,'[1]Coefficient Normal'!$A$10:$P$14,2,TRUE)</f>
        <v>5.1353999999999997</v>
      </c>
      <c r="BD95" s="5">
        <f>VLOOKUP(R95,'[1]Coefficient Normal'!$A$10:$P$14,3,TRUE)</f>
        <v>-4.9599999999999998E-2</v>
      </c>
      <c r="BE95" s="5">
        <f>VLOOKUP(R95,'[1]Coefficient Normal'!$A$10:$P$14,4,TRUE)</f>
        <v>0.44590000000000002</v>
      </c>
      <c r="BF95" s="5">
        <f>VLOOKUP(R95,'[1]Coefficient Normal'!$A$10:$P$14,5,TRUE)</f>
        <v>-0.83709999999999996</v>
      </c>
      <c r="BG95" s="5">
        <f>VLOOKUP(R95,'[1]Coefficient Normal'!$A$10:$P$14,6,TRUE)</f>
        <v>0.63090000000000002</v>
      </c>
      <c r="BH95" s="5">
        <f>VLOOKUP(R95,'[1]Coefficient Normal'!$A$10:$P$14,7,TRUE)</f>
        <v>0.91390000000000005</v>
      </c>
      <c r="BI95" s="5">
        <f>VLOOKUP(R95,'[1]Coefficient Normal'!$A$10:$P$14,8,TRUE)</f>
        <v>2.5000000000000001E-3</v>
      </c>
      <c r="BJ95" s="5">
        <f>VLOOKUP(R95,'[1]Coefficient Normal'!$A$10:$P$14,9,TRUE)</f>
        <v>1.6000000000000001E-3</v>
      </c>
      <c r="BK95" s="5">
        <f>VLOOKUP(R95,'[1]Coefficient Normal'!$A$10:$P$14,10,TRUE)</f>
        <v>-9.7500000000000003E-2</v>
      </c>
      <c r="BL95" s="5">
        <f>VLOOKUP(R95,'[1]Coefficient Normal'!$A$10:$P$14,11,TRUE)</f>
        <v>1.1999999999999999E-3</v>
      </c>
      <c r="BM95" s="5">
        <f>VLOOKUP(R95,'[1]Coefficient Normal'!$A$10:$P$14,12,TRUE)</f>
        <v>0.46479999999999999</v>
      </c>
      <c r="BN95" s="5">
        <f>VLOOKUP(R95,'[1]Coefficient Normal'!$A$10:$P$14,13,TRUE)</f>
        <v>8.0000000000000004E-4</v>
      </c>
      <c r="BO95" s="5">
        <f>VLOOKUP(R95,'[1]Coefficient Normal'!$A$10:$P$14,14,TRUE)</f>
        <v>6.7900000000000002E-2</v>
      </c>
      <c r="BP95" s="5">
        <f>VLOOKUP(R95,'[1]Coefficient Normal'!$A$10:$P$14,15,TRUE)</f>
        <v>0.58979999999999999</v>
      </c>
      <c r="BQ95" s="5"/>
      <c r="BR95" s="5"/>
      <c r="BS95" s="5"/>
      <c r="BT95" s="5"/>
      <c r="BU95" s="5"/>
      <c r="BV95" s="5"/>
      <c r="BW95" s="5"/>
      <c r="BX95" s="5"/>
      <c r="BY95" s="5"/>
      <c r="CB95" s="6">
        <f t="shared" si="121"/>
        <v>0</v>
      </c>
      <c r="CC95" s="6">
        <f t="shared" si="122"/>
        <v>1</v>
      </c>
      <c r="CD95" s="6">
        <f t="shared" si="123"/>
        <v>0</v>
      </c>
      <c r="CE95" s="5">
        <f t="shared" si="124"/>
        <v>1.0417206569792006</v>
      </c>
      <c r="CG95">
        <f t="shared" si="125"/>
        <v>-1.2039948045679394</v>
      </c>
      <c r="CN95" s="5">
        <f t="shared" si="126"/>
        <v>-2.7367189908484093</v>
      </c>
      <c r="CO95" s="5">
        <f t="shared" si="127"/>
        <v>-2.8508967051140597</v>
      </c>
      <c r="CP95" s="5">
        <f t="shared" si="128"/>
        <v>-0.18655855317454165</v>
      </c>
      <c r="CQ95" s="5">
        <f t="shared" si="129"/>
        <v>0</v>
      </c>
      <c r="CR95" s="5">
        <f t="shared" si="130"/>
        <v>-4.2373725654426329</v>
      </c>
      <c r="CS95" s="5">
        <f t="shared" si="131"/>
        <v>-0.56312506609653967</v>
      </c>
      <c r="CT95" s="5">
        <f t="shared" si="132"/>
        <v>-2.702552889827774</v>
      </c>
      <c r="CU95" s="7">
        <f t="shared" si="151"/>
        <v>6.7034163281111642E-2</v>
      </c>
      <c r="CV95">
        <f t="shared" si="133"/>
        <v>1.0000000000000001E-5</v>
      </c>
      <c r="CW95">
        <f t="shared" si="134"/>
        <v>6.7034163281111642E-2</v>
      </c>
      <c r="CX95">
        <f>VLOOKUP(R95,'[1]Coefficient Normal'!$A$10:$P$14,16,TRUE)</f>
        <v>0.34749999999999998</v>
      </c>
      <c r="CY95">
        <f t="shared" si="135"/>
        <v>0.01</v>
      </c>
      <c r="CZ95">
        <f t="shared" si="136"/>
        <v>0.34749999999999998</v>
      </c>
      <c r="DA95">
        <v>0.3</v>
      </c>
      <c r="DB95">
        <v>0.3</v>
      </c>
      <c r="DC95">
        <v>0.3</v>
      </c>
    </row>
    <row r="96" spans="1:107" x14ac:dyDescent="0.25">
      <c r="A96">
        <v>69</v>
      </c>
      <c r="B96">
        <v>1</v>
      </c>
      <c r="C96" t="str">
        <f t="shared" si="114"/>
        <v>Normal</v>
      </c>
      <c r="D96">
        <v>0.89600000000000002</v>
      </c>
      <c r="E96">
        <f t="shared" si="137"/>
        <v>896</v>
      </c>
      <c r="F96">
        <v>9.5250000000000005E-3</v>
      </c>
      <c r="G96">
        <f t="shared" si="137"/>
        <v>9.5250000000000004</v>
      </c>
      <c r="H96" s="3">
        <f t="shared" si="138"/>
        <v>94.068241469816272</v>
      </c>
      <c r="I96" s="1">
        <v>30</v>
      </c>
      <c r="J96" s="4" t="s">
        <v>75</v>
      </c>
      <c r="K96" s="1">
        <f t="shared" si="139"/>
        <v>14</v>
      </c>
      <c r="L96" s="1">
        <f t="shared" si="140"/>
        <v>15</v>
      </c>
      <c r="M96" s="1">
        <f t="shared" si="141"/>
        <v>483000</v>
      </c>
      <c r="N96" s="1">
        <f t="shared" si="142"/>
        <v>565000</v>
      </c>
      <c r="O96" s="1">
        <f t="shared" si="143"/>
        <v>2.8799444073326219</v>
      </c>
      <c r="P96" s="3">
        <f>100*IF(J96='[1]Estimation Model Normal-Slip'!$J$8,'[1]Estimation Model Normal-Slip'!$O$8,IF(J96='[1]Estimation Model Normal-Slip'!$J$9,'[1]Estimation Model Normal-Slip'!$O$9,IF(J96='[1]Estimation Model Normal-Slip'!$J$10,'[1]Estimation Model Normal-Slip'!$O$10,IF(J96='[1]Estimation Model Normal-Slip'!$J$11,'[1]Estimation Model Normal-Slip'!$O$11,IF(J96='[1]Estimation Model Normal-Slip'!$J$12,'[1]Estimation Model Normal-Slip'!$O$12,IF(J96='[1]Estimation Model Normal-Slip'!$J$13,'[1]Estimation Model Normal-Slip'!$O$13,2))))))</f>
        <v>2.7690517990613435</v>
      </c>
      <c r="Q96" s="1">
        <f t="shared" si="144"/>
        <v>1.0577709909520427</v>
      </c>
      <c r="R96" s="1">
        <v>45</v>
      </c>
      <c r="S96" s="1" t="s">
        <v>71</v>
      </c>
      <c r="T96" t="s">
        <v>76</v>
      </c>
      <c r="U96">
        <f t="shared" si="145"/>
        <v>18.5</v>
      </c>
      <c r="V96" s="1">
        <f t="shared" si="146"/>
        <v>0</v>
      </c>
      <c r="W96">
        <f t="shared" si="147"/>
        <v>125</v>
      </c>
      <c r="X96">
        <f t="shared" si="148"/>
        <v>0.4</v>
      </c>
      <c r="Y96">
        <v>0.9</v>
      </c>
      <c r="Z96" s="1">
        <v>1.2</v>
      </c>
      <c r="AA96" s="1">
        <f t="shared" si="115"/>
        <v>1.8</v>
      </c>
      <c r="AB96">
        <f t="shared" si="149"/>
        <v>140.74335088082273</v>
      </c>
      <c r="AE96">
        <f>IF(T96="medium dense",'[1]Coefficient Normal'!$E$18 + ('[1]Coefficient Normal'!$E$19*AA96) + ('[1]Coefficient Normal'!$E$20*(AA96^2)) + ('[1]Coefficient Normal'!$E$21*(AA96^3)) + ('[1]Coefficient Normal'!$E$22*(AA96^4)),IF(T96="dense",'[1]Coefficient Normal'!$F$18 + ('[1]Coefficient Normal'!$F$19*AA96) + ('[1]Coefficient Normal'!$F$20*(AA96^2)) + ('[1]Coefficient Normal'!$F$21*(AA96^3)) + ('[1]Coefficient Normal'!$F$22*(AA96^4)),IF(T96="very dense",'[1]Coefficient Normal'!$G$18 + ('[1]Coefficient Normal'!$G$19*AA96) + ('[1]Coefficient Normal'!$G$20*(AA96^2)) + ('[1]Coefficient Normal'!$G$21*(AA96^3)) + ('[1]Coefficient Normal'!$G$22*(AA96^4)),0)))</f>
        <v>0</v>
      </c>
      <c r="AF96">
        <f t="shared" si="116"/>
        <v>0</v>
      </c>
      <c r="AG96">
        <f t="shared" si="117"/>
        <v>575.68000000000006</v>
      </c>
      <c r="AH96">
        <f t="shared" si="150"/>
        <v>6.3555519507621687</v>
      </c>
      <c r="AI96">
        <f t="shared" si="118"/>
        <v>4.5440204919621658</v>
      </c>
      <c r="AJ96">
        <f t="shared" si="119"/>
        <v>4.9469380252703399</v>
      </c>
      <c r="AK96" s="1">
        <v>0.4499901</v>
      </c>
      <c r="AL96" s="5">
        <f>VLOOKUP(R96,'[1]Coefficient Normal'!$A$3:$H$7,2,TRUE)</f>
        <v>3.7532999999999999</v>
      </c>
      <c r="AM96" s="5">
        <f>VLOOKUP(R96,'[1]Coefficient Normal'!$A$3:$H$7,3,TRUE)</f>
        <v>0.14510000000000001</v>
      </c>
      <c r="AN96" s="5">
        <f>VLOOKUP(R96,'[1]Coefficient Normal'!$A$3:$H$7,4,TRUE)</f>
        <v>1.2497</v>
      </c>
      <c r="AO96" s="5">
        <f>VLOOKUP(R96,'[1]Coefficient Normal'!$A$3:$H$7,5,TRUE)</f>
        <v>-0.46100000000000002</v>
      </c>
      <c r="AP96" s="5">
        <f>VLOOKUP(R96,'[1]Coefficient Normal'!$A$3:$H$7,6,TRUE)</f>
        <v>0.39140000000000003</v>
      </c>
      <c r="AQ96" s="5">
        <f>VLOOKUP(R96,'[1]Coefficient Normal'!$A$3:$H$7,7,TRUE)</f>
        <v>-0.21310000000000001</v>
      </c>
      <c r="AR96" s="5">
        <f>VLOOKUP(R96,'[1]Coefficient Normal'!$A$3:$H$7,8,TRUE)</f>
        <v>-0.34139999999999998</v>
      </c>
      <c r="AS96" s="5"/>
      <c r="AT96" s="5"/>
      <c r="AU96" s="5"/>
      <c r="AV96" s="5"/>
      <c r="AW96" s="5"/>
      <c r="AY96" s="5">
        <f t="shared" si="120"/>
        <v>-0.61445654144066819</v>
      </c>
      <c r="BC96" s="5">
        <f>VLOOKUP(R96,'[1]Coefficient Normal'!$A$10:$P$14,2,TRUE)</f>
        <v>-1.1082000000000001</v>
      </c>
      <c r="BD96" s="5">
        <f>VLOOKUP(R96,'[1]Coefficient Normal'!$A$10:$P$14,3,TRUE)</f>
        <v>0.10630000000000001</v>
      </c>
      <c r="BE96" s="5">
        <f>VLOOKUP(R96,'[1]Coefficient Normal'!$A$10:$P$14,4,TRUE)</f>
        <v>-0.1439</v>
      </c>
      <c r="BF96" s="5">
        <f>VLOOKUP(R96,'[1]Coefficient Normal'!$A$10:$P$14,5,TRUE)</f>
        <v>0.27879999999999999</v>
      </c>
      <c r="BG96" s="5">
        <f>VLOOKUP(R96,'[1]Coefficient Normal'!$A$10:$P$14,6,TRUE)</f>
        <v>-0.31030000000000002</v>
      </c>
      <c r="BH96" s="5">
        <f>VLOOKUP(R96,'[1]Coefficient Normal'!$A$10:$P$14,7,TRUE)</f>
        <v>1.2553000000000001</v>
      </c>
      <c r="BI96" s="5">
        <f>VLOOKUP(R96,'[1]Coefficient Normal'!$A$10:$P$14,8,TRUE)</f>
        <v>2.9999999999999997E-4</v>
      </c>
      <c r="BJ96" s="5">
        <f>VLOOKUP(R96,'[1]Coefficient Normal'!$A$10:$P$14,9,TRUE)</f>
        <v>5.1999999999999998E-3</v>
      </c>
      <c r="BK96" s="5">
        <f>VLOOKUP(R96,'[1]Coefficient Normal'!$A$10:$P$14,10,TRUE)</f>
        <v>-8.5900000000000004E-2</v>
      </c>
      <c r="BL96" s="5">
        <f>VLOOKUP(R96,'[1]Coefficient Normal'!$A$10:$P$14,11,TRUE)</f>
        <v>5.9999999999999995E-4</v>
      </c>
      <c r="BM96" s="5">
        <f>VLOOKUP(R96,'[1]Coefficient Normal'!$A$10:$P$14,12,TRUE)</f>
        <v>-0.21759999999999999</v>
      </c>
      <c r="BN96" s="5">
        <f>VLOOKUP(R96,'[1]Coefficient Normal'!$A$10:$P$14,13,TRUE)</f>
        <v>-2.69E-2</v>
      </c>
      <c r="BO96" s="5">
        <f>VLOOKUP(R96,'[1]Coefficient Normal'!$A$10:$P$14,14,TRUE)</f>
        <v>0.57389999999999997</v>
      </c>
      <c r="BP96" s="5">
        <f>VLOOKUP(R96,'[1]Coefficient Normal'!$A$10:$P$14,15,TRUE)</f>
        <v>0.34460000000000002</v>
      </c>
      <c r="BQ96" s="5"/>
      <c r="BR96" s="5"/>
      <c r="BS96" s="5"/>
      <c r="BT96" s="5"/>
      <c r="BU96" s="5"/>
      <c r="BV96" s="5"/>
      <c r="BW96" s="5"/>
      <c r="BX96" s="5"/>
      <c r="BY96" s="5"/>
      <c r="CB96" s="6">
        <f t="shared" si="121"/>
        <v>0</v>
      </c>
      <c r="CC96" s="6">
        <f t="shared" si="122"/>
        <v>1</v>
      </c>
      <c r="CD96" s="6">
        <f t="shared" si="123"/>
        <v>1</v>
      </c>
      <c r="CE96" s="5">
        <f t="shared" si="124"/>
        <v>0.98996395014613658</v>
      </c>
      <c r="CG96">
        <f t="shared" si="125"/>
        <v>-0.79852969645977512</v>
      </c>
      <c r="CN96" s="5">
        <f t="shared" si="126"/>
        <v>-0.18407315501910693</v>
      </c>
      <c r="CO96" s="5">
        <f t="shared" si="127"/>
        <v>-0.18222578765857725</v>
      </c>
      <c r="CP96" s="5">
        <f t="shared" si="128"/>
        <v>0.48302937829557824</v>
      </c>
      <c r="CQ96" s="5">
        <f t="shared" si="129"/>
        <v>0</v>
      </c>
      <c r="CR96" s="5">
        <f t="shared" si="130"/>
        <v>1.7719278838724926</v>
      </c>
      <c r="CS96" s="5">
        <f t="shared" si="131"/>
        <v>3.4075552922036199E-2</v>
      </c>
      <c r="CT96" s="5">
        <f t="shared" si="132"/>
        <v>0.99860702743152963</v>
      </c>
      <c r="CU96" s="7">
        <f t="shared" si="151"/>
        <v>2.7144979724542799</v>
      </c>
      <c r="CV96">
        <f t="shared" si="133"/>
        <v>1.0000000000000001E-5</v>
      </c>
      <c r="CW96">
        <f t="shared" si="134"/>
        <v>2.7144979724542799</v>
      </c>
      <c r="CX96">
        <f>VLOOKUP(R96,'[1]Coefficient Normal'!$A$10:$P$14,16,TRUE)</f>
        <v>0.3997</v>
      </c>
      <c r="CY96">
        <f t="shared" si="135"/>
        <v>0.01</v>
      </c>
      <c r="CZ96">
        <f t="shared" si="136"/>
        <v>0.3997</v>
      </c>
      <c r="DA96">
        <v>0.3</v>
      </c>
      <c r="DB96">
        <v>0.3</v>
      </c>
      <c r="DC96">
        <v>0.3</v>
      </c>
    </row>
    <row r="97" spans="1:107" x14ac:dyDescent="0.25">
      <c r="A97">
        <v>70</v>
      </c>
      <c r="B97">
        <v>5</v>
      </c>
      <c r="C97" t="str">
        <f t="shared" si="114"/>
        <v>Normal</v>
      </c>
      <c r="D97">
        <v>0.5</v>
      </c>
      <c r="E97">
        <f t="shared" si="137"/>
        <v>500</v>
      </c>
      <c r="F97">
        <v>9.5250000000000005E-3</v>
      </c>
      <c r="G97">
        <f t="shared" si="137"/>
        <v>9.5250000000000004</v>
      </c>
      <c r="H97" s="3">
        <f t="shared" si="138"/>
        <v>52.493438320209975</v>
      </c>
      <c r="I97" s="1">
        <v>50</v>
      </c>
      <c r="J97" s="4" t="s">
        <v>70</v>
      </c>
      <c r="K97" s="1">
        <f t="shared" si="139"/>
        <v>8</v>
      </c>
      <c r="L97" s="1">
        <f t="shared" si="140"/>
        <v>10</v>
      </c>
      <c r="M97" s="1">
        <f t="shared" si="141"/>
        <v>359000</v>
      </c>
      <c r="N97" s="1">
        <f t="shared" si="142"/>
        <v>455000</v>
      </c>
      <c r="O97" s="1">
        <f t="shared" si="143"/>
        <v>1.9969902892117808</v>
      </c>
      <c r="P97" s="3">
        <f>100*IF(J97='[1]Estimation Model Normal-Slip'!$J$8,'[1]Estimation Model Normal-Slip'!$O$8,IF(J97='[1]Estimation Model Normal-Slip'!$J$9,'[1]Estimation Model Normal-Slip'!$O$9,IF(J97='[1]Estimation Model Normal-Slip'!$J$10,'[1]Estimation Model Normal-Slip'!$O$10,IF(J97='[1]Estimation Model Normal-Slip'!$J$11,'[1]Estimation Model Normal-Slip'!$O$11,IF(J97='[1]Estimation Model Normal-Slip'!$J$12,'[1]Estimation Model Normal-Slip'!$O$12,IF(J97='[1]Estimation Model Normal-Slip'!$J$13,'[1]Estimation Model Normal-Slip'!$O$13,2))))))</f>
        <v>1.9041242414694344</v>
      </c>
      <c r="Q97" s="1">
        <f t="shared" si="144"/>
        <v>0.69164119173371341</v>
      </c>
      <c r="R97" s="1">
        <v>60</v>
      </c>
      <c r="S97" s="1" t="s">
        <v>71</v>
      </c>
      <c r="T97" t="s">
        <v>72</v>
      </c>
      <c r="U97">
        <f t="shared" si="145"/>
        <v>17.5</v>
      </c>
      <c r="V97" s="1">
        <f t="shared" si="146"/>
        <v>0</v>
      </c>
      <c r="W97">
        <f t="shared" si="147"/>
        <v>37.5</v>
      </c>
      <c r="X97">
        <f t="shared" si="148"/>
        <v>1.1000000000000001</v>
      </c>
      <c r="Y97">
        <v>0.9</v>
      </c>
      <c r="Z97" s="1">
        <v>2.5</v>
      </c>
      <c r="AA97" s="1">
        <f t="shared" si="115"/>
        <v>5</v>
      </c>
      <c r="AB97">
        <f t="shared" si="149"/>
        <v>64.795348480289491</v>
      </c>
      <c r="AE97">
        <f>IF(T97="medium dense",'[1]Coefficient Normal'!$E$18 + ('[1]Coefficient Normal'!$E$19*AA97) + ('[1]Coefficient Normal'!$E$20*(AA97^2)) + ('[1]Coefficient Normal'!$E$21*(AA97^3)) + ('[1]Coefficient Normal'!$E$22*(AA97^4)),IF(T97="dense",'[1]Coefficient Normal'!$F$18 + ('[1]Coefficient Normal'!$F$19*AA97) + ('[1]Coefficient Normal'!$F$20*(AA97^2)) + ('[1]Coefficient Normal'!$F$21*(AA97^3)) + ('[1]Coefficient Normal'!$F$22*(AA97^4)),IF(T97="very dense",'[1]Coefficient Normal'!$G$18 + ('[1]Coefficient Normal'!$G$19*AA97) + ('[1]Coefficient Normal'!$G$20*(AA97^2)) + ('[1]Coefficient Normal'!$G$21*(AA97^3)) + ('[1]Coefficient Normal'!$G$22*(AA97^4)),0)))</f>
        <v>0</v>
      </c>
      <c r="AF97">
        <f t="shared" si="116"/>
        <v>0</v>
      </c>
      <c r="AG97">
        <f t="shared" si="117"/>
        <v>96.375</v>
      </c>
      <c r="AH97" s="8">
        <f t="shared" si="150"/>
        <v>4.5682468318834939</v>
      </c>
      <c r="AI97" s="8">
        <f t="shared" si="118"/>
        <v>3.9606881774094269</v>
      </c>
      <c r="AJ97" s="8">
        <f t="shared" si="119"/>
        <v>4.1712338180701449</v>
      </c>
      <c r="AK97" s="11">
        <v>0.59998680000000004</v>
      </c>
      <c r="AL97" s="5">
        <f>VLOOKUP(R97,'[1]Coefficient Normal'!$A$3:$H$7,2,TRUE)</f>
        <v>4.3182999999999998</v>
      </c>
      <c r="AM97" s="5">
        <f>VLOOKUP(R97,'[1]Coefficient Normal'!$A$3:$H$7,3,TRUE)</f>
        <v>-2.7900000000000001E-2</v>
      </c>
      <c r="AN97" s="5">
        <f>VLOOKUP(R97,'[1]Coefficient Normal'!$A$3:$H$7,4,TRUE)</f>
        <v>1.0497000000000001</v>
      </c>
      <c r="AO97" s="5">
        <f>VLOOKUP(R97,'[1]Coefficient Normal'!$A$3:$H$7,5,TRUE)</f>
        <v>-0.46910000000000002</v>
      </c>
      <c r="AP97" s="5">
        <f>VLOOKUP(R97,'[1]Coefficient Normal'!$A$3:$H$7,6,TRUE)</f>
        <v>0.29149999999999998</v>
      </c>
      <c r="AQ97" s="5">
        <f>VLOOKUP(R97,'[1]Coefficient Normal'!$A$3:$H$7,7,TRUE)</f>
        <v>-0.28610000000000002</v>
      </c>
      <c r="AR97" s="5">
        <f>VLOOKUP(R97,'[1]Coefficient Normal'!$A$3:$H$7,8,TRUE)</f>
        <v>-0.1348</v>
      </c>
      <c r="AS97" s="5"/>
      <c r="AT97" s="5"/>
      <c r="AU97" s="5"/>
      <c r="AV97" s="5"/>
      <c r="AW97" s="5"/>
      <c r="AY97" s="9">
        <f t="shared" si="120"/>
        <v>-4.4045191195327571E-2</v>
      </c>
      <c r="BC97" s="5">
        <f>VLOOKUP(R97,'[1]Coefficient Normal'!$A$10:$P$14,2,TRUE)</f>
        <v>-2.1276999999999999</v>
      </c>
      <c r="BD97" s="5">
        <f>VLOOKUP(R97,'[1]Coefficient Normal'!$A$10:$P$14,3,TRUE)</f>
        <v>0.14760000000000001</v>
      </c>
      <c r="BE97" s="5">
        <f>VLOOKUP(R97,'[1]Coefficient Normal'!$A$10:$P$14,4,TRUE)</f>
        <v>-0.21829999999999999</v>
      </c>
      <c r="BF97" s="5">
        <f>VLOOKUP(R97,'[1]Coefficient Normal'!$A$10:$P$14,5,TRUE)</f>
        <v>0.42270000000000002</v>
      </c>
      <c r="BG97" s="5">
        <f>VLOOKUP(R97,'[1]Coefficient Normal'!$A$10:$P$14,6,TRUE)</f>
        <v>-0.53720000000000001</v>
      </c>
      <c r="BH97" s="5">
        <f>VLOOKUP(R97,'[1]Coefficient Normal'!$A$10:$P$14,7,TRUE)</f>
        <v>1.252</v>
      </c>
      <c r="BI97" s="5">
        <f>VLOOKUP(R97,'[1]Coefficient Normal'!$A$10:$P$14,8,TRUE)</f>
        <v>-5.9999999999999995E-4</v>
      </c>
      <c r="BJ97" s="5">
        <f>VLOOKUP(R97,'[1]Coefficient Normal'!$A$10:$P$14,9,TRUE)</f>
        <v>5.3E-3</v>
      </c>
      <c r="BK97" s="5">
        <f>VLOOKUP(R97,'[1]Coefficient Normal'!$A$10:$P$14,10,TRUE)</f>
        <v>-4.8500000000000001E-2</v>
      </c>
      <c r="BL97" s="5">
        <f>VLOOKUP(R97,'[1]Coefficient Normal'!$A$10:$P$14,11,TRUE)</f>
        <v>1.2999999999999999E-3</v>
      </c>
      <c r="BM97" s="5">
        <f>VLOOKUP(R97,'[1]Coefficient Normal'!$A$10:$P$14,12,TRUE)</f>
        <v>-0.56599999999999995</v>
      </c>
      <c r="BN97" s="5">
        <f>VLOOKUP(R97,'[1]Coefficient Normal'!$A$10:$P$14,13,TRUE)</f>
        <v>-3.2099999999999997E-2</v>
      </c>
      <c r="BO97" s="5">
        <f>VLOOKUP(R97,'[1]Coefficient Normal'!$A$10:$P$14,14,TRUE)</f>
        <v>0.84970000000000001</v>
      </c>
      <c r="BP97" s="5">
        <f>VLOOKUP(R97,'[1]Coefficient Normal'!$A$10:$P$14,15,TRUE)</f>
        <v>9.01E-2</v>
      </c>
      <c r="BQ97" s="5"/>
      <c r="BR97" s="5"/>
      <c r="BS97" s="5"/>
      <c r="BT97" s="5"/>
      <c r="BU97" s="5"/>
      <c r="BV97" s="5"/>
      <c r="BW97" s="5"/>
      <c r="BX97" s="5"/>
      <c r="BY97" s="5"/>
      <c r="CB97" s="6">
        <f t="shared" si="121"/>
        <v>0</v>
      </c>
      <c r="CC97" s="10">
        <f t="shared" si="122"/>
        <v>1</v>
      </c>
      <c r="CD97" s="10">
        <f t="shared" si="123"/>
        <v>1</v>
      </c>
      <c r="CE97" s="9">
        <f t="shared" si="124"/>
        <v>1.0163642607280992</v>
      </c>
      <c r="CG97" s="8">
        <f t="shared" si="125"/>
        <v>-0.51084762400799422</v>
      </c>
      <c r="CN97" s="9">
        <f t="shared" si="126"/>
        <v>-0.46680243281266665</v>
      </c>
      <c r="CO97" s="9">
        <f t="shared" si="127"/>
        <v>-0.47444130953172409</v>
      </c>
      <c r="CP97" s="9">
        <f t="shared" si="128"/>
        <v>0.58459757498563147</v>
      </c>
      <c r="CQ97" s="9">
        <f t="shared" si="129"/>
        <v>0</v>
      </c>
      <c r="CR97" s="9">
        <f t="shared" si="130"/>
        <v>1.930997935837153</v>
      </c>
      <c r="CS97" s="9">
        <f t="shared" si="131"/>
        <v>0.37235866539680262</v>
      </c>
      <c r="CT97" s="9">
        <f t="shared" si="132"/>
        <v>0.28581286668786332</v>
      </c>
      <c r="CU97" s="12">
        <f t="shared" si="151"/>
        <v>1.3308433868176077</v>
      </c>
      <c r="CV97">
        <f t="shared" si="133"/>
        <v>1.0000000000000001E-5</v>
      </c>
      <c r="CW97">
        <f t="shared" si="134"/>
        <v>1.3308433868176077</v>
      </c>
      <c r="CX97">
        <f>VLOOKUP(R97,'[1]Coefficient Normal'!$A$10:$P$14,16,TRUE)</f>
        <v>0.50170000000000003</v>
      </c>
      <c r="CY97">
        <f t="shared" si="135"/>
        <v>0.01</v>
      </c>
      <c r="CZ97">
        <f t="shared" si="136"/>
        <v>0.50170000000000003</v>
      </c>
      <c r="DA97">
        <v>0.3</v>
      </c>
      <c r="DB97">
        <v>0.3</v>
      </c>
      <c r="DC97">
        <v>0.3</v>
      </c>
    </row>
    <row r="98" spans="1:107" x14ac:dyDescent="0.25">
      <c r="A98">
        <v>71</v>
      </c>
      <c r="B98">
        <v>0</v>
      </c>
      <c r="C98" t="str">
        <f t="shared" si="114"/>
        <v>Normal</v>
      </c>
      <c r="D98">
        <v>1.0668</v>
      </c>
      <c r="E98">
        <f t="shared" si="137"/>
        <v>1066.8</v>
      </c>
      <c r="F98" s="8">
        <v>9.5250000000000005E-3</v>
      </c>
      <c r="G98">
        <f t="shared" si="137"/>
        <v>9.5250000000000004</v>
      </c>
      <c r="H98" s="3">
        <f t="shared" si="138"/>
        <v>111.99999999999999</v>
      </c>
      <c r="I98" s="1">
        <v>100</v>
      </c>
      <c r="J98" s="4" t="s">
        <v>75</v>
      </c>
      <c r="K98" s="1">
        <f t="shared" si="139"/>
        <v>14</v>
      </c>
      <c r="L98" s="1">
        <f t="shared" si="140"/>
        <v>15</v>
      </c>
      <c r="M98" s="1">
        <f t="shared" si="141"/>
        <v>483000</v>
      </c>
      <c r="N98" s="1">
        <f t="shared" si="142"/>
        <v>565000</v>
      </c>
      <c r="O98" s="1">
        <f t="shared" si="143"/>
        <v>2.8799444073326219</v>
      </c>
      <c r="P98" s="3">
        <f>100*IF(J98='[1]Estimation Model Normal-Slip'!$J$8,'[1]Estimation Model Normal-Slip'!$O$8,IF(J98='[1]Estimation Model Normal-Slip'!$J$9,'[1]Estimation Model Normal-Slip'!$O$9,IF(J98='[1]Estimation Model Normal-Slip'!$J$10,'[1]Estimation Model Normal-Slip'!$O$10,IF(J98='[1]Estimation Model Normal-Slip'!$J$11,'[1]Estimation Model Normal-Slip'!$O$11,IF(J98='[1]Estimation Model Normal-Slip'!$J$12,'[1]Estimation Model Normal-Slip'!$O$12,IF(J98='[1]Estimation Model Normal-Slip'!$J$13,'[1]Estimation Model Normal-Slip'!$O$13,2))))))</f>
        <v>2.7690517990613435</v>
      </c>
      <c r="Q98" s="1">
        <f t="shared" si="144"/>
        <v>1.0577709909520427</v>
      </c>
      <c r="R98" s="1">
        <v>75</v>
      </c>
      <c r="S98" s="1" t="s">
        <v>78</v>
      </c>
      <c r="T98" t="s">
        <v>79</v>
      </c>
      <c r="U98">
        <f t="shared" si="145"/>
        <v>18</v>
      </c>
      <c r="V98" s="1">
        <f t="shared" si="146"/>
        <v>37</v>
      </c>
      <c r="W98">
        <f t="shared" si="147"/>
        <v>0</v>
      </c>
      <c r="X98">
        <f t="shared" si="148"/>
        <v>0</v>
      </c>
      <c r="Y98">
        <v>0.9</v>
      </c>
      <c r="Z98" s="1">
        <v>1</v>
      </c>
      <c r="AA98" s="1">
        <f t="shared" si="115"/>
        <v>1.8</v>
      </c>
      <c r="AB98">
        <f t="shared" si="149"/>
        <v>39.626853336736396</v>
      </c>
      <c r="AE98">
        <f>IF(T98="medium dense",'[1]Coefficient Normal'!$E$18 + ('[1]Coefficient Normal'!$E$19*AA98) + ('[1]Coefficient Normal'!$E$20*(AA98^2)) + ('[1]Coefficient Normal'!$E$21*(AA98^3)) + ('[1]Coefficient Normal'!$E$22*(AA98^4)),IF(T98="dense",'[1]Coefficient Normal'!$F$18 + ('[1]Coefficient Normal'!$F$19*AA98) + ('[1]Coefficient Normal'!$F$20*(AA98^2)) + ('[1]Coefficient Normal'!$F$21*(AA98^3)) + ('[1]Coefficient Normal'!$F$22*(AA98^4)),IF(T98="very dense",'[1]Coefficient Normal'!$G$18 + ('[1]Coefficient Normal'!$G$19*AA98) + ('[1]Coefficient Normal'!$G$20*(AA98^2)) + ('[1]Coefficient Normal'!$G$21*(AA98^3)) + ('[1]Coefficient Normal'!$G$22*(AA98^4)),0)))</f>
        <v>12.698394373823998</v>
      </c>
      <c r="AF98">
        <f t="shared" si="116"/>
        <v>64.071522599936642</v>
      </c>
      <c r="AG98">
        <f t="shared" si="117"/>
        <v>900.09607289656856</v>
      </c>
      <c r="AH98" s="8">
        <f t="shared" si="150"/>
        <v>6.8025015052900386</v>
      </c>
      <c r="AI98" s="8">
        <f t="shared" si="118"/>
        <v>4.7184988712950942</v>
      </c>
      <c r="AJ98" s="8">
        <f t="shared" si="119"/>
        <v>3.6795070030086925</v>
      </c>
      <c r="AK98" s="11">
        <v>0.74998350000000003</v>
      </c>
      <c r="AL98" s="5">
        <f>VLOOKUP(R98,'[1]Coefficient Normal'!$A$3:$H$7,2,TRUE)</f>
        <v>5.5951000000000004</v>
      </c>
      <c r="AM98" s="5">
        <f>VLOOKUP(R98,'[1]Coefficient Normal'!$A$3:$H$7,3,TRUE)</f>
        <v>1.6E-2</v>
      </c>
      <c r="AN98" s="5">
        <f>VLOOKUP(R98,'[1]Coefficient Normal'!$A$3:$H$7,4,TRUE)</f>
        <v>1.2641</v>
      </c>
      <c r="AO98" s="5">
        <f>VLOOKUP(R98,'[1]Coefficient Normal'!$A$3:$H$7,5,TRUE)</f>
        <v>-0.52429999999999999</v>
      </c>
      <c r="AP98" s="5">
        <f>VLOOKUP(R98,'[1]Coefficient Normal'!$A$3:$H$7,6,TRUE)</f>
        <v>0.35830000000000001</v>
      </c>
      <c r="AQ98" s="5">
        <f>VLOOKUP(R98,'[1]Coefficient Normal'!$A$3:$H$7,7,TRUE)</f>
        <v>-0.35920000000000002</v>
      </c>
      <c r="AR98" s="5">
        <f>VLOOKUP(R98,'[1]Coefficient Normal'!$A$3:$H$7,8,TRUE)</f>
        <v>-0.2482</v>
      </c>
      <c r="AS98" s="5"/>
      <c r="AT98" s="5"/>
      <c r="AU98" s="5"/>
      <c r="AV98" s="5"/>
      <c r="AW98" s="5"/>
      <c r="AY98" s="9">
        <f t="shared" si="120"/>
        <v>0.29890207916201494</v>
      </c>
      <c r="BC98" s="5">
        <f>VLOOKUP(R98,'[1]Coefficient Normal'!$A$10:$P$14,2,TRUE)</f>
        <v>-2.3450000000000002</v>
      </c>
      <c r="BD98" s="5">
        <f>VLOOKUP(R98,'[1]Coefficient Normal'!$A$10:$P$14,3,TRUE)</f>
        <v>0.19470000000000001</v>
      </c>
      <c r="BE98" s="5">
        <f>VLOOKUP(R98,'[1]Coefficient Normal'!$A$10:$P$14,4,TRUE)</f>
        <v>-0.2044</v>
      </c>
      <c r="BF98" s="5">
        <f>VLOOKUP(R98,'[1]Coefficient Normal'!$A$10:$P$14,5,TRUE)</f>
        <v>0.4143</v>
      </c>
      <c r="BG98" s="5">
        <f>VLOOKUP(R98,'[1]Coefficient Normal'!$A$10:$P$14,6,TRUE)</f>
        <v>-0.55710000000000004</v>
      </c>
      <c r="BH98" s="5">
        <f>VLOOKUP(R98,'[1]Coefficient Normal'!$A$10:$P$14,7,TRUE)</f>
        <v>1.0931</v>
      </c>
      <c r="BI98" s="5">
        <f>VLOOKUP(R98,'[1]Coefficient Normal'!$A$10:$P$14,8,TRUE)</f>
        <v>1E-4</v>
      </c>
      <c r="BJ98" s="5">
        <f>VLOOKUP(R98,'[1]Coefficient Normal'!$A$10:$P$14,9,TRUE)</f>
        <v>3.5000000000000001E-3</v>
      </c>
      <c r="BK98" s="5">
        <f>VLOOKUP(R98,'[1]Coefficient Normal'!$A$10:$P$14,10,TRUE)</f>
        <v>-4.07E-2</v>
      </c>
      <c r="BL98" s="5">
        <f>VLOOKUP(R98,'[1]Coefficient Normal'!$A$10:$P$14,11,TRUE)</f>
        <v>1.6000000000000001E-3</v>
      </c>
      <c r="BM98" s="5">
        <f>VLOOKUP(R98,'[1]Coefficient Normal'!$A$10:$P$14,12,TRUE)</f>
        <v>-0.65949999999999998</v>
      </c>
      <c r="BN98" s="5">
        <f>VLOOKUP(R98,'[1]Coefficient Normal'!$A$10:$P$14,13,TRUE)</f>
        <v>-3.0099999999999998E-2</v>
      </c>
      <c r="BO98" s="5">
        <f>VLOOKUP(R98,'[1]Coefficient Normal'!$A$10:$P$14,14,TRUE)</f>
        <v>0.84219999999999995</v>
      </c>
      <c r="BP98" s="5">
        <f>VLOOKUP(R98,'[1]Coefficient Normal'!$A$10:$P$14,15,TRUE)</f>
        <v>0.50680000000000003</v>
      </c>
      <c r="BQ98" s="5"/>
      <c r="BR98" s="5"/>
      <c r="BS98" s="5"/>
      <c r="BT98" s="5"/>
      <c r="BU98" s="5"/>
      <c r="BV98" s="5"/>
      <c r="BW98" s="5"/>
      <c r="BX98" s="5"/>
      <c r="BY98" s="5"/>
      <c r="CB98" s="6">
        <f t="shared" si="121"/>
        <v>1</v>
      </c>
      <c r="CC98" s="10">
        <f t="shared" si="122"/>
        <v>1</v>
      </c>
      <c r="CD98" s="10">
        <f t="shared" si="123"/>
        <v>0</v>
      </c>
      <c r="CE98" s="9">
        <f t="shared" si="124"/>
        <v>1.2355626853336736</v>
      </c>
      <c r="CG98" s="8">
        <f t="shared" si="125"/>
        <v>-0.28770407269378445</v>
      </c>
      <c r="CN98" s="9">
        <f t="shared" si="126"/>
        <v>-0.58660615185579945</v>
      </c>
      <c r="CO98" s="9">
        <f t="shared" si="127"/>
        <v>-0.72478867222020427</v>
      </c>
      <c r="CP98" s="9">
        <f t="shared" si="128"/>
        <v>0.91869173024115491</v>
      </c>
      <c r="CQ98" s="9">
        <f t="shared" si="129"/>
        <v>-0.75209123141497669</v>
      </c>
      <c r="CR98" s="9">
        <f t="shared" si="130"/>
        <v>2.8182763736416629</v>
      </c>
      <c r="CS98" s="9">
        <f t="shared" si="131"/>
        <v>-3.6024043273759798E-2</v>
      </c>
      <c r="CT98" s="9">
        <f t="shared" si="132"/>
        <v>-0.12093584302612276</v>
      </c>
      <c r="CU98" s="12">
        <f t="shared" si="151"/>
        <v>0.8860908066740244</v>
      </c>
      <c r="CV98">
        <f t="shared" si="133"/>
        <v>1.0000000000000001E-5</v>
      </c>
      <c r="CW98">
        <f t="shared" si="134"/>
        <v>0.8860908066740244</v>
      </c>
      <c r="CX98">
        <f>VLOOKUP(R98,'[1]Coefficient Normal'!$A$10:$P$14,16,TRUE)</f>
        <v>0.43780000000000002</v>
      </c>
      <c r="CY98">
        <f t="shared" si="135"/>
        <v>0.01</v>
      </c>
      <c r="CZ98">
        <f t="shared" si="136"/>
        <v>0.43780000000000002</v>
      </c>
      <c r="DA98">
        <v>0.3</v>
      </c>
      <c r="DB98">
        <v>0.3</v>
      </c>
      <c r="DC98">
        <v>0.3</v>
      </c>
    </row>
    <row r="99" spans="1:107" x14ac:dyDescent="0.25">
      <c r="A99">
        <v>72</v>
      </c>
      <c r="B99">
        <v>4</v>
      </c>
      <c r="C99" t="str">
        <f t="shared" si="114"/>
        <v>Normal</v>
      </c>
      <c r="D99">
        <v>0.60960000000000003</v>
      </c>
      <c r="E99">
        <f t="shared" si="137"/>
        <v>609.6</v>
      </c>
      <c r="F99">
        <v>9.5250000000000005E-3</v>
      </c>
      <c r="G99">
        <f t="shared" si="137"/>
        <v>9.5250000000000004</v>
      </c>
      <c r="H99" s="3">
        <f t="shared" si="138"/>
        <v>64</v>
      </c>
      <c r="I99" s="1">
        <v>300</v>
      </c>
      <c r="J99" s="4" t="s">
        <v>77</v>
      </c>
      <c r="K99" s="1">
        <f t="shared" si="139"/>
        <v>15</v>
      </c>
      <c r="L99" s="1">
        <f t="shared" si="140"/>
        <v>20</v>
      </c>
      <c r="M99" s="1">
        <f t="shared" si="141"/>
        <v>552000</v>
      </c>
      <c r="N99" s="1">
        <f t="shared" si="142"/>
        <v>625000</v>
      </c>
      <c r="O99" s="1">
        <f t="shared" si="143"/>
        <v>2.9888368774026359</v>
      </c>
      <c r="P99" s="3">
        <f>100*IF(J99='[1]Estimation Model Normal-Slip'!$J$8,'[1]Estimation Model Normal-Slip'!$O$8,IF(J99='[1]Estimation Model Normal-Slip'!$J$9,'[1]Estimation Model Normal-Slip'!$O$9,IF(J99='[1]Estimation Model Normal-Slip'!$J$10,'[1]Estimation Model Normal-Slip'!$O$10,IF(J99='[1]Estimation Model Normal-Slip'!$J$11,'[1]Estimation Model Normal-Slip'!$O$11,IF(J99='[1]Estimation Model Normal-Slip'!$J$12,'[1]Estimation Model Normal-Slip'!$O$12,IF(J99='[1]Estimation Model Normal-Slip'!$J$13,'[1]Estimation Model Normal-Slip'!$O$13,2))))))</f>
        <v>2.8464933991254466</v>
      </c>
      <c r="Q99" s="1">
        <f t="shared" si="144"/>
        <v>1.0948843075076633</v>
      </c>
      <c r="R99" s="1">
        <v>90</v>
      </c>
      <c r="S99" s="1" t="s">
        <v>78</v>
      </c>
      <c r="T99" t="s">
        <v>80</v>
      </c>
      <c r="U99">
        <f t="shared" si="145"/>
        <v>18.5</v>
      </c>
      <c r="V99" s="1">
        <f t="shared" si="146"/>
        <v>40</v>
      </c>
      <c r="W99">
        <f t="shared" si="147"/>
        <v>0</v>
      </c>
      <c r="X99">
        <f t="shared" si="148"/>
        <v>0</v>
      </c>
      <c r="Y99">
        <v>0.9</v>
      </c>
      <c r="Z99" s="1">
        <v>1.2</v>
      </c>
      <c r="AA99" s="1">
        <f t="shared" si="115"/>
        <v>1.9685039370078738</v>
      </c>
      <c r="AB99">
        <f t="shared" si="149"/>
        <v>30.889355446920469</v>
      </c>
      <c r="AE99">
        <f>IF(T99="medium dense",'[1]Coefficient Normal'!$E$18 + ('[1]Coefficient Normal'!$E$19*AA99) + ('[1]Coefficient Normal'!$E$20*(AA99^2)) + ('[1]Coefficient Normal'!$E$21*(AA99^3)) + ('[1]Coefficient Normal'!$E$22*(AA99^4)),IF(T99="dense",'[1]Coefficient Normal'!$F$18 + ('[1]Coefficient Normal'!$F$19*AA99) + ('[1]Coefficient Normal'!$F$20*(AA99^2)) + ('[1]Coefficient Normal'!$F$21*(AA99^3)) + ('[1]Coefficient Normal'!$F$22*(AA99^4)),IF(T99="very dense",'[1]Coefficient Normal'!$G$18 + ('[1]Coefficient Normal'!$G$19*AA99) + ('[1]Coefficient Normal'!$G$20*(AA99^2)) + ('[1]Coefficient Normal'!$G$21*(AA99^3)) + ('[1]Coefficient Normal'!$G$22*(AA99^4)),0)))</f>
        <v>15.896480151009957</v>
      </c>
      <c r="AF99">
        <f t="shared" si="116"/>
        <v>80</v>
      </c>
      <c r="AG99">
        <f t="shared" si="117"/>
        <v>490.12197186123592</v>
      </c>
      <c r="AH99">
        <f t="shared" si="150"/>
        <v>6.1946542822944775</v>
      </c>
      <c r="AI99">
        <f t="shared" si="118"/>
        <v>4.1588830833596715</v>
      </c>
      <c r="AJ99">
        <f t="shared" si="119"/>
        <v>3.4304116406370531</v>
      </c>
      <c r="AK99" s="1">
        <v>2.75</v>
      </c>
      <c r="AL99" s="5">
        <f>VLOOKUP(R99,'[1]Coefficient Normal'!$A$3:$H$7,2,TRUE)</f>
        <v>14.575100000000001</v>
      </c>
      <c r="AM99" s="5">
        <f>VLOOKUP(R99,'[1]Coefficient Normal'!$A$3:$H$7,3,TRUE)</f>
        <v>0.1356</v>
      </c>
      <c r="AN99" s="5">
        <f>VLOOKUP(R99,'[1]Coefficient Normal'!$A$3:$H$7,4,TRUE)</f>
        <v>2.9990000000000001</v>
      </c>
      <c r="AO99" s="5">
        <f>VLOOKUP(R99,'[1]Coefficient Normal'!$A$3:$H$7,5,TRUE)</f>
        <v>-0.94710000000000005</v>
      </c>
      <c r="AP99" s="5">
        <f>VLOOKUP(R99,'[1]Coefficient Normal'!$A$3:$H$7,6,TRUE)</f>
        <v>0.6603</v>
      </c>
      <c r="AQ99" s="5">
        <f>VLOOKUP(R99,'[1]Coefficient Normal'!$A$3:$H$7,7,TRUE)</f>
        <v>-1.2488999999999999</v>
      </c>
      <c r="AR99" s="5">
        <f>VLOOKUP(R99,'[1]Coefficient Normal'!$A$3:$H$7,8,TRUE)</f>
        <v>-0.44140000000000001</v>
      </c>
      <c r="AS99" s="5"/>
      <c r="AT99" s="5"/>
      <c r="AU99" s="5"/>
      <c r="AV99" s="5"/>
      <c r="AW99" s="5"/>
      <c r="AY99" s="5">
        <f t="shared" si="120"/>
        <v>1.3975575406714862</v>
      </c>
      <c r="BC99" s="5">
        <f>VLOOKUP(R99,'[1]Coefficient Normal'!$A$10:$P$14,2,TRUE)</f>
        <v>5.1353999999999997</v>
      </c>
      <c r="BD99" s="5">
        <f>VLOOKUP(R99,'[1]Coefficient Normal'!$A$10:$P$14,3,TRUE)</f>
        <v>-4.9599999999999998E-2</v>
      </c>
      <c r="BE99" s="5">
        <f>VLOOKUP(R99,'[1]Coefficient Normal'!$A$10:$P$14,4,TRUE)</f>
        <v>0.44590000000000002</v>
      </c>
      <c r="BF99" s="5">
        <f>VLOOKUP(R99,'[1]Coefficient Normal'!$A$10:$P$14,5,TRUE)</f>
        <v>-0.83709999999999996</v>
      </c>
      <c r="BG99" s="5">
        <f>VLOOKUP(R99,'[1]Coefficient Normal'!$A$10:$P$14,6,TRUE)</f>
        <v>0.63090000000000002</v>
      </c>
      <c r="BH99" s="5">
        <f>VLOOKUP(R99,'[1]Coefficient Normal'!$A$10:$P$14,7,TRUE)</f>
        <v>0.91390000000000005</v>
      </c>
      <c r="BI99" s="5">
        <f>VLOOKUP(R99,'[1]Coefficient Normal'!$A$10:$P$14,8,TRUE)</f>
        <v>2.5000000000000001E-3</v>
      </c>
      <c r="BJ99" s="5">
        <f>VLOOKUP(R99,'[1]Coefficient Normal'!$A$10:$P$14,9,TRUE)</f>
        <v>1.6000000000000001E-3</v>
      </c>
      <c r="BK99" s="5">
        <f>VLOOKUP(R99,'[1]Coefficient Normal'!$A$10:$P$14,10,TRUE)</f>
        <v>-9.7500000000000003E-2</v>
      </c>
      <c r="BL99" s="5">
        <f>VLOOKUP(R99,'[1]Coefficient Normal'!$A$10:$P$14,11,TRUE)</f>
        <v>1.1999999999999999E-3</v>
      </c>
      <c r="BM99" s="5">
        <f>VLOOKUP(R99,'[1]Coefficient Normal'!$A$10:$P$14,12,TRUE)</f>
        <v>0.46479999999999999</v>
      </c>
      <c r="BN99" s="5">
        <f>VLOOKUP(R99,'[1]Coefficient Normal'!$A$10:$P$14,13,TRUE)</f>
        <v>8.0000000000000004E-4</v>
      </c>
      <c r="BO99" s="5">
        <f>VLOOKUP(R99,'[1]Coefficient Normal'!$A$10:$P$14,14,TRUE)</f>
        <v>6.7900000000000002E-2</v>
      </c>
      <c r="BP99" s="5">
        <f>VLOOKUP(R99,'[1]Coefficient Normal'!$A$10:$P$14,15,TRUE)</f>
        <v>0.58979999999999999</v>
      </c>
      <c r="BQ99" s="5"/>
      <c r="BR99" s="5"/>
      <c r="BS99" s="5"/>
      <c r="BT99" s="5"/>
      <c r="BU99" s="5"/>
      <c r="BV99" s="5"/>
      <c r="BW99" s="5"/>
      <c r="BX99" s="5"/>
      <c r="BY99" s="5"/>
      <c r="CB99" s="6">
        <f t="shared" si="121"/>
        <v>1</v>
      </c>
      <c r="CC99" s="6">
        <f t="shared" si="122"/>
        <v>1</v>
      </c>
      <c r="CD99" s="6">
        <f t="shared" si="123"/>
        <v>0</v>
      </c>
      <c r="CE99" s="5">
        <f t="shared" si="124"/>
        <v>0.97042338861730115</v>
      </c>
      <c r="CG99">
        <f t="shared" si="125"/>
        <v>1.0116009116784799</v>
      </c>
      <c r="CN99" s="5">
        <f t="shared" si="126"/>
        <v>-0.38595662899300631</v>
      </c>
      <c r="CO99" s="5">
        <f t="shared" si="127"/>
        <v>-0.37454133976670367</v>
      </c>
      <c r="CP99" s="5">
        <f t="shared" si="128"/>
        <v>-0.20628060093463971</v>
      </c>
      <c r="CQ99" s="5">
        <f t="shared" si="129"/>
        <v>1.529620550560062</v>
      </c>
      <c r="CR99" s="5">
        <f t="shared" si="130"/>
        <v>-5.1855450997087065</v>
      </c>
      <c r="CS99" s="5">
        <f t="shared" si="131"/>
        <v>-0.31226539005126003</v>
      </c>
      <c r="CT99" s="5">
        <f t="shared" si="132"/>
        <v>0.58638812009875241</v>
      </c>
      <c r="CU99" s="7">
        <f t="shared" si="151"/>
        <v>1.7974843788684016</v>
      </c>
      <c r="CV99">
        <f t="shared" si="133"/>
        <v>1.0000000000000001E-5</v>
      </c>
      <c r="CW99">
        <f t="shared" si="134"/>
        <v>1.7974843788684016</v>
      </c>
      <c r="CX99">
        <f>VLOOKUP(R99,'[1]Coefficient Normal'!$A$10:$P$14,16,TRUE)</f>
        <v>0.34749999999999998</v>
      </c>
      <c r="CY99">
        <f t="shared" si="135"/>
        <v>0.01</v>
      </c>
      <c r="CZ99">
        <f t="shared" si="136"/>
        <v>0.34749999999999998</v>
      </c>
      <c r="DA99">
        <v>0.3</v>
      </c>
      <c r="DB99">
        <v>0.3</v>
      </c>
      <c r="DC99">
        <v>0.3</v>
      </c>
    </row>
    <row r="100" spans="1:107" x14ac:dyDescent="0.25">
      <c r="A100">
        <v>73</v>
      </c>
      <c r="B100">
        <v>2</v>
      </c>
      <c r="C100" t="str">
        <f t="shared" si="114"/>
        <v>Normal</v>
      </c>
      <c r="D100">
        <v>0.40960000000000002</v>
      </c>
      <c r="E100">
        <f t="shared" si="137"/>
        <v>409.6</v>
      </c>
      <c r="F100">
        <v>9.5250000000000005E-3</v>
      </c>
      <c r="G100">
        <f t="shared" si="137"/>
        <v>9.5250000000000004</v>
      </c>
      <c r="H100" s="3">
        <f t="shared" si="138"/>
        <v>43.00262467191601</v>
      </c>
      <c r="I100" s="1">
        <v>30</v>
      </c>
      <c r="J100" s="4" t="s">
        <v>70</v>
      </c>
      <c r="K100" s="1">
        <f t="shared" si="139"/>
        <v>8</v>
      </c>
      <c r="L100" s="1">
        <f t="shared" si="140"/>
        <v>10</v>
      </c>
      <c r="M100" s="1">
        <f t="shared" si="141"/>
        <v>359000</v>
      </c>
      <c r="N100" s="1">
        <f t="shared" si="142"/>
        <v>455000</v>
      </c>
      <c r="O100" s="1">
        <f t="shared" si="143"/>
        <v>1.9969902892117808</v>
      </c>
      <c r="P100" s="3">
        <f>100*IF(J100='[1]Estimation Model Normal-Slip'!$J$8,'[1]Estimation Model Normal-Slip'!$O$8,IF(J100='[1]Estimation Model Normal-Slip'!$J$9,'[1]Estimation Model Normal-Slip'!$O$9,IF(J100='[1]Estimation Model Normal-Slip'!$J$10,'[1]Estimation Model Normal-Slip'!$O$10,IF(J100='[1]Estimation Model Normal-Slip'!$J$11,'[1]Estimation Model Normal-Slip'!$O$11,IF(J100='[1]Estimation Model Normal-Slip'!$J$12,'[1]Estimation Model Normal-Slip'!$O$12,IF(J100='[1]Estimation Model Normal-Slip'!$J$13,'[1]Estimation Model Normal-Slip'!$O$13,2))))))</f>
        <v>1.9041242414694344</v>
      </c>
      <c r="Q100" s="1">
        <f t="shared" si="144"/>
        <v>0.69164119173371341</v>
      </c>
      <c r="R100" s="1">
        <v>45</v>
      </c>
      <c r="S100" s="1" t="s">
        <v>78</v>
      </c>
      <c r="T100" t="s">
        <v>81</v>
      </c>
      <c r="U100">
        <f t="shared" si="145"/>
        <v>19</v>
      </c>
      <c r="V100" s="1">
        <f t="shared" si="146"/>
        <v>43</v>
      </c>
      <c r="W100">
        <f t="shared" si="147"/>
        <v>0</v>
      </c>
      <c r="X100">
        <f t="shared" si="148"/>
        <v>0</v>
      </c>
      <c r="Y100">
        <v>0.9</v>
      </c>
      <c r="Z100" s="1">
        <v>0.78739999999999999</v>
      </c>
      <c r="AA100" s="1">
        <f t="shared" si="115"/>
        <v>1.9223632812499998</v>
      </c>
      <c r="AB100">
        <f t="shared" si="149"/>
        <v>15.423155931843731</v>
      </c>
      <c r="AE100">
        <f>IF(T100="medium dense",'[1]Coefficient Normal'!$E$18 + ('[1]Coefficient Normal'!$E$19*AA100) + ('[1]Coefficient Normal'!$E$20*(AA100^2)) + ('[1]Coefficient Normal'!$E$21*(AA100^3)) + ('[1]Coefficient Normal'!$E$22*(AA100^4)),IF(T100="dense",'[1]Coefficient Normal'!$F$18 + ('[1]Coefficient Normal'!$F$19*AA100) + ('[1]Coefficient Normal'!$F$20*(AA100^2)) + ('[1]Coefficient Normal'!$F$21*(AA100^3)) + ('[1]Coefficient Normal'!$F$22*(AA100^4)),IF(T100="very dense",'[1]Coefficient Normal'!$G$18 + ('[1]Coefficient Normal'!$G$19*AA100) + ('[1]Coefficient Normal'!$G$20*(AA100^2)) + ('[1]Coefficient Normal'!$G$21*(AA100^3)) + ('[1]Coefficient Normal'!$G$22*(AA100^4)),0)))</f>
        <v>18.720510313797256</v>
      </c>
      <c r="AF100">
        <f t="shared" si="116"/>
        <v>80</v>
      </c>
      <c r="AG100">
        <f t="shared" si="117"/>
        <v>242.22354087960383</v>
      </c>
      <c r="AH100">
        <f t="shared" si="150"/>
        <v>5.4898610224304614</v>
      </c>
      <c r="AI100">
        <f t="shared" si="118"/>
        <v>3.7612611527125335</v>
      </c>
      <c r="AJ100">
        <f t="shared" si="119"/>
        <v>2.7358700120349009</v>
      </c>
      <c r="AK100" s="1">
        <v>3</v>
      </c>
      <c r="AL100" s="5">
        <f>VLOOKUP(R100,'[1]Coefficient Normal'!$A$3:$H$7,2,TRUE)</f>
        <v>3.7532999999999999</v>
      </c>
      <c r="AM100" s="5">
        <f>VLOOKUP(R100,'[1]Coefficient Normal'!$A$3:$H$7,3,TRUE)</f>
        <v>0.14510000000000001</v>
      </c>
      <c r="AN100" s="5">
        <f>VLOOKUP(R100,'[1]Coefficient Normal'!$A$3:$H$7,4,TRUE)</f>
        <v>1.2497</v>
      </c>
      <c r="AO100" s="5">
        <f>VLOOKUP(R100,'[1]Coefficient Normal'!$A$3:$H$7,5,TRUE)</f>
        <v>-0.46100000000000002</v>
      </c>
      <c r="AP100" s="5">
        <f>VLOOKUP(R100,'[1]Coefficient Normal'!$A$3:$H$7,6,TRUE)</f>
        <v>0.39140000000000003</v>
      </c>
      <c r="AQ100" s="5">
        <f>VLOOKUP(R100,'[1]Coefficient Normal'!$A$3:$H$7,7,TRUE)</f>
        <v>-0.21310000000000001</v>
      </c>
      <c r="AR100" s="5">
        <f>VLOOKUP(R100,'[1]Coefficient Normal'!$A$3:$H$7,8,TRUE)</f>
        <v>-0.34139999999999998</v>
      </c>
      <c r="AS100" s="5"/>
      <c r="AT100" s="5"/>
      <c r="AU100" s="5"/>
      <c r="AV100" s="5"/>
      <c r="AW100" s="5"/>
      <c r="AY100" s="5">
        <f t="shared" si="120"/>
        <v>-0.43578467917484187</v>
      </c>
      <c r="BC100" s="5">
        <f>VLOOKUP(R100,'[1]Coefficient Normal'!$A$10:$P$14,2,TRUE)</f>
        <v>-1.1082000000000001</v>
      </c>
      <c r="BD100" s="5">
        <f>VLOOKUP(R100,'[1]Coefficient Normal'!$A$10:$P$14,3,TRUE)</f>
        <v>0.10630000000000001</v>
      </c>
      <c r="BE100" s="5">
        <f>VLOOKUP(R100,'[1]Coefficient Normal'!$A$10:$P$14,4,TRUE)</f>
        <v>-0.1439</v>
      </c>
      <c r="BF100" s="5">
        <f>VLOOKUP(R100,'[1]Coefficient Normal'!$A$10:$P$14,5,TRUE)</f>
        <v>0.27879999999999999</v>
      </c>
      <c r="BG100" s="5">
        <f>VLOOKUP(R100,'[1]Coefficient Normal'!$A$10:$P$14,6,TRUE)</f>
        <v>-0.31030000000000002</v>
      </c>
      <c r="BH100" s="5">
        <f>VLOOKUP(R100,'[1]Coefficient Normal'!$A$10:$P$14,7,TRUE)</f>
        <v>1.2553000000000001</v>
      </c>
      <c r="BI100" s="5">
        <f>VLOOKUP(R100,'[1]Coefficient Normal'!$A$10:$P$14,8,TRUE)</f>
        <v>2.9999999999999997E-4</v>
      </c>
      <c r="BJ100" s="5">
        <f>VLOOKUP(R100,'[1]Coefficient Normal'!$A$10:$P$14,9,TRUE)</f>
        <v>5.1999999999999998E-3</v>
      </c>
      <c r="BK100" s="5">
        <f>VLOOKUP(R100,'[1]Coefficient Normal'!$A$10:$P$14,10,TRUE)</f>
        <v>-8.5900000000000004E-2</v>
      </c>
      <c r="BL100" s="5">
        <f>VLOOKUP(R100,'[1]Coefficient Normal'!$A$10:$P$14,11,TRUE)</f>
        <v>5.9999999999999995E-4</v>
      </c>
      <c r="BM100" s="5">
        <f>VLOOKUP(R100,'[1]Coefficient Normal'!$A$10:$P$14,12,TRUE)</f>
        <v>-0.21759999999999999</v>
      </c>
      <c r="BN100" s="5">
        <f>VLOOKUP(R100,'[1]Coefficient Normal'!$A$10:$P$14,13,TRUE)</f>
        <v>-2.69E-2</v>
      </c>
      <c r="BO100" s="5">
        <f>VLOOKUP(R100,'[1]Coefficient Normal'!$A$10:$P$14,14,TRUE)</f>
        <v>0.57389999999999997</v>
      </c>
      <c r="BP100" s="5">
        <f>VLOOKUP(R100,'[1]Coefficient Normal'!$A$10:$P$14,15,TRUE)</f>
        <v>0.34460000000000002</v>
      </c>
      <c r="BQ100" s="5"/>
      <c r="BR100" s="5"/>
      <c r="BS100" s="5"/>
      <c r="BT100" s="5"/>
      <c r="BU100" s="5"/>
      <c r="BV100" s="5"/>
      <c r="BW100" s="5"/>
      <c r="BX100" s="5"/>
      <c r="BY100" s="5"/>
      <c r="CB100" s="6">
        <f t="shared" si="121"/>
        <v>1</v>
      </c>
      <c r="CC100" s="6">
        <f t="shared" si="122"/>
        <v>0</v>
      </c>
      <c r="CD100" s="6">
        <f t="shared" si="123"/>
        <v>1</v>
      </c>
      <c r="CE100" s="5">
        <f t="shared" si="124"/>
        <v>1.9037395546714377</v>
      </c>
      <c r="CG100">
        <f t="shared" si="125"/>
        <v>1.0986122886681098</v>
      </c>
      <c r="CN100" s="5">
        <f t="shared" si="126"/>
        <v>1.5343969678429517</v>
      </c>
      <c r="CO100" s="5">
        <f t="shared" si="127"/>
        <v>2.9210922002505453</v>
      </c>
      <c r="CP100" s="5">
        <f t="shared" si="128"/>
        <v>0.39982206053334235</v>
      </c>
      <c r="CQ100" s="5">
        <f t="shared" si="129"/>
        <v>-0.39369169473182225</v>
      </c>
      <c r="CR100" s="5">
        <f t="shared" si="130"/>
        <v>1.5305732530536127</v>
      </c>
      <c r="CS100" s="5">
        <f t="shared" si="131"/>
        <v>0.27696577589119714</v>
      </c>
      <c r="CT100" s="5">
        <f t="shared" si="132"/>
        <v>3.626561594996875</v>
      </c>
      <c r="CU100" s="7">
        <f t="shared" si="151"/>
        <v>37.583367356871307</v>
      </c>
      <c r="CV100">
        <f t="shared" si="133"/>
        <v>1.0000000000000001E-5</v>
      </c>
      <c r="CW100">
        <f t="shared" si="134"/>
        <v>37.583367356871307</v>
      </c>
      <c r="CX100">
        <f>VLOOKUP(R100,'[1]Coefficient Normal'!$A$10:$P$14,16,TRUE)</f>
        <v>0.3997</v>
      </c>
      <c r="CY100">
        <f t="shared" si="135"/>
        <v>0.01</v>
      </c>
      <c r="CZ100">
        <f t="shared" si="136"/>
        <v>0.3997</v>
      </c>
      <c r="DA100">
        <v>0.3</v>
      </c>
      <c r="DB100">
        <v>0.3</v>
      </c>
      <c r="DC100">
        <v>0.3</v>
      </c>
    </row>
    <row r="101" spans="1:107" x14ac:dyDescent="0.25">
      <c r="A101">
        <v>74</v>
      </c>
      <c r="B101">
        <v>0</v>
      </c>
      <c r="C101" t="str">
        <f t="shared" si="114"/>
        <v>Normal</v>
      </c>
      <c r="D101">
        <v>0.89600000000000002</v>
      </c>
      <c r="E101">
        <f t="shared" si="137"/>
        <v>896</v>
      </c>
      <c r="F101">
        <v>9.5250000000000005E-3</v>
      </c>
      <c r="G101">
        <f t="shared" si="137"/>
        <v>9.5250000000000004</v>
      </c>
      <c r="H101" s="3">
        <f t="shared" si="138"/>
        <v>94.068241469816272</v>
      </c>
      <c r="I101" s="1">
        <v>50</v>
      </c>
      <c r="J101" s="4" t="s">
        <v>73</v>
      </c>
      <c r="K101" s="1">
        <f t="shared" si="139"/>
        <v>8</v>
      </c>
      <c r="L101" s="1">
        <f t="shared" si="140"/>
        <v>12</v>
      </c>
      <c r="M101" s="1">
        <f t="shared" si="141"/>
        <v>414000</v>
      </c>
      <c r="N101" s="1">
        <f t="shared" si="142"/>
        <v>517000</v>
      </c>
      <c r="O101" s="1">
        <f t="shared" si="143"/>
        <v>2.5466769467238102</v>
      </c>
      <c r="P101" s="3">
        <f>100*IF(J101='[1]Estimation Model Normal-Slip'!$J$8,'[1]Estimation Model Normal-Slip'!$O$8,IF(J101='[1]Estimation Model Normal-Slip'!$J$9,'[1]Estimation Model Normal-Slip'!$O$9,IF(J101='[1]Estimation Model Normal-Slip'!$J$10,'[1]Estimation Model Normal-Slip'!$O$10,IF(J101='[1]Estimation Model Normal-Slip'!$J$11,'[1]Estimation Model Normal-Slip'!$O$11,IF(J101='[1]Estimation Model Normal-Slip'!$J$12,'[1]Estimation Model Normal-Slip'!$O$12,IF(J101='[1]Estimation Model Normal-Slip'!$J$13,'[1]Estimation Model Normal-Slip'!$O$13,2))))))</f>
        <v>2.4313344008036557</v>
      </c>
      <c r="Q101" s="1">
        <f t="shared" si="144"/>
        <v>0.93478935117382533</v>
      </c>
      <c r="R101" s="1">
        <v>60</v>
      </c>
      <c r="S101" s="1" t="s">
        <v>78</v>
      </c>
      <c r="T101" t="s">
        <v>79</v>
      </c>
      <c r="U101">
        <f t="shared" si="145"/>
        <v>18</v>
      </c>
      <c r="V101" s="1">
        <f t="shared" si="146"/>
        <v>37</v>
      </c>
      <c r="W101">
        <f t="shared" si="147"/>
        <v>0</v>
      </c>
      <c r="X101">
        <f t="shared" si="148"/>
        <v>0</v>
      </c>
      <c r="Y101">
        <v>0.9</v>
      </c>
      <c r="Z101" s="1">
        <v>1</v>
      </c>
      <c r="AA101" s="1">
        <f t="shared" si="115"/>
        <v>1.8</v>
      </c>
      <c r="AB101">
        <f t="shared" si="149"/>
        <v>33.282396503295658</v>
      </c>
      <c r="AE101">
        <f>IF(T101="medium dense",'[1]Coefficient Normal'!$E$18 + ('[1]Coefficient Normal'!$E$19*AA101) + ('[1]Coefficient Normal'!$E$20*(AA101^2)) + ('[1]Coefficient Normal'!$E$21*(AA101^3)) + ('[1]Coefficient Normal'!$E$22*(AA101^4)),IF(T101="dense",'[1]Coefficient Normal'!$F$18 + ('[1]Coefficient Normal'!$F$19*AA101) + ('[1]Coefficient Normal'!$F$20*(AA101^2)) + ('[1]Coefficient Normal'!$F$21*(AA101^3)) + ('[1]Coefficient Normal'!$F$22*(AA101^4)),IF(T101="very dense",'[1]Coefficient Normal'!$G$18 + ('[1]Coefficient Normal'!$G$19*AA101) + ('[1]Coefficient Normal'!$G$20*(AA101^2)) + ('[1]Coefficient Normal'!$G$21*(AA101^3)) + ('[1]Coefficient Normal'!$G$22*(AA101^4)),0)))</f>
        <v>12.698394373823998</v>
      </c>
      <c r="AF101">
        <f t="shared" si="116"/>
        <v>64.071522599936642</v>
      </c>
      <c r="AG101">
        <f t="shared" si="117"/>
        <v>667.7384958493501</v>
      </c>
      <c r="AH101">
        <f t="shared" si="150"/>
        <v>6.5038966236115616</v>
      </c>
      <c r="AI101">
        <f t="shared" si="118"/>
        <v>4.5440204919621658</v>
      </c>
      <c r="AJ101">
        <f t="shared" si="119"/>
        <v>3.5050286236757637</v>
      </c>
      <c r="AK101" s="1">
        <v>0.2</v>
      </c>
      <c r="AL101" s="5">
        <f>VLOOKUP(R101,'[1]Coefficient Normal'!$A$3:$H$7,2,TRUE)</f>
        <v>4.3182999999999998</v>
      </c>
      <c r="AM101" s="5">
        <f>VLOOKUP(R101,'[1]Coefficient Normal'!$A$3:$H$7,3,TRUE)</f>
        <v>-2.7900000000000001E-2</v>
      </c>
      <c r="AN101" s="5">
        <f>VLOOKUP(R101,'[1]Coefficient Normal'!$A$3:$H$7,4,TRUE)</f>
        <v>1.0497000000000001</v>
      </c>
      <c r="AO101" s="5">
        <f>VLOOKUP(R101,'[1]Coefficient Normal'!$A$3:$H$7,5,TRUE)</f>
        <v>-0.46910000000000002</v>
      </c>
      <c r="AP101" s="5">
        <f>VLOOKUP(R101,'[1]Coefficient Normal'!$A$3:$H$7,6,TRUE)</f>
        <v>0.29149999999999998</v>
      </c>
      <c r="AQ101" s="5">
        <f>VLOOKUP(R101,'[1]Coefficient Normal'!$A$3:$H$7,7,TRUE)</f>
        <v>-0.28610000000000002</v>
      </c>
      <c r="AR101" s="5">
        <f>VLOOKUP(R101,'[1]Coefficient Normal'!$A$3:$H$7,8,TRUE)</f>
        <v>-0.1348</v>
      </c>
      <c r="AS101" s="5"/>
      <c r="AT101" s="5"/>
      <c r="AU101" s="5"/>
      <c r="AV101" s="5"/>
      <c r="AW101" s="5"/>
      <c r="AY101" s="5">
        <f t="shared" si="120"/>
        <v>-9.8469706098252174E-2</v>
      </c>
      <c r="BC101" s="5">
        <f>VLOOKUP(R101,'[1]Coefficient Normal'!$A$10:$P$14,2,TRUE)</f>
        <v>-2.1276999999999999</v>
      </c>
      <c r="BD101" s="5">
        <f>VLOOKUP(R101,'[1]Coefficient Normal'!$A$10:$P$14,3,TRUE)</f>
        <v>0.14760000000000001</v>
      </c>
      <c r="BE101" s="5">
        <f>VLOOKUP(R101,'[1]Coefficient Normal'!$A$10:$P$14,4,TRUE)</f>
        <v>-0.21829999999999999</v>
      </c>
      <c r="BF101" s="5">
        <f>VLOOKUP(R101,'[1]Coefficient Normal'!$A$10:$P$14,5,TRUE)</f>
        <v>0.42270000000000002</v>
      </c>
      <c r="BG101" s="5">
        <f>VLOOKUP(R101,'[1]Coefficient Normal'!$A$10:$P$14,6,TRUE)</f>
        <v>-0.53720000000000001</v>
      </c>
      <c r="BH101" s="5">
        <f>VLOOKUP(R101,'[1]Coefficient Normal'!$A$10:$P$14,7,TRUE)</f>
        <v>1.252</v>
      </c>
      <c r="BI101" s="5">
        <f>VLOOKUP(R101,'[1]Coefficient Normal'!$A$10:$P$14,8,TRUE)</f>
        <v>-5.9999999999999995E-4</v>
      </c>
      <c r="BJ101" s="5">
        <f>VLOOKUP(R101,'[1]Coefficient Normal'!$A$10:$P$14,9,TRUE)</f>
        <v>5.3E-3</v>
      </c>
      <c r="BK101" s="5">
        <f>VLOOKUP(R101,'[1]Coefficient Normal'!$A$10:$P$14,10,TRUE)</f>
        <v>-4.8500000000000001E-2</v>
      </c>
      <c r="BL101" s="5">
        <f>VLOOKUP(R101,'[1]Coefficient Normal'!$A$10:$P$14,11,TRUE)</f>
        <v>1.2999999999999999E-3</v>
      </c>
      <c r="BM101" s="5">
        <f>VLOOKUP(R101,'[1]Coefficient Normal'!$A$10:$P$14,12,TRUE)</f>
        <v>-0.56599999999999995</v>
      </c>
      <c r="BN101" s="5">
        <f>VLOOKUP(R101,'[1]Coefficient Normal'!$A$10:$P$14,13,TRUE)</f>
        <v>-3.2099999999999997E-2</v>
      </c>
      <c r="BO101" s="5">
        <f>VLOOKUP(R101,'[1]Coefficient Normal'!$A$10:$P$14,14,TRUE)</f>
        <v>0.84970000000000001</v>
      </c>
      <c r="BP101" s="5">
        <f>VLOOKUP(R101,'[1]Coefficient Normal'!$A$10:$P$14,15,TRUE)</f>
        <v>9.01E-2</v>
      </c>
      <c r="BQ101" s="5"/>
      <c r="BR101" s="5"/>
      <c r="BS101" s="5"/>
      <c r="BT101" s="5"/>
      <c r="BU101" s="5"/>
      <c r="BV101" s="5"/>
      <c r="BW101" s="5"/>
      <c r="BX101" s="5"/>
      <c r="BY101" s="5"/>
      <c r="CB101" s="6">
        <f t="shared" si="121"/>
        <v>1</v>
      </c>
      <c r="CC101" s="6">
        <f t="shared" si="122"/>
        <v>1</v>
      </c>
      <c r="CD101" s="6">
        <f t="shared" si="123"/>
        <v>1</v>
      </c>
      <c r="CE101" s="5">
        <f t="shared" si="124"/>
        <v>1.0893192760087838</v>
      </c>
      <c r="CG101">
        <f t="shared" si="125"/>
        <v>-1.6094379124341003</v>
      </c>
      <c r="CN101" s="5">
        <f t="shared" si="126"/>
        <v>-1.5109682063358481</v>
      </c>
      <c r="CO101" s="5">
        <f t="shared" si="127"/>
        <v>-1.6459267925980565</v>
      </c>
      <c r="CP101" s="5">
        <f t="shared" si="128"/>
        <v>0.6706974246136157</v>
      </c>
      <c r="CQ101" s="5">
        <f t="shared" si="129"/>
        <v>-0.76514774854841916</v>
      </c>
      <c r="CR101" s="5">
        <f t="shared" si="130"/>
        <v>2.7491971028006073</v>
      </c>
      <c r="CS101" s="5">
        <f t="shared" si="131"/>
        <v>5.8992546019071369E-2</v>
      </c>
      <c r="CT101" s="5">
        <f t="shared" si="132"/>
        <v>-1.0598874677131811</v>
      </c>
      <c r="CU101" s="7">
        <f t="shared" si="151"/>
        <v>0.34649479998843213</v>
      </c>
      <c r="CV101">
        <f t="shared" si="133"/>
        <v>1.0000000000000001E-5</v>
      </c>
      <c r="CW101">
        <f t="shared" si="134"/>
        <v>0.34649479998843213</v>
      </c>
      <c r="CX101">
        <f>VLOOKUP(R101,'[1]Coefficient Normal'!$A$10:$P$14,16,TRUE)</f>
        <v>0.50170000000000003</v>
      </c>
      <c r="CY101">
        <f t="shared" si="135"/>
        <v>0.01</v>
      </c>
      <c r="CZ101">
        <f t="shared" si="136"/>
        <v>0.50170000000000003</v>
      </c>
      <c r="DA101">
        <v>0.3</v>
      </c>
      <c r="DB101">
        <v>0.3</v>
      </c>
      <c r="DC101">
        <v>0.3</v>
      </c>
    </row>
    <row r="102" spans="1:107" x14ac:dyDescent="0.25">
      <c r="A102">
        <v>75</v>
      </c>
      <c r="B102">
        <v>3</v>
      </c>
      <c r="C102" t="str">
        <f t="shared" si="114"/>
        <v>Normal</v>
      </c>
      <c r="D102">
        <v>0.5</v>
      </c>
      <c r="E102">
        <f t="shared" si="137"/>
        <v>500</v>
      </c>
      <c r="F102">
        <v>9.5250000000000005E-3</v>
      </c>
      <c r="G102">
        <f t="shared" si="137"/>
        <v>9.5250000000000004</v>
      </c>
      <c r="H102" s="3">
        <f t="shared" si="138"/>
        <v>52.493438320209975</v>
      </c>
      <c r="I102" s="1">
        <v>100</v>
      </c>
      <c r="J102" s="4" t="s">
        <v>75</v>
      </c>
      <c r="K102" s="1">
        <f t="shared" si="139"/>
        <v>14</v>
      </c>
      <c r="L102" s="1">
        <f t="shared" si="140"/>
        <v>15</v>
      </c>
      <c r="M102" s="1">
        <f t="shared" si="141"/>
        <v>483000</v>
      </c>
      <c r="N102" s="1">
        <f t="shared" si="142"/>
        <v>565000</v>
      </c>
      <c r="O102" s="1">
        <f t="shared" si="143"/>
        <v>2.8799444073326219</v>
      </c>
      <c r="P102" s="3">
        <f>100*IF(J102='[1]Estimation Model Normal-Slip'!$J$8,'[1]Estimation Model Normal-Slip'!$O$8,IF(J102='[1]Estimation Model Normal-Slip'!$J$9,'[1]Estimation Model Normal-Slip'!$O$9,IF(J102='[1]Estimation Model Normal-Slip'!$J$10,'[1]Estimation Model Normal-Slip'!$O$10,IF(J102='[1]Estimation Model Normal-Slip'!$J$11,'[1]Estimation Model Normal-Slip'!$O$11,IF(J102='[1]Estimation Model Normal-Slip'!$J$12,'[1]Estimation Model Normal-Slip'!$O$12,IF(J102='[1]Estimation Model Normal-Slip'!$J$13,'[1]Estimation Model Normal-Slip'!$O$13,2))))))</f>
        <v>2.7690517990613435</v>
      </c>
      <c r="Q102" s="1">
        <f t="shared" si="144"/>
        <v>1.0577709909520427</v>
      </c>
      <c r="R102" s="1">
        <v>75</v>
      </c>
      <c r="S102" s="1" t="s">
        <v>78</v>
      </c>
      <c r="T102" t="s">
        <v>80</v>
      </c>
      <c r="U102">
        <f t="shared" si="145"/>
        <v>18.5</v>
      </c>
      <c r="V102" s="1">
        <f t="shared" si="146"/>
        <v>40</v>
      </c>
      <c r="W102">
        <f t="shared" si="147"/>
        <v>0</v>
      </c>
      <c r="X102">
        <f t="shared" si="148"/>
        <v>0</v>
      </c>
      <c r="Y102">
        <v>0.9</v>
      </c>
      <c r="Z102" s="1">
        <v>1.2</v>
      </c>
      <c r="AA102" s="1">
        <f t="shared" si="115"/>
        <v>2.4</v>
      </c>
      <c r="AB102">
        <f t="shared" si="149"/>
        <v>25.335757420374399</v>
      </c>
      <c r="AE102">
        <f>IF(T102="medium dense",'[1]Coefficient Normal'!$E$18 + ('[1]Coefficient Normal'!$E$19*AA102) + ('[1]Coefficient Normal'!$E$20*(AA102^2)) + ('[1]Coefficient Normal'!$E$21*(AA102^3)) + ('[1]Coefficient Normal'!$E$22*(AA102^4)),IF(T102="dense",'[1]Coefficient Normal'!$F$18 + ('[1]Coefficient Normal'!$F$19*AA102) + ('[1]Coefficient Normal'!$F$20*(AA102^2)) + ('[1]Coefficient Normal'!$F$21*(AA102^3)) + ('[1]Coefficient Normal'!$F$22*(AA102^4)),IF(T102="very dense",'[1]Coefficient Normal'!$G$18 + ('[1]Coefficient Normal'!$G$19*AA102) + ('[1]Coefficient Normal'!$G$20*(AA102^2)) + ('[1]Coefficient Normal'!$G$21*(AA102^3)) + ('[1]Coefficient Normal'!$G$22*(AA102^4)),0)))</f>
        <v>15.970859354576</v>
      </c>
      <c r="AF102">
        <f t="shared" si="116"/>
        <v>80</v>
      </c>
      <c r="AG102">
        <f t="shared" si="117"/>
        <v>362.27653883579364</v>
      </c>
      <c r="AH102">
        <f t="shared" si="150"/>
        <v>5.8924078396237283</v>
      </c>
      <c r="AI102">
        <f t="shared" si="118"/>
        <v>3.9606881774094269</v>
      </c>
      <c r="AJ102">
        <f t="shared" si="119"/>
        <v>3.2322167346868085</v>
      </c>
      <c r="AK102" s="1">
        <v>0.2</v>
      </c>
      <c r="AL102" s="5">
        <f>VLOOKUP(R102,'[1]Coefficient Normal'!$A$3:$H$7,2,TRUE)</f>
        <v>5.5951000000000004</v>
      </c>
      <c r="AM102" s="5">
        <f>VLOOKUP(R102,'[1]Coefficient Normal'!$A$3:$H$7,3,TRUE)</f>
        <v>1.6E-2</v>
      </c>
      <c r="AN102" s="5">
        <f>VLOOKUP(R102,'[1]Coefficient Normal'!$A$3:$H$7,4,TRUE)</f>
        <v>1.2641</v>
      </c>
      <c r="AO102" s="5">
        <f>VLOOKUP(R102,'[1]Coefficient Normal'!$A$3:$H$7,5,TRUE)</f>
        <v>-0.52429999999999999</v>
      </c>
      <c r="AP102" s="5">
        <f>VLOOKUP(R102,'[1]Coefficient Normal'!$A$3:$H$7,6,TRUE)</f>
        <v>0.35830000000000001</v>
      </c>
      <c r="AQ102" s="5">
        <f>VLOOKUP(R102,'[1]Coefficient Normal'!$A$3:$H$7,7,TRUE)</f>
        <v>-0.35920000000000002</v>
      </c>
      <c r="AR102" s="5">
        <f>VLOOKUP(R102,'[1]Coefficient Normal'!$A$3:$H$7,8,TRUE)</f>
        <v>-0.2482</v>
      </c>
      <c r="AS102" s="5"/>
      <c r="AT102" s="5"/>
      <c r="AU102" s="5"/>
      <c r="AV102" s="5"/>
      <c r="AW102" s="5"/>
      <c r="AY102" s="5">
        <f t="shared" si="120"/>
        <v>0.17619681713022817</v>
      </c>
      <c r="BC102" s="5">
        <f>VLOOKUP(R102,'[1]Coefficient Normal'!$A$10:$P$14,2,TRUE)</f>
        <v>-2.3450000000000002</v>
      </c>
      <c r="BD102" s="5">
        <f>VLOOKUP(R102,'[1]Coefficient Normal'!$A$10:$P$14,3,TRUE)</f>
        <v>0.19470000000000001</v>
      </c>
      <c r="BE102" s="5">
        <f>VLOOKUP(R102,'[1]Coefficient Normal'!$A$10:$P$14,4,TRUE)</f>
        <v>-0.2044</v>
      </c>
      <c r="BF102" s="5">
        <f>VLOOKUP(R102,'[1]Coefficient Normal'!$A$10:$P$14,5,TRUE)</f>
        <v>0.4143</v>
      </c>
      <c r="BG102" s="5">
        <f>VLOOKUP(R102,'[1]Coefficient Normal'!$A$10:$P$14,6,TRUE)</f>
        <v>-0.55710000000000004</v>
      </c>
      <c r="BH102" s="5">
        <f>VLOOKUP(R102,'[1]Coefficient Normal'!$A$10:$P$14,7,TRUE)</f>
        <v>1.0931</v>
      </c>
      <c r="BI102" s="5">
        <f>VLOOKUP(R102,'[1]Coefficient Normal'!$A$10:$P$14,8,TRUE)</f>
        <v>1E-4</v>
      </c>
      <c r="BJ102" s="5">
        <f>VLOOKUP(R102,'[1]Coefficient Normal'!$A$10:$P$14,9,TRUE)</f>
        <v>3.5000000000000001E-3</v>
      </c>
      <c r="BK102" s="5">
        <f>VLOOKUP(R102,'[1]Coefficient Normal'!$A$10:$P$14,10,TRUE)</f>
        <v>-4.07E-2</v>
      </c>
      <c r="BL102" s="5">
        <f>VLOOKUP(R102,'[1]Coefficient Normal'!$A$10:$P$14,11,TRUE)</f>
        <v>1.6000000000000001E-3</v>
      </c>
      <c r="BM102" s="5">
        <f>VLOOKUP(R102,'[1]Coefficient Normal'!$A$10:$P$14,12,TRUE)</f>
        <v>-0.65949999999999998</v>
      </c>
      <c r="BN102" s="5">
        <f>VLOOKUP(R102,'[1]Coefficient Normal'!$A$10:$P$14,13,TRUE)</f>
        <v>-3.0099999999999998E-2</v>
      </c>
      <c r="BO102" s="5">
        <f>VLOOKUP(R102,'[1]Coefficient Normal'!$A$10:$P$14,14,TRUE)</f>
        <v>0.84219999999999995</v>
      </c>
      <c r="BP102" s="5">
        <f>VLOOKUP(R102,'[1]Coefficient Normal'!$A$10:$P$14,15,TRUE)</f>
        <v>0.50680000000000003</v>
      </c>
      <c r="BQ102" s="5"/>
      <c r="BR102" s="5"/>
      <c r="BS102" s="5"/>
      <c r="BT102" s="5"/>
      <c r="BU102" s="5"/>
      <c r="BV102" s="5"/>
      <c r="BW102" s="5"/>
      <c r="BX102" s="5"/>
      <c r="BY102" s="5"/>
      <c r="CB102" s="6">
        <f t="shared" si="121"/>
        <v>1</v>
      </c>
      <c r="CC102" s="6">
        <f t="shared" si="122"/>
        <v>1</v>
      </c>
      <c r="CD102" s="6">
        <f t="shared" si="123"/>
        <v>0</v>
      </c>
      <c r="CE102" s="5">
        <f t="shared" si="124"/>
        <v>1.1389230770543735</v>
      </c>
      <c r="CG102">
        <f t="shared" si="125"/>
        <v>-1.6094379124341003</v>
      </c>
      <c r="CN102" s="5">
        <f t="shared" si="126"/>
        <v>-1.7856347295643284</v>
      </c>
      <c r="CO102" s="5">
        <f t="shared" si="127"/>
        <v>-2.0337006006905591</v>
      </c>
      <c r="CP102" s="5">
        <f t="shared" si="128"/>
        <v>0.7711459881416155</v>
      </c>
      <c r="CQ102" s="5">
        <f t="shared" si="129"/>
        <v>-0.66066510056998362</v>
      </c>
      <c r="CR102" s="5">
        <f t="shared" si="130"/>
        <v>2.4412245679561106</v>
      </c>
      <c r="CS102" s="5">
        <f t="shared" si="131"/>
        <v>0.38615229428994552</v>
      </c>
      <c r="CT102" s="5">
        <f t="shared" si="132"/>
        <v>-1.4408428508728706</v>
      </c>
      <c r="CU102" s="7">
        <f t="shared" si="151"/>
        <v>0.23672814804672532</v>
      </c>
      <c r="CV102">
        <f t="shared" si="133"/>
        <v>1.0000000000000001E-5</v>
      </c>
      <c r="CW102">
        <f t="shared" si="134"/>
        <v>0.23672814804672532</v>
      </c>
      <c r="CX102">
        <f>VLOOKUP(R102,'[1]Coefficient Normal'!$A$10:$P$14,16,TRUE)</f>
        <v>0.43780000000000002</v>
      </c>
      <c r="CY102">
        <f t="shared" si="135"/>
        <v>0.01</v>
      </c>
      <c r="CZ102">
        <f t="shared" si="136"/>
        <v>0.43780000000000002</v>
      </c>
      <c r="DA102">
        <v>0.3</v>
      </c>
      <c r="DB102">
        <v>0.3</v>
      </c>
      <c r="DC102">
        <v>0.3</v>
      </c>
    </row>
    <row r="103" spans="1:107" x14ac:dyDescent="0.25">
      <c r="A103">
        <v>76</v>
      </c>
      <c r="B103">
        <v>2</v>
      </c>
      <c r="C103" t="str">
        <f t="shared" si="114"/>
        <v>Normal</v>
      </c>
      <c r="D103">
        <v>1.0668</v>
      </c>
      <c r="E103">
        <f t="shared" si="137"/>
        <v>1066.8</v>
      </c>
      <c r="F103">
        <v>9.5250000000000005E-3</v>
      </c>
      <c r="G103">
        <f t="shared" si="137"/>
        <v>9.5250000000000004</v>
      </c>
      <c r="H103" s="3">
        <f t="shared" si="138"/>
        <v>111.99999999999999</v>
      </c>
      <c r="I103" s="1">
        <v>300</v>
      </c>
      <c r="J103" s="4" t="s">
        <v>70</v>
      </c>
      <c r="K103" s="1">
        <f t="shared" si="139"/>
        <v>8</v>
      </c>
      <c r="L103" s="1">
        <f t="shared" si="140"/>
        <v>10</v>
      </c>
      <c r="M103" s="1">
        <f t="shared" si="141"/>
        <v>359000</v>
      </c>
      <c r="N103" s="1">
        <f t="shared" si="142"/>
        <v>455000</v>
      </c>
      <c r="O103" s="1">
        <f t="shared" si="143"/>
        <v>1.9969902892117808</v>
      </c>
      <c r="P103" s="3">
        <f>100*IF(J103='[1]Estimation Model Normal-Slip'!$J$8,'[1]Estimation Model Normal-Slip'!$O$8,IF(J103='[1]Estimation Model Normal-Slip'!$J$9,'[1]Estimation Model Normal-Slip'!$O$9,IF(J103='[1]Estimation Model Normal-Slip'!$J$10,'[1]Estimation Model Normal-Slip'!$O$10,IF(J103='[1]Estimation Model Normal-Slip'!$J$11,'[1]Estimation Model Normal-Slip'!$O$11,IF(J103='[1]Estimation Model Normal-Slip'!$J$12,'[1]Estimation Model Normal-Slip'!$O$12,IF(J103='[1]Estimation Model Normal-Slip'!$J$13,'[1]Estimation Model Normal-Slip'!$O$13,2))))))</f>
        <v>1.9041242414694344</v>
      </c>
      <c r="Q103" s="1">
        <f t="shared" si="144"/>
        <v>0.69164119173371341</v>
      </c>
      <c r="R103" s="1">
        <v>90</v>
      </c>
      <c r="S103" s="1" t="s">
        <v>78</v>
      </c>
      <c r="T103" t="s">
        <v>81</v>
      </c>
      <c r="U103">
        <f t="shared" si="145"/>
        <v>19</v>
      </c>
      <c r="V103" s="1">
        <f t="shared" si="146"/>
        <v>43</v>
      </c>
      <c r="W103">
        <f t="shared" si="147"/>
        <v>0</v>
      </c>
      <c r="X103">
        <f t="shared" si="148"/>
        <v>0</v>
      </c>
      <c r="Y103">
        <v>0.9</v>
      </c>
      <c r="Z103" s="1">
        <v>2.5</v>
      </c>
      <c r="AA103" s="1">
        <f t="shared" si="115"/>
        <v>2.3434570678665168</v>
      </c>
      <c r="AB103">
        <f t="shared" si="149"/>
        <v>127.53838306794918</v>
      </c>
      <c r="AE103">
        <f>IF(T103="medium dense",'[1]Coefficient Normal'!$E$18 + ('[1]Coefficient Normal'!$E$19*AA103) + ('[1]Coefficient Normal'!$E$20*(AA103^2)) + ('[1]Coefficient Normal'!$E$21*(AA103^3)) + ('[1]Coefficient Normal'!$E$22*(AA103^4)),IF(T103="dense",'[1]Coefficient Normal'!$F$18 + ('[1]Coefficient Normal'!$F$19*AA103) + ('[1]Coefficient Normal'!$F$20*(AA103^2)) + ('[1]Coefficient Normal'!$F$21*(AA103^3)) + ('[1]Coefficient Normal'!$F$22*(AA103^4)),IF(T103="very dense",'[1]Coefficient Normal'!$G$18 + ('[1]Coefficient Normal'!$G$19*AA103) + ('[1]Coefficient Normal'!$G$20*(AA103^2)) + ('[1]Coefficient Normal'!$G$21*(AA103^3)) + ('[1]Coefficient Normal'!$G$22*(AA103^4)),0)))</f>
        <v>18.621858727008274</v>
      </c>
      <c r="AF103">
        <f t="shared" si="116"/>
        <v>80</v>
      </c>
      <c r="AG103">
        <f t="shared" si="117"/>
        <v>1808.5527496736904</v>
      </c>
      <c r="AH103">
        <f t="shared" si="150"/>
        <v>7.5002822186049887</v>
      </c>
      <c r="AI103">
        <f t="shared" si="118"/>
        <v>4.7184988712950942</v>
      </c>
      <c r="AJ103">
        <f t="shared" si="119"/>
        <v>4.848417362964117</v>
      </c>
      <c r="AK103" s="1">
        <v>0.25</v>
      </c>
      <c r="AL103" s="5">
        <f>VLOOKUP(R103,'[1]Coefficient Normal'!$A$3:$H$7,2,TRUE)</f>
        <v>14.575100000000001</v>
      </c>
      <c r="AM103" s="5">
        <f>VLOOKUP(R103,'[1]Coefficient Normal'!$A$3:$H$7,3,TRUE)</f>
        <v>0.1356</v>
      </c>
      <c r="AN103" s="5">
        <f>VLOOKUP(R103,'[1]Coefficient Normal'!$A$3:$H$7,4,TRUE)</f>
        <v>2.9990000000000001</v>
      </c>
      <c r="AO103" s="5">
        <f>VLOOKUP(R103,'[1]Coefficient Normal'!$A$3:$H$7,5,TRUE)</f>
        <v>-0.94710000000000005</v>
      </c>
      <c r="AP103" s="5">
        <f>VLOOKUP(R103,'[1]Coefficient Normal'!$A$3:$H$7,6,TRUE)</f>
        <v>0.6603</v>
      </c>
      <c r="AQ103" s="5">
        <f>VLOOKUP(R103,'[1]Coefficient Normal'!$A$3:$H$7,7,TRUE)</f>
        <v>-1.2488999999999999</v>
      </c>
      <c r="AR103" s="5">
        <f>VLOOKUP(R103,'[1]Coefficient Normal'!$A$3:$H$7,8,TRUE)</f>
        <v>-0.44140000000000001</v>
      </c>
      <c r="AS103" s="5"/>
      <c r="AT103" s="5"/>
      <c r="AU103" s="5"/>
      <c r="AV103" s="5"/>
      <c r="AW103" s="5"/>
      <c r="AY103" s="5">
        <f t="shared" si="120"/>
        <v>2.3065291097276841E-2</v>
      </c>
      <c r="BC103" s="5">
        <f>VLOOKUP(R103,'[1]Coefficient Normal'!$A$10:$P$14,2,TRUE)</f>
        <v>5.1353999999999997</v>
      </c>
      <c r="BD103" s="5">
        <f>VLOOKUP(R103,'[1]Coefficient Normal'!$A$10:$P$14,3,TRUE)</f>
        <v>-4.9599999999999998E-2</v>
      </c>
      <c r="BE103" s="5">
        <f>VLOOKUP(R103,'[1]Coefficient Normal'!$A$10:$P$14,4,TRUE)</f>
        <v>0.44590000000000002</v>
      </c>
      <c r="BF103" s="5">
        <f>VLOOKUP(R103,'[1]Coefficient Normal'!$A$10:$P$14,5,TRUE)</f>
        <v>-0.83709999999999996</v>
      </c>
      <c r="BG103" s="5">
        <f>VLOOKUP(R103,'[1]Coefficient Normal'!$A$10:$P$14,6,TRUE)</f>
        <v>0.63090000000000002</v>
      </c>
      <c r="BH103" s="5">
        <f>VLOOKUP(R103,'[1]Coefficient Normal'!$A$10:$P$14,7,TRUE)</f>
        <v>0.91390000000000005</v>
      </c>
      <c r="BI103" s="5">
        <f>VLOOKUP(R103,'[1]Coefficient Normal'!$A$10:$P$14,8,TRUE)</f>
        <v>2.5000000000000001E-3</v>
      </c>
      <c r="BJ103" s="5">
        <f>VLOOKUP(R103,'[1]Coefficient Normal'!$A$10:$P$14,9,TRUE)</f>
        <v>1.6000000000000001E-3</v>
      </c>
      <c r="BK103" s="5">
        <f>VLOOKUP(R103,'[1]Coefficient Normal'!$A$10:$P$14,10,TRUE)</f>
        <v>-9.7500000000000003E-2</v>
      </c>
      <c r="BL103" s="5">
        <f>VLOOKUP(R103,'[1]Coefficient Normal'!$A$10:$P$14,11,TRUE)</f>
        <v>1.1999999999999999E-3</v>
      </c>
      <c r="BM103" s="5">
        <f>VLOOKUP(R103,'[1]Coefficient Normal'!$A$10:$P$14,12,TRUE)</f>
        <v>0.46479999999999999</v>
      </c>
      <c r="BN103" s="5">
        <f>VLOOKUP(R103,'[1]Coefficient Normal'!$A$10:$P$14,13,TRUE)</f>
        <v>8.0000000000000004E-4</v>
      </c>
      <c r="BO103" s="5">
        <f>VLOOKUP(R103,'[1]Coefficient Normal'!$A$10:$P$14,14,TRUE)</f>
        <v>6.7900000000000002E-2</v>
      </c>
      <c r="BP103" s="5">
        <f>VLOOKUP(R103,'[1]Coefficient Normal'!$A$10:$P$14,15,TRUE)</f>
        <v>0.58979999999999999</v>
      </c>
      <c r="BQ103" s="5"/>
      <c r="BR103" s="5"/>
      <c r="BS103" s="5"/>
      <c r="BT103" s="5"/>
      <c r="BU103" s="5"/>
      <c r="BV103" s="5"/>
      <c r="BW103" s="5"/>
      <c r="BX103" s="5"/>
      <c r="BY103" s="5"/>
      <c r="CB103" s="6">
        <f t="shared" si="121"/>
        <v>1</v>
      </c>
      <c r="CC103" s="6">
        <f t="shared" si="122"/>
        <v>1</v>
      </c>
      <c r="CD103" s="6">
        <f t="shared" si="123"/>
        <v>0</v>
      </c>
      <c r="CE103" s="5">
        <f t="shared" si="124"/>
        <v>1.2696459576698729</v>
      </c>
      <c r="CG103">
        <f t="shared" si="125"/>
        <v>-1.3862943611198906</v>
      </c>
      <c r="CN103" s="5">
        <f t="shared" si="126"/>
        <v>-1.4093596522171674</v>
      </c>
      <c r="CO103" s="5">
        <f t="shared" si="127"/>
        <v>-1.7893877853405444</v>
      </c>
      <c r="CP103" s="5">
        <f t="shared" si="128"/>
        <v>-0.23403754401623666</v>
      </c>
      <c r="CQ103" s="5">
        <f t="shared" si="129"/>
        <v>2.1619093021456997</v>
      </c>
      <c r="CR103" s="5">
        <f t="shared" si="130"/>
        <v>-6.2784862451942356</v>
      </c>
      <c r="CS103" s="5">
        <f t="shared" si="131"/>
        <v>4.0796210557198086E-2</v>
      </c>
      <c r="CT103" s="5">
        <f t="shared" si="132"/>
        <v>-0.96380606184811912</v>
      </c>
      <c r="CU103" s="7">
        <f t="shared" si="151"/>
        <v>0.38143834176838154</v>
      </c>
      <c r="CV103">
        <f t="shared" si="133"/>
        <v>1.0000000000000001E-5</v>
      </c>
      <c r="CW103">
        <f t="shared" si="134"/>
        <v>0.38143834176838154</v>
      </c>
      <c r="CX103">
        <f>VLOOKUP(R103,'[1]Coefficient Normal'!$A$10:$P$14,16,TRUE)</f>
        <v>0.34749999999999998</v>
      </c>
      <c r="CY103">
        <f t="shared" si="135"/>
        <v>0.01</v>
      </c>
      <c r="CZ103">
        <f t="shared" si="136"/>
        <v>0.34749999999999998</v>
      </c>
      <c r="DA103">
        <v>0.3</v>
      </c>
      <c r="DB103">
        <v>0.3</v>
      </c>
      <c r="DC103">
        <v>0.3</v>
      </c>
    </row>
    <row r="104" spans="1:107" x14ac:dyDescent="0.25">
      <c r="A104">
        <v>77</v>
      </c>
      <c r="B104">
        <v>5</v>
      </c>
      <c r="C104" t="str">
        <f t="shared" si="114"/>
        <v>Normal</v>
      </c>
      <c r="D104">
        <v>0.60960000000000003</v>
      </c>
      <c r="E104">
        <f t="shared" si="137"/>
        <v>609.6</v>
      </c>
      <c r="F104">
        <v>9.5250000000000005E-3</v>
      </c>
      <c r="G104">
        <f t="shared" si="137"/>
        <v>9.5250000000000004</v>
      </c>
      <c r="H104" s="3">
        <f t="shared" si="138"/>
        <v>64</v>
      </c>
      <c r="I104" s="1">
        <v>30</v>
      </c>
      <c r="J104" s="4" t="s">
        <v>75</v>
      </c>
      <c r="K104" s="1">
        <f t="shared" si="139"/>
        <v>14</v>
      </c>
      <c r="L104" s="1">
        <f t="shared" si="140"/>
        <v>15</v>
      </c>
      <c r="M104" s="1">
        <f t="shared" si="141"/>
        <v>483000</v>
      </c>
      <c r="N104" s="1">
        <f t="shared" si="142"/>
        <v>565000</v>
      </c>
      <c r="O104" s="1">
        <f t="shared" si="143"/>
        <v>2.8799444073326219</v>
      </c>
      <c r="P104" s="3">
        <f>100*IF(J104='[1]Estimation Model Normal-Slip'!$J$8,'[1]Estimation Model Normal-Slip'!$O$8,IF(J104='[1]Estimation Model Normal-Slip'!$J$9,'[1]Estimation Model Normal-Slip'!$O$9,IF(J104='[1]Estimation Model Normal-Slip'!$J$10,'[1]Estimation Model Normal-Slip'!$O$10,IF(J104='[1]Estimation Model Normal-Slip'!$J$11,'[1]Estimation Model Normal-Slip'!$O$11,IF(J104='[1]Estimation Model Normal-Slip'!$J$12,'[1]Estimation Model Normal-Slip'!$O$12,IF(J104='[1]Estimation Model Normal-Slip'!$J$13,'[1]Estimation Model Normal-Slip'!$O$13,2))))))</f>
        <v>2.7690517990613435</v>
      </c>
      <c r="Q104" s="1">
        <f t="shared" si="144"/>
        <v>1.0577709909520427</v>
      </c>
      <c r="R104" s="1">
        <v>45</v>
      </c>
      <c r="S104" s="1" t="s">
        <v>78</v>
      </c>
      <c r="T104" t="s">
        <v>79</v>
      </c>
      <c r="U104">
        <f t="shared" si="145"/>
        <v>18</v>
      </c>
      <c r="V104" s="1">
        <f t="shared" si="146"/>
        <v>37</v>
      </c>
      <c r="W104">
        <f t="shared" si="147"/>
        <v>0</v>
      </c>
      <c r="X104">
        <f t="shared" si="148"/>
        <v>0</v>
      </c>
      <c r="Y104">
        <v>0.9</v>
      </c>
      <c r="Z104" s="1">
        <v>1</v>
      </c>
      <c r="AA104" s="1">
        <f t="shared" si="115"/>
        <v>1.8</v>
      </c>
      <c r="AB104">
        <f t="shared" si="149"/>
        <v>22.643916192420797</v>
      </c>
      <c r="AE104">
        <f>IF(T104="medium dense",'[1]Coefficient Normal'!$E$18 + ('[1]Coefficient Normal'!$E$19*AA104) + ('[1]Coefficient Normal'!$E$20*(AA104^2)) + ('[1]Coefficient Normal'!$E$21*(AA104^3)) + ('[1]Coefficient Normal'!$E$22*(AA104^4)),IF(T104="dense",'[1]Coefficient Normal'!$F$18 + ('[1]Coefficient Normal'!$F$19*AA104) + ('[1]Coefficient Normal'!$F$20*(AA104^2)) + ('[1]Coefficient Normal'!$F$21*(AA104^3)) + ('[1]Coefficient Normal'!$F$22*(AA104^4)),IF(T104="very dense",'[1]Coefficient Normal'!$G$18 + ('[1]Coefficient Normal'!$G$19*AA104) + ('[1]Coefficient Normal'!$G$20*(AA104^2)) + ('[1]Coefficient Normal'!$G$21*(AA104^3)) + ('[1]Coefficient Normal'!$G$22*(AA104^4)),0)))</f>
        <v>12.698394373823998</v>
      </c>
      <c r="AF104">
        <f t="shared" si="116"/>
        <v>64.071522599936642</v>
      </c>
      <c r="AG104">
        <f t="shared" si="117"/>
        <v>353.62475395575746</v>
      </c>
      <c r="AH104">
        <f t="shared" si="150"/>
        <v>5.8682363338442034</v>
      </c>
      <c r="AI104">
        <f t="shared" si="118"/>
        <v>4.1588830833596715</v>
      </c>
      <c r="AJ104">
        <f t="shared" si="119"/>
        <v>3.1198912150732698</v>
      </c>
      <c r="AK104" s="1">
        <v>0.28000000000000003</v>
      </c>
      <c r="AL104" s="5">
        <f>VLOOKUP(R104,'[1]Coefficient Normal'!$A$3:$H$7,2,TRUE)</f>
        <v>3.7532999999999999</v>
      </c>
      <c r="AM104" s="5">
        <f>VLOOKUP(R104,'[1]Coefficient Normal'!$A$3:$H$7,3,TRUE)</f>
        <v>0.14510000000000001</v>
      </c>
      <c r="AN104" s="5">
        <f>VLOOKUP(R104,'[1]Coefficient Normal'!$A$3:$H$7,4,TRUE)</f>
        <v>1.2497</v>
      </c>
      <c r="AO104" s="5">
        <f>VLOOKUP(R104,'[1]Coefficient Normal'!$A$3:$H$7,5,TRUE)</f>
        <v>-0.46100000000000002</v>
      </c>
      <c r="AP104" s="5">
        <f>VLOOKUP(R104,'[1]Coefficient Normal'!$A$3:$H$7,6,TRUE)</f>
        <v>0.39140000000000003</v>
      </c>
      <c r="AQ104" s="5">
        <f>VLOOKUP(R104,'[1]Coefficient Normal'!$A$3:$H$7,7,TRUE)</f>
        <v>-0.21310000000000001</v>
      </c>
      <c r="AR104" s="5">
        <f>VLOOKUP(R104,'[1]Coefficient Normal'!$A$3:$H$7,8,TRUE)</f>
        <v>-0.34139999999999998</v>
      </c>
      <c r="AS104" s="5"/>
      <c r="AT104" s="5"/>
      <c r="AU104" s="5"/>
      <c r="AV104" s="5"/>
      <c r="AW104" s="5"/>
      <c r="AY104" s="5">
        <f t="shared" si="120"/>
        <v>-0.19061367663895701</v>
      </c>
      <c r="BC104" s="5">
        <f>VLOOKUP(R104,'[1]Coefficient Normal'!$A$10:$P$14,2,TRUE)</f>
        <v>-1.1082000000000001</v>
      </c>
      <c r="BD104" s="5">
        <f>VLOOKUP(R104,'[1]Coefficient Normal'!$A$10:$P$14,3,TRUE)</f>
        <v>0.10630000000000001</v>
      </c>
      <c r="BE104" s="5">
        <f>VLOOKUP(R104,'[1]Coefficient Normal'!$A$10:$P$14,4,TRUE)</f>
        <v>-0.1439</v>
      </c>
      <c r="BF104" s="5">
        <f>VLOOKUP(R104,'[1]Coefficient Normal'!$A$10:$P$14,5,TRUE)</f>
        <v>0.27879999999999999</v>
      </c>
      <c r="BG104" s="5">
        <f>VLOOKUP(R104,'[1]Coefficient Normal'!$A$10:$P$14,6,TRUE)</f>
        <v>-0.31030000000000002</v>
      </c>
      <c r="BH104" s="5">
        <f>VLOOKUP(R104,'[1]Coefficient Normal'!$A$10:$P$14,7,TRUE)</f>
        <v>1.2553000000000001</v>
      </c>
      <c r="BI104" s="5">
        <f>VLOOKUP(R104,'[1]Coefficient Normal'!$A$10:$P$14,8,TRUE)</f>
        <v>2.9999999999999997E-4</v>
      </c>
      <c r="BJ104" s="5">
        <f>VLOOKUP(R104,'[1]Coefficient Normal'!$A$10:$P$14,9,TRUE)</f>
        <v>5.1999999999999998E-3</v>
      </c>
      <c r="BK104" s="5">
        <f>VLOOKUP(R104,'[1]Coefficient Normal'!$A$10:$P$14,10,TRUE)</f>
        <v>-8.5900000000000004E-2</v>
      </c>
      <c r="BL104" s="5">
        <f>VLOOKUP(R104,'[1]Coefficient Normal'!$A$10:$P$14,11,TRUE)</f>
        <v>5.9999999999999995E-4</v>
      </c>
      <c r="BM104" s="5">
        <f>VLOOKUP(R104,'[1]Coefficient Normal'!$A$10:$P$14,12,TRUE)</f>
        <v>-0.21759999999999999</v>
      </c>
      <c r="BN104" s="5">
        <f>VLOOKUP(R104,'[1]Coefficient Normal'!$A$10:$P$14,13,TRUE)</f>
        <v>-2.69E-2</v>
      </c>
      <c r="BO104" s="5">
        <f>VLOOKUP(R104,'[1]Coefficient Normal'!$A$10:$P$14,14,TRUE)</f>
        <v>0.57389999999999997</v>
      </c>
      <c r="BP104" s="5">
        <f>VLOOKUP(R104,'[1]Coefficient Normal'!$A$10:$P$14,15,TRUE)</f>
        <v>0.34460000000000002</v>
      </c>
      <c r="BQ104" s="5"/>
      <c r="BR104" s="5"/>
      <c r="BS104" s="5"/>
      <c r="BT104" s="5"/>
      <c r="BU104" s="5"/>
      <c r="BV104" s="5"/>
      <c r="BW104" s="5"/>
      <c r="BX104" s="5"/>
      <c r="BY104" s="5"/>
      <c r="CB104" s="6">
        <f t="shared" si="121"/>
        <v>1</v>
      </c>
      <c r="CC104" s="6">
        <f t="shared" si="122"/>
        <v>1</v>
      </c>
      <c r="CD104" s="6">
        <f t="shared" si="123"/>
        <v>1</v>
      </c>
      <c r="CE104" s="5">
        <f t="shared" si="124"/>
        <v>0.93649317485772643</v>
      </c>
      <c r="CG104">
        <f t="shared" si="125"/>
        <v>-1.2729656758128873</v>
      </c>
      <c r="CN104" s="5">
        <f t="shared" si="126"/>
        <v>-1.0823519991739303</v>
      </c>
      <c r="CO104" s="5">
        <f t="shared" si="127"/>
        <v>-1.0136152600200012</v>
      </c>
      <c r="CP104" s="5">
        <f t="shared" si="128"/>
        <v>0.44208927176113311</v>
      </c>
      <c r="CQ104" s="5">
        <f t="shared" si="129"/>
        <v>-0.44895234584904353</v>
      </c>
      <c r="CR104" s="5">
        <f t="shared" si="130"/>
        <v>1.6360642898757638</v>
      </c>
      <c r="CS104" s="5">
        <f t="shared" si="131"/>
        <v>0.15358369081139006</v>
      </c>
      <c r="CT104" s="5">
        <f t="shared" si="132"/>
        <v>-0.33903035342075799</v>
      </c>
      <c r="CU104" s="7">
        <f t="shared" si="151"/>
        <v>0.71246082313784431</v>
      </c>
      <c r="CV104">
        <f t="shared" si="133"/>
        <v>1.0000000000000001E-5</v>
      </c>
      <c r="CW104">
        <f t="shared" si="134"/>
        <v>0.71246082313784431</v>
      </c>
      <c r="CX104">
        <f>VLOOKUP(R104,'[1]Coefficient Normal'!$A$10:$P$14,16,TRUE)</f>
        <v>0.3997</v>
      </c>
      <c r="CY104">
        <f t="shared" si="135"/>
        <v>0.01</v>
      </c>
      <c r="CZ104">
        <f t="shared" si="136"/>
        <v>0.3997</v>
      </c>
      <c r="DA104">
        <v>0.3</v>
      </c>
      <c r="DB104">
        <v>0.3</v>
      </c>
      <c r="DC104">
        <v>0.3</v>
      </c>
    </row>
    <row r="105" spans="1:107" x14ac:dyDescent="0.25">
      <c r="A105">
        <v>78</v>
      </c>
      <c r="B105">
        <v>2</v>
      </c>
      <c r="C105" t="str">
        <f t="shared" si="114"/>
        <v>Normal</v>
      </c>
      <c r="D105">
        <v>0.40960000000000002</v>
      </c>
      <c r="E105">
        <f t="shared" si="137"/>
        <v>409.6</v>
      </c>
      <c r="F105">
        <v>9.5250000000000005E-3</v>
      </c>
      <c r="G105">
        <f t="shared" si="137"/>
        <v>9.5250000000000004</v>
      </c>
      <c r="H105" s="3">
        <f t="shared" si="138"/>
        <v>43.00262467191601</v>
      </c>
      <c r="I105" s="1">
        <v>50</v>
      </c>
      <c r="J105" s="4" t="s">
        <v>77</v>
      </c>
      <c r="K105" s="1">
        <f t="shared" si="139"/>
        <v>15</v>
      </c>
      <c r="L105" s="1">
        <f t="shared" si="140"/>
        <v>20</v>
      </c>
      <c r="M105" s="1">
        <f t="shared" si="141"/>
        <v>552000</v>
      </c>
      <c r="N105" s="1">
        <f t="shared" si="142"/>
        <v>625000</v>
      </c>
      <c r="O105" s="1">
        <f t="shared" si="143"/>
        <v>2.9888368774026359</v>
      </c>
      <c r="P105" s="3">
        <f>100*IF(J105='[1]Estimation Model Normal-Slip'!$J$8,'[1]Estimation Model Normal-Slip'!$O$8,IF(J105='[1]Estimation Model Normal-Slip'!$J$9,'[1]Estimation Model Normal-Slip'!$O$9,IF(J105='[1]Estimation Model Normal-Slip'!$J$10,'[1]Estimation Model Normal-Slip'!$O$10,IF(J105='[1]Estimation Model Normal-Slip'!$J$11,'[1]Estimation Model Normal-Slip'!$O$11,IF(J105='[1]Estimation Model Normal-Slip'!$J$12,'[1]Estimation Model Normal-Slip'!$O$12,IF(J105='[1]Estimation Model Normal-Slip'!$J$13,'[1]Estimation Model Normal-Slip'!$O$13,2))))))</f>
        <v>2.8464933991254466</v>
      </c>
      <c r="Q105" s="1">
        <f t="shared" si="144"/>
        <v>1.0948843075076633</v>
      </c>
      <c r="R105" s="1">
        <v>60</v>
      </c>
      <c r="S105" s="1" t="s">
        <v>78</v>
      </c>
      <c r="T105" t="s">
        <v>80</v>
      </c>
      <c r="U105">
        <f t="shared" si="145"/>
        <v>18.5</v>
      </c>
      <c r="V105" s="1">
        <f t="shared" si="146"/>
        <v>40</v>
      </c>
      <c r="W105">
        <f t="shared" si="147"/>
        <v>0</v>
      </c>
      <c r="X105">
        <f t="shared" si="148"/>
        <v>0</v>
      </c>
      <c r="Y105">
        <v>0.9</v>
      </c>
      <c r="Z105" s="1">
        <v>1.2</v>
      </c>
      <c r="AA105" s="1">
        <f t="shared" si="115"/>
        <v>2.9296874999999996</v>
      </c>
      <c r="AB105">
        <f t="shared" si="149"/>
        <v>20.755052478770708</v>
      </c>
      <c r="AE105">
        <f>IF(T105="medium dense",'[1]Coefficient Normal'!$E$18 + ('[1]Coefficient Normal'!$E$19*AA105) + ('[1]Coefficient Normal'!$E$20*(AA105^2)) + ('[1]Coefficient Normal'!$E$21*(AA105^3)) + ('[1]Coefficient Normal'!$E$22*(AA105^4)),IF(T105="dense",'[1]Coefficient Normal'!$F$18 + ('[1]Coefficient Normal'!$F$19*AA105) + ('[1]Coefficient Normal'!$F$20*(AA105^2)) + ('[1]Coefficient Normal'!$F$21*(AA105^3)) + ('[1]Coefficient Normal'!$F$22*(AA105^4)),IF(T105="very dense",'[1]Coefficient Normal'!$G$18 + ('[1]Coefficient Normal'!$G$19*AA105) + ('[1]Coefficient Normal'!$G$20*(AA105^2)) + ('[1]Coefficient Normal'!$G$21*(AA105^3)) + ('[1]Coefficient Normal'!$G$22*(AA105^4)),0)))</f>
        <v>16.165411783848704</v>
      </c>
      <c r="AF105">
        <f t="shared" si="116"/>
        <v>80</v>
      </c>
      <c r="AG105">
        <f t="shared" si="117"/>
        <v>271.14542759995038</v>
      </c>
      <c r="AH105">
        <f t="shared" si="150"/>
        <v>5.6026553101537404</v>
      </c>
      <c r="AI105">
        <f t="shared" si="118"/>
        <v>3.7612611527125335</v>
      </c>
      <c r="AJ105">
        <f t="shared" si="119"/>
        <v>3.0327897099899146</v>
      </c>
      <c r="AK105" s="1">
        <v>0.18</v>
      </c>
      <c r="AL105" s="5">
        <f>VLOOKUP(R105,'[1]Coefficient Normal'!$A$3:$H$7,2,TRUE)</f>
        <v>4.3182999999999998</v>
      </c>
      <c r="AM105" s="5">
        <f>VLOOKUP(R105,'[1]Coefficient Normal'!$A$3:$H$7,3,TRUE)</f>
        <v>-2.7900000000000001E-2</v>
      </c>
      <c r="AN105" s="5">
        <f>VLOOKUP(R105,'[1]Coefficient Normal'!$A$3:$H$7,4,TRUE)</f>
        <v>1.0497000000000001</v>
      </c>
      <c r="AO105" s="5">
        <f>VLOOKUP(R105,'[1]Coefficient Normal'!$A$3:$H$7,5,TRUE)</f>
        <v>-0.46910000000000002</v>
      </c>
      <c r="AP105" s="5">
        <f>VLOOKUP(R105,'[1]Coefficient Normal'!$A$3:$H$7,6,TRUE)</f>
        <v>0.29149999999999998</v>
      </c>
      <c r="AQ105" s="5">
        <f>VLOOKUP(R105,'[1]Coefficient Normal'!$A$3:$H$7,7,TRUE)</f>
        <v>-0.28610000000000002</v>
      </c>
      <c r="AR105" s="5">
        <f>VLOOKUP(R105,'[1]Coefficient Normal'!$A$3:$H$7,8,TRUE)</f>
        <v>-0.1348</v>
      </c>
      <c r="AS105" s="5"/>
      <c r="AT105" s="5"/>
      <c r="AU105" s="5"/>
      <c r="AV105" s="5"/>
      <c r="AW105" s="5"/>
      <c r="AY105" s="5">
        <f t="shared" si="120"/>
        <v>-0.18476915335014066</v>
      </c>
      <c r="BC105" s="5">
        <f>VLOOKUP(R105,'[1]Coefficient Normal'!$A$10:$P$14,2,TRUE)</f>
        <v>-2.1276999999999999</v>
      </c>
      <c r="BD105" s="5">
        <f>VLOOKUP(R105,'[1]Coefficient Normal'!$A$10:$P$14,3,TRUE)</f>
        <v>0.14760000000000001</v>
      </c>
      <c r="BE105" s="5">
        <f>VLOOKUP(R105,'[1]Coefficient Normal'!$A$10:$P$14,4,TRUE)</f>
        <v>-0.21829999999999999</v>
      </c>
      <c r="BF105" s="5">
        <f>VLOOKUP(R105,'[1]Coefficient Normal'!$A$10:$P$14,5,TRUE)</f>
        <v>0.42270000000000002</v>
      </c>
      <c r="BG105" s="5">
        <f>VLOOKUP(R105,'[1]Coefficient Normal'!$A$10:$P$14,6,TRUE)</f>
        <v>-0.53720000000000001</v>
      </c>
      <c r="BH105" s="5">
        <f>VLOOKUP(R105,'[1]Coefficient Normal'!$A$10:$P$14,7,TRUE)</f>
        <v>1.252</v>
      </c>
      <c r="BI105" s="5">
        <f>VLOOKUP(R105,'[1]Coefficient Normal'!$A$10:$P$14,8,TRUE)</f>
        <v>-5.9999999999999995E-4</v>
      </c>
      <c r="BJ105" s="5">
        <f>VLOOKUP(R105,'[1]Coefficient Normal'!$A$10:$P$14,9,TRUE)</f>
        <v>5.3E-3</v>
      </c>
      <c r="BK105" s="5">
        <f>VLOOKUP(R105,'[1]Coefficient Normal'!$A$10:$P$14,10,TRUE)</f>
        <v>-4.8500000000000001E-2</v>
      </c>
      <c r="BL105" s="5">
        <f>VLOOKUP(R105,'[1]Coefficient Normal'!$A$10:$P$14,11,TRUE)</f>
        <v>1.2999999999999999E-3</v>
      </c>
      <c r="BM105" s="5">
        <f>VLOOKUP(R105,'[1]Coefficient Normal'!$A$10:$P$14,12,TRUE)</f>
        <v>-0.56599999999999995</v>
      </c>
      <c r="BN105" s="5">
        <f>VLOOKUP(R105,'[1]Coefficient Normal'!$A$10:$P$14,13,TRUE)</f>
        <v>-3.2099999999999997E-2</v>
      </c>
      <c r="BO105" s="5">
        <f>VLOOKUP(R105,'[1]Coefficient Normal'!$A$10:$P$14,14,TRUE)</f>
        <v>0.84970000000000001</v>
      </c>
      <c r="BP105" s="5">
        <f>VLOOKUP(R105,'[1]Coefficient Normal'!$A$10:$P$14,15,TRUE)</f>
        <v>9.01E-2</v>
      </c>
      <c r="BQ105" s="5"/>
      <c r="BR105" s="5"/>
      <c r="BS105" s="5"/>
      <c r="BT105" s="5"/>
      <c r="BU105" s="5"/>
      <c r="BV105" s="5"/>
      <c r="BW105" s="5"/>
      <c r="BX105" s="5"/>
      <c r="BY105" s="5"/>
      <c r="CB105" s="6">
        <f t="shared" si="121"/>
        <v>1</v>
      </c>
      <c r="CC105" s="6">
        <f t="shared" si="122"/>
        <v>1</v>
      </c>
      <c r="CD105" s="6">
        <f t="shared" si="123"/>
        <v>1</v>
      </c>
      <c r="CE105" s="5">
        <f t="shared" si="124"/>
        <v>1.0304503805862284</v>
      </c>
      <c r="CG105">
        <f t="shared" si="125"/>
        <v>-1.7147984280919266</v>
      </c>
      <c r="CN105" s="5">
        <f t="shared" si="126"/>
        <v>-1.5300292747417861</v>
      </c>
      <c r="CO105" s="5">
        <f t="shared" si="127"/>
        <v>-1.5766192484657444</v>
      </c>
      <c r="CP105" s="5">
        <f t="shared" si="128"/>
        <v>0.55516214614036996</v>
      </c>
      <c r="CQ105" s="5">
        <f t="shared" si="129"/>
        <v>-0.66205799369079832</v>
      </c>
      <c r="CR105" s="5">
        <f t="shared" si="130"/>
        <v>2.3682423996019861</v>
      </c>
      <c r="CS105" s="5">
        <f t="shared" si="131"/>
        <v>0.47949086306397387</v>
      </c>
      <c r="CT105" s="5">
        <f t="shared" si="132"/>
        <v>-0.96348183335021309</v>
      </c>
      <c r="CU105" s="7">
        <f t="shared" si="151"/>
        <v>0.3815620350003287</v>
      </c>
      <c r="CV105">
        <f t="shared" si="133"/>
        <v>1.0000000000000001E-5</v>
      </c>
      <c r="CW105">
        <f t="shared" si="134"/>
        <v>0.3815620350003287</v>
      </c>
      <c r="CX105">
        <f>VLOOKUP(R105,'[1]Coefficient Normal'!$A$10:$P$14,16,TRUE)</f>
        <v>0.50170000000000003</v>
      </c>
      <c r="CY105">
        <f t="shared" si="135"/>
        <v>0.01</v>
      </c>
      <c r="CZ105">
        <f t="shared" si="136"/>
        <v>0.50170000000000003</v>
      </c>
      <c r="DA105">
        <v>0.3</v>
      </c>
      <c r="DB105">
        <v>0.3</v>
      </c>
      <c r="DC105">
        <v>0.3</v>
      </c>
    </row>
    <row r="106" spans="1:107" x14ac:dyDescent="0.25">
      <c r="A106">
        <v>79</v>
      </c>
      <c r="B106">
        <v>4</v>
      </c>
      <c r="C106" t="str">
        <f t="shared" si="114"/>
        <v>Normal</v>
      </c>
      <c r="D106">
        <v>0.89600000000000002</v>
      </c>
      <c r="E106">
        <f t="shared" si="137"/>
        <v>896</v>
      </c>
      <c r="F106">
        <v>9.5250000000000005E-3</v>
      </c>
      <c r="G106">
        <f t="shared" si="137"/>
        <v>9.5250000000000004</v>
      </c>
      <c r="H106" s="3">
        <f t="shared" si="138"/>
        <v>94.068241469816272</v>
      </c>
      <c r="I106" s="1">
        <v>100</v>
      </c>
      <c r="J106" s="4" t="s">
        <v>70</v>
      </c>
      <c r="K106" s="1">
        <f t="shared" si="139"/>
        <v>8</v>
      </c>
      <c r="L106" s="1">
        <f t="shared" si="140"/>
        <v>10</v>
      </c>
      <c r="M106" s="1">
        <f t="shared" si="141"/>
        <v>359000</v>
      </c>
      <c r="N106" s="1">
        <f t="shared" si="142"/>
        <v>455000</v>
      </c>
      <c r="O106" s="1">
        <f t="shared" si="143"/>
        <v>1.9969902892117808</v>
      </c>
      <c r="P106" s="3">
        <f>100*IF(J106='[1]Estimation Model Normal-Slip'!$J$8,'[1]Estimation Model Normal-Slip'!$O$8,IF(J106='[1]Estimation Model Normal-Slip'!$J$9,'[1]Estimation Model Normal-Slip'!$O$9,IF(J106='[1]Estimation Model Normal-Slip'!$J$10,'[1]Estimation Model Normal-Slip'!$O$10,IF(J106='[1]Estimation Model Normal-Slip'!$J$11,'[1]Estimation Model Normal-Slip'!$O$11,IF(J106='[1]Estimation Model Normal-Slip'!$J$12,'[1]Estimation Model Normal-Slip'!$O$12,IF(J106='[1]Estimation Model Normal-Slip'!$J$13,'[1]Estimation Model Normal-Slip'!$O$13,2))))))</f>
        <v>1.9041242414694344</v>
      </c>
      <c r="Q106" s="1">
        <f t="shared" si="144"/>
        <v>0.69164119173371341</v>
      </c>
      <c r="R106" s="1">
        <v>75</v>
      </c>
      <c r="S106" s="1" t="s">
        <v>78</v>
      </c>
      <c r="T106" t="s">
        <v>81</v>
      </c>
      <c r="U106">
        <f t="shared" si="145"/>
        <v>19</v>
      </c>
      <c r="V106" s="1">
        <f t="shared" si="146"/>
        <v>43</v>
      </c>
      <c r="W106">
        <f t="shared" si="147"/>
        <v>0</v>
      </c>
      <c r="X106">
        <f t="shared" si="148"/>
        <v>0</v>
      </c>
      <c r="Y106">
        <v>0.9</v>
      </c>
      <c r="Z106" s="1">
        <v>0.8</v>
      </c>
      <c r="AA106" s="1">
        <f t="shared" si="115"/>
        <v>1.8</v>
      </c>
      <c r="AB106">
        <f t="shared" si="149"/>
        <v>34.278032614587922</v>
      </c>
      <c r="AE106">
        <f>IF(T106="medium dense",'[1]Coefficient Normal'!$E$18 + ('[1]Coefficient Normal'!$E$19*AA106) + ('[1]Coefficient Normal'!$E$20*(AA106^2)) + ('[1]Coefficient Normal'!$E$21*(AA106^3)) + ('[1]Coefficient Normal'!$E$22*(AA106^4)),IF(T106="dense",'[1]Coefficient Normal'!$F$18 + ('[1]Coefficient Normal'!$F$19*AA106) + ('[1]Coefficient Normal'!$F$20*(AA106^2)) + ('[1]Coefficient Normal'!$F$21*(AA106^3)) + ('[1]Coefficient Normal'!$F$22*(AA106^4)),IF(T106="very dense",'[1]Coefficient Normal'!$G$18 + ('[1]Coefficient Normal'!$G$19*AA106) + ('[1]Coefficient Normal'!$G$20*(AA106^2)) + ('[1]Coefficient Normal'!$G$21*(AA106^3)) + ('[1]Coefficient Normal'!$G$22*(AA106^4)),0)))</f>
        <v>18.784824717152006</v>
      </c>
      <c r="AF106">
        <f t="shared" si="116"/>
        <v>80</v>
      </c>
      <c r="AG106">
        <f t="shared" si="117"/>
        <v>865.97444478783666</v>
      </c>
      <c r="AH106">
        <f t="shared" si="150"/>
        <v>6.7638553986441545</v>
      </c>
      <c r="AI106">
        <f t="shared" si="118"/>
        <v>4.5440204919621658</v>
      </c>
      <c r="AJ106">
        <f t="shared" si="119"/>
        <v>3.5345047004428238</v>
      </c>
      <c r="AK106" s="1">
        <v>0.4</v>
      </c>
      <c r="AL106" s="5">
        <f>VLOOKUP(R106,'[1]Coefficient Normal'!$A$3:$H$7,2,TRUE)</f>
        <v>5.5951000000000004</v>
      </c>
      <c r="AM106" s="5">
        <f>VLOOKUP(R106,'[1]Coefficient Normal'!$A$3:$H$7,3,TRUE)</f>
        <v>1.6E-2</v>
      </c>
      <c r="AN106" s="5">
        <f>VLOOKUP(R106,'[1]Coefficient Normal'!$A$3:$H$7,4,TRUE)</f>
        <v>1.2641</v>
      </c>
      <c r="AO106" s="5">
        <f>VLOOKUP(R106,'[1]Coefficient Normal'!$A$3:$H$7,5,TRUE)</f>
        <v>-0.52429999999999999</v>
      </c>
      <c r="AP106" s="5">
        <f>VLOOKUP(R106,'[1]Coefficient Normal'!$A$3:$H$7,6,TRUE)</f>
        <v>0.35830000000000001</v>
      </c>
      <c r="AQ106" s="5">
        <f>VLOOKUP(R106,'[1]Coefficient Normal'!$A$3:$H$7,7,TRUE)</f>
        <v>-0.35920000000000002</v>
      </c>
      <c r="AR106" s="5">
        <f>VLOOKUP(R106,'[1]Coefficient Normal'!$A$3:$H$7,8,TRUE)</f>
        <v>-0.2482</v>
      </c>
      <c r="AS106" s="5"/>
      <c r="AT106" s="5"/>
      <c r="AU106" s="5"/>
      <c r="AV106" s="5"/>
      <c r="AW106" s="5"/>
      <c r="AY106" s="5">
        <f t="shared" si="120"/>
        <v>8.8509920075637738E-2</v>
      </c>
      <c r="BC106" s="5">
        <f>VLOOKUP(R106,'[1]Coefficient Normal'!$A$10:$P$14,2,TRUE)</f>
        <v>-2.3450000000000002</v>
      </c>
      <c r="BD106" s="5">
        <f>VLOOKUP(R106,'[1]Coefficient Normal'!$A$10:$P$14,3,TRUE)</f>
        <v>0.19470000000000001</v>
      </c>
      <c r="BE106" s="5">
        <f>VLOOKUP(R106,'[1]Coefficient Normal'!$A$10:$P$14,4,TRUE)</f>
        <v>-0.2044</v>
      </c>
      <c r="BF106" s="5">
        <f>VLOOKUP(R106,'[1]Coefficient Normal'!$A$10:$P$14,5,TRUE)</f>
        <v>0.4143</v>
      </c>
      <c r="BG106" s="5">
        <f>VLOOKUP(R106,'[1]Coefficient Normal'!$A$10:$P$14,6,TRUE)</f>
        <v>-0.55710000000000004</v>
      </c>
      <c r="BH106" s="5">
        <f>VLOOKUP(R106,'[1]Coefficient Normal'!$A$10:$P$14,7,TRUE)</f>
        <v>1.0931</v>
      </c>
      <c r="BI106" s="5">
        <f>VLOOKUP(R106,'[1]Coefficient Normal'!$A$10:$P$14,8,TRUE)</f>
        <v>1E-4</v>
      </c>
      <c r="BJ106" s="5">
        <f>VLOOKUP(R106,'[1]Coefficient Normal'!$A$10:$P$14,9,TRUE)</f>
        <v>3.5000000000000001E-3</v>
      </c>
      <c r="BK106" s="5">
        <f>VLOOKUP(R106,'[1]Coefficient Normal'!$A$10:$P$14,10,TRUE)</f>
        <v>-4.07E-2</v>
      </c>
      <c r="BL106" s="5">
        <f>VLOOKUP(R106,'[1]Coefficient Normal'!$A$10:$P$14,11,TRUE)</f>
        <v>1.6000000000000001E-3</v>
      </c>
      <c r="BM106" s="5">
        <f>VLOOKUP(R106,'[1]Coefficient Normal'!$A$10:$P$14,12,TRUE)</f>
        <v>-0.65949999999999998</v>
      </c>
      <c r="BN106" s="5">
        <f>VLOOKUP(R106,'[1]Coefficient Normal'!$A$10:$P$14,13,TRUE)</f>
        <v>-3.0099999999999998E-2</v>
      </c>
      <c r="BO106" s="5">
        <f>VLOOKUP(R106,'[1]Coefficient Normal'!$A$10:$P$14,14,TRUE)</f>
        <v>0.84219999999999995</v>
      </c>
      <c r="BP106" s="5">
        <f>VLOOKUP(R106,'[1]Coefficient Normal'!$A$10:$P$14,15,TRUE)</f>
        <v>0.50680000000000003</v>
      </c>
      <c r="BQ106" s="5"/>
      <c r="BR106" s="5"/>
      <c r="BS106" s="5"/>
      <c r="BT106" s="5"/>
      <c r="BU106" s="5"/>
      <c r="BV106" s="5"/>
      <c r="BW106" s="5"/>
      <c r="BX106" s="5"/>
      <c r="BY106" s="5"/>
      <c r="CB106" s="6">
        <f t="shared" si="121"/>
        <v>1</v>
      </c>
      <c r="CC106" s="6">
        <f t="shared" si="122"/>
        <v>1</v>
      </c>
      <c r="CD106" s="6">
        <f t="shared" si="123"/>
        <v>0</v>
      </c>
      <c r="CE106" s="5">
        <f t="shared" si="124"/>
        <v>1.2063369896131648</v>
      </c>
      <c r="CG106">
        <f t="shared" si="125"/>
        <v>-0.916290731874155</v>
      </c>
      <c r="CN106" s="5">
        <f t="shared" si="126"/>
        <v>-1.0048006519497927</v>
      </c>
      <c r="CO106" s="5">
        <f t="shared" si="127"/>
        <v>-1.2121281936344583</v>
      </c>
      <c r="CP106" s="5">
        <f t="shared" si="128"/>
        <v>0.88472078978503377</v>
      </c>
      <c r="CQ106" s="5">
        <f t="shared" si="129"/>
        <v>-0.72245276077051324</v>
      </c>
      <c r="CR106" s="5">
        <f t="shared" si="130"/>
        <v>2.8022652916582733</v>
      </c>
      <c r="CS106" s="5">
        <f t="shared" si="131"/>
        <v>6.1177861852614784E-2</v>
      </c>
      <c r="CT106" s="5">
        <f t="shared" si="132"/>
        <v>-0.53141701110905004</v>
      </c>
      <c r="CU106" s="7">
        <f t="shared" si="151"/>
        <v>0.58777150055444438</v>
      </c>
      <c r="CV106">
        <f t="shared" si="133"/>
        <v>1.0000000000000001E-5</v>
      </c>
      <c r="CW106">
        <f t="shared" si="134"/>
        <v>0.58777150055444438</v>
      </c>
      <c r="CX106">
        <f>VLOOKUP(R106,'[1]Coefficient Normal'!$A$10:$P$14,16,TRUE)</f>
        <v>0.43780000000000002</v>
      </c>
      <c r="CY106">
        <f t="shared" si="135"/>
        <v>0.01</v>
      </c>
      <c r="CZ106">
        <f t="shared" si="136"/>
        <v>0.43780000000000002</v>
      </c>
      <c r="DA106">
        <v>0.3</v>
      </c>
      <c r="DB106">
        <v>0.3</v>
      </c>
      <c r="DC106">
        <v>0.3</v>
      </c>
    </row>
    <row r="107" spans="1:107" x14ac:dyDescent="0.25">
      <c r="A107">
        <v>80</v>
      </c>
      <c r="B107">
        <v>1</v>
      </c>
      <c r="C107" t="str">
        <f t="shared" si="114"/>
        <v>Normal</v>
      </c>
      <c r="D107">
        <v>0.5</v>
      </c>
      <c r="E107">
        <f t="shared" si="137"/>
        <v>500</v>
      </c>
      <c r="F107">
        <v>9.5250000000000005E-3</v>
      </c>
      <c r="G107">
        <f t="shared" si="137"/>
        <v>9.5250000000000004</v>
      </c>
      <c r="H107" s="3">
        <f t="shared" si="138"/>
        <v>52.493438320209975</v>
      </c>
      <c r="I107" s="1">
        <v>300</v>
      </c>
      <c r="J107" s="4" t="s">
        <v>70</v>
      </c>
      <c r="K107" s="1">
        <f t="shared" si="139"/>
        <v>8</v>
      </c>
      <c r="L107" s="1">
        <f t="shared" si="140"/>
        <v>10</v>
      </c>
      <c r="M107" s="1">
        <f t="shared" si="141"/>
        <v>359000</v>
      </c>
      <c r="N107" s="1">
        <f t="shared" si="142"/>
        <v>455000</v>
      </c>
      <c r="O107" s="1">
        <f t="shared" si="143"/>
        <v>1.9969902892117808</v>
      </c>
      <c r="P107" s="3">
        <f>100*IF(J107='[1]Estimation Model Normal-Slip'!$J$8,'[1]Estimation Model Normal-Slip'!$O$8,IF(J107='[1]Estimation Model Normal-Slip'!$J$9,'[1]Estimation Model Normal-Slip'!$O$9,IF(J107='[1]Estimation Model Normal-Slip'!$J$10,'[1]Estimation Model Normal-Slip'!$O$10,IF(J107='[1]Estimation Model Normal-Slip'!$J$11,'[1]Estimation Model Normal-Slip'!$O$11,IF(J107='[1]Estimation Model Normal-Slip'!$J$12,'[1]Estimation Model Normal-Slip'!$O$12,IF(J107='[1]Estimation Model Normal-Slip'!$J$13,'[1]Estimation Model Normal-Slip'!$O$13,2))))))</f>
        <v>1.9041242414694344</v>
      </c>
      <c r="Q107" s="1">
        <f t="shared" si="144"/>
        <v>0.69164119173371341</v>
      </c>
      <c r="R107" s="1">
        <v>90</v>
      </c>
      <c r="S107" s="1" t="s">
        <v>78</v>
      </c>
      <c r="T107" t="s">
        <v>79</v>
      </c>
      <c r="U107">
        <f t="shared" si="145"/>
        <v>18</v>
      </c>
      <c r="V107" s="1">
        <f t="shared" si="146"/>
        <v>37</v>
      </c>
      <c r="W107">
        <f t="shared" si="147"/>
        <v>0</v>
      </c>
      <c r="X107">
        <f t="shared" si="148"/>
        <v>0</v>
      </c>
      <c r="Y107">
        <v>0.9</v>
      </c>
      <c r="Z107" s="1">
        <v>2</v>
      </c>
      <c r="AA107" s="1">
        <f t="shared" si="115"/>
        <v>4</v>
      </c>
      <c r="AB107">
        <f t="shared" si="149"/>
        <v>37.145531811713909</v>
      </c>
      <c r="AE107">
        <f>IF(T107="medium dense",'[1]Coefficient Normal'!$E$18 + ('[1]Coefficient Normal'!$E$19*AA107) + ('[1]Coefficient Normal'!$E$20*(AA107^2)) + ('[1]Coefficient Normal'!$E$21*(AA107^3)) + ('[1]Coefficient Normal'!$E$22*(AA107^4)),IF(T107="dense",'[1]Coefficient Normal'!$F$18 + ('[1]Coefficient Normal'!$F$19*AA107) + ('[1]Coefficient Normal'!$F$20*(AA107^2)) + ('[1]Coefficient Normal'!$F$21*(AA107^3)) + ('[1]Coefficient Normal'!$F$22*(AA107^4)),IF(T107="very dense",'[1]Coefficient Normal'!$G$18 + ('[1]Coefficient Normal'!$G$19*AA107) + ('[1]Coefficient Normal'!$G$20*(AA107^2)) + ('[1]Coefficient Normal'!$G$21*(AA107^3)) + ('[1]Coefficient Normal'!$G$22*(AA107^4)),0)))</f>
        <v>14.286272930000003</v>
      </c>
      <c r="AF107">
        <f t="shared" si="116"/>
        <v>64.071522599936642</v>
      </c>
      <c r="AG107">
        <f t="shared" si="117"/>
        <v>401.31383858985748</v>
      </c>
      <c r="AH107">
        <f t="shared" si="150"/>
        <v>5.9947437610786407</v>
      </c>
      <c r="AI107">
        <f t="shared" si="118"/>
        <v>3.9606881774094269</v>
      </c>
      <c r="AJ107">
        <f t="shared" si="119"/>
        <v>3.6148434896829706</v>
      </c>
      <c r="AK107" s="1">
        <v>1.2</v>
      </c>
      <c r="AL107" s="5">
        <f>VLOOKUP(R107,'[1]Coefficient Normal'!$A$3:$H$7,2,TRUE)</f>
        <v>14.575100000000001</v>
      </c>
      <c r="AM107" s="5">
        <f>VLOOKUP(R107,'[1]Coefficient Normal'!$A$3:$H$7,3,TRUE)</f>
        <v>0.1356</v>
      </c>
      <c r="AN107" s="5">
        <f>VLOOKUP(R107,'[1]Coefficient Normal'!$A$3:$H$7,4,TRUE)</f>
        <v>2.9990000000000001</v>
      </c>
      <c r="AO107" s="5">
        <f>VLOOKUP(R107,'[1]Coefficient Normal'!$A$3:$H$7,5,TRUE)</f>
        <v>-0.94710000000000005</v>
      </c>
      <c r="AP107" s="5">
        <f>VLOOKUP(R107,'[1]Coefficient Normal'!$A$3:$H$7,6,TRUE)</f>
        <v>0.6603</v>
      </c>
      <c r="AQ107" s="5">
        <f>VLOOKUP(R107,'[1]Coefficient Normal'!$A$3:$H$7,7,TRUE)</f>
        <v>-1.2488999999999999</v>
      </c>
      <c r="AR107" s="5">
        <f>VLOOKUP(R107,'[1]Coefficient Normal'!$A$3:$H$7,8,TRUE)</f>
        <v>-0.44140000000000001</v>
      </c>
      <c r="AS107" s="5"/>
      <c r="AT107" s="5"/>
      <c r="AU107" s="5"/>
      <c r="AV107" s="5"/>
      <c r="AW107" s="5"/>
      <c r="AY107" s="5">
        <f t="shared" si="120"/>
        <v>0.89288001558423113</v>
      </c>
      <c r="BC107" s="5">
        <f>VLOOKUP(R107,'[1]Coefficient Normal'!$A$10:$P$14,2,TRUE)</f>
        <v>5.1353999999999997</v>
      </c>
      <c r="BD107" s="5">
        <f>VLOOKUP(R107,'[1]Coefficient Normal'!$A$10:$P$14,3,TRUE)</f>
        <v>-4.9599999999999998E-2</v>
      </c>
      <c r="BE107" s="5">
        <f>VLOOKUP(R107,'[1]Coefficient Normal'!$A$10:$P$14,4,TRUE)</f>
        <v>0.44590000000000002</v>
      </c>
      <c r="BF107" s="5">
        <f>VLOOKUP(R107,'[1]Coefficient Normal'!$A$10:$P$14,5,TRUE)</f>
        <v>-0.83709999999999996</v>
      </c>
      <c r="BG107" s="5">
        <f>VLOOKUP(R107,'[1]Coefficient Normal'!$A$10:$P$14,6,TRUE)</f>
        <v>0.63090000000000002</v>
      </c>
      <c r="BH107" s="5">
        <f>VLOOKUP(R107,'[1]Coefficient Normal'!$A$10:$P$14,7,TRUE)</f>
        <v>0.91390000000000005</v>
      </c>
      <c r="BI107" s="5">
        <f>VLOOKUP(R107,'[1]Coefficient Normal'!$A$10:$P$14,8,TRUE)</f>
        <v>2.5000000000000001E-3</v>
      </c>
      <c r="BJ107" s="5">
        <f>VLOOKUP(R107,'[1]Coefficient Normal'!$A$10:$P$14,9,TRUE)</f>
        <v>1.6000000000000001E-3</v>
      </c>
      <c r="BK107" s="5">
        <f>VLOOKUP(R107,'[1]Coefficient Normal'!$A$10:$P$14,10,TRUE)</f>
        <v>-9.7500000000000003E-2</v>
      </c>
      <c r="BL107" s="5">
        <f>VLOOKUP(R107,'[1]Coefficient Normal'!$A$10:$P$14,11,TRUE)</f>
        <v>1.1999999999999999E-3</v>
      </c>
      <c r="BM107" s="5">
        <f>VLOOKUP(R107,'[1]Coefficient Normal'!$A$10:$P$14,12,TRUE)</f>
        <v>0.46479999999999999</v>
      </c>
      <c r="BN107" s="5">
        <f>VLOOKUP(R107,'[1]Coefficient Normal'!$A$10:$P$14,13,TRUE)</f>
        <v>8.0000000000000004E-4</v>
      </c>
      <c r="BO107" s="5">
        <f>VLOOKUP(R107,'[1]Coefficient Normal'!$A$10:$P$14,14,TRUE)</f>
        <v>6.7900000000000002E-2</v>
      </c>
      <c r="BP107" s="5">
        <f>VLOOKUP(R107,'[1]Coefficient Normal'!$A$10:$P$14,15,TRUE)</f>
        <v>0.58979999999999999</v>
      </c>
      <c r="BQ107" s="5"/>
      <c r="BR107" s="5"/>
      <c r="BS107" s="5"/>
      <c r="BT107" s="5"/>
      <c r="BU107" s="5"/>
      <c r="BV107" s="5"/>
      <c r="BW107" s="5"/>
      <c r="BX107" s="5"/>
      <c r="BY107" s="5"/>
      <c r="CB107" s="6">
        <f t="shared" si="121"/>
        <v>1</v>
      </c>
      <c r="CC107" s="6">
        <f t="shared" si="122"/>
        <v>1</v>
      </c>
      <c r="CD107" s="6">
        <f t="shared" si="123"/>
        <v>0</v>
      </c>
      <c r="CE107" s="5">
        <f t="shared" si="124"/>
        <v>0.97225595551353683</v>
      </c>
      <c r="CG107">
        <f t="shared" si="125"/>
        <v>0.18232155679395459</v>
      </c>
      <c r="CN107" s="5">
        <f t="shared" si="126"/>
        <v>-0.71055845879027657</v>
      </c>
      <c r="CO107" s="5">
        <f t="shared" si="127"/>
        <v>-0.69084469329936637</v>
      </c>
      <c r="CP107" s="5">
        <f t="shared" si="128"/>
        <v>-0.19645013359950758</v>
      </c>
      <c r="CQ107" s="5">
        <f t="shared" si="129"/>
        <v>1.6118587120496366</v>
      </c>
      <c r="CR107" s="5">
        <f t="shared" si="130"/>
        <v>-5.0182000023989302</v>
      </c>
      <c r="CS107" s="5">
        <f t="shared" si="131"/>
        <v>-0.43730655621526948</v>
      </c>
      <c r="CT107" s="5">
        <f t="shared" si="132"/>
        <v>0.40445732653656241</v>
      </c>
      <c r="CU107" s="7">
        <f t="shared" si="151"/>
        <v>1.4984890891045519</v>
      </c>
      <c r="CV107">
        <f t="shared" si="133"/>
        <v>1.0000000000000001E-5</v>
      </c>
      <c r="CW107">
        <f t="shared" si="134"/>
        <v>1.4984890891045519</v>
      </c>
      <c r="CX107">
        <f>VLOOKUP(R107,'[1]Coefficient Normal'!$A$10:$P$14,16,TRUE)</f>
        <v>0.34749999999999998</v>
      </c>
      <c r="CY107">
        <f t="shared" si="135"/>
        <v>0.01</v>
      </c>
      <c r="CZ107">
        <f t="shared" si="136"/>
        <v>0.34749999999999998</v>
      </c>
      <c r="DA107">
        <v>0.3</v>
      </c>
      <c r="DB107">
        <v>0.3</v>
      </c>
      <c r="DC107">
        <v>0.3</v>
      </c>
    </row>
  </sheetData>
  <dataValidations disablePrompts="1" count="1">
    <dataValidation type="list" allowBlank="1" showInputMessage="1" showErrorMessage="1" sqref="J88:J107" xr:uid="{6AD444E0-8B48-40CD-A8E2-EC9264496EE0}">
      <formula1>"Grade-B,X-42,X-52,X-60,X-70,X-80"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01"/>
  <sheetViews>
    <sheetView tabSelected="1" topLeftCell="AK16" zoomScale="55" zoomScaleNormal="55" workbookViewId="0">
      <selection activeCell="CU62" sqref="CU62:CV81"/>
    </sheetView>
  </sheetViews>
  <sheetFormatPr defaultRowHeight="15" x14ac:dyDescent="0.25"/>
  <sheetData>
    <row r="1" spans="1:107" x14ac:dyDescent="0.25">
      <c r="A1" t="s">
        <v>0</v>
      </c>
      <c r="B1" t="s">
        <v>82</v>
      </c>
      <c r="C1" t="s">
        <v>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131</v>
      </c>
      <c r="AD1" t="s">
        <v>132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58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87</v>
      </c>
      <c r="AY1" t="s">
        <v>39</v>
      </c>
      <c r="AZ1" t="s">
        <v>102</v>
      </c>
      <c r="BA1" t="s">
        <v>103</v>
      </c>
      <c r="BB1" t="s">
        <v>104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84</v>
      </c>
      <c r="BZ1" t="s">
        <v>88</v>
      </c>
      <c r="CA1" t="s">
        <v>89</v>
      </c>
      <c r="CB1" t="s">
        <v>56</v>
      </c>
      <c r="CC1" t="s">
        <v>54</v>
      </c>
      <c r="CD1" t="s">
        <v>55</v>
      </c>
      <c r="CE1" t="s">
        <v>57</v>
      </c>
      <c r="CF1" t="s">
        <v>85</v>
      </c>
      <c r="CG1" t="s">
        <v>59</v>
      </c>
      <c r="CH1" t="s">
        <v>105</v>
      </c>
      <c r="CI1" t="s">
        <v>106</v>
      </c>
      <c r="CJ1" t="s">
        <v>86</v>
      </c>
      <c r="CK1" t="s">
        <v>107</v>
      </c>
      <c r="CL1" t="s">
        <v>98</v>
      </c>
      <c r="CM1" t="s">
        <v>99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125</v>
      </c>
      <c r="CW1" t="s">
        <v>126</v>
      </c>
      <c r="CX1" t="s">
        <v>68</v>
      </c>
      <c r="CY1" t="s">
        <v>127</v>
      </c>
      <c r="CZ1" t="s">
        <v>128</v>
      </c>
      <c r="DA1" t="s">
        <v>69</v>
      </c>
      <c r="DB1" t="s">
        <v>129</v>
      </c>
      <c r="DC1" t="s">
        <v>130</v>
      </c>
    </row>
    <row r="2" spans="1:107" x14ac:dyDescent="0.25">
      <c r="A2">
        <v>1</v>
      </c>
      <c r="B2">
        <v>105</v>
      </c>
      <c r="C2" t="s">
        <v>121</v>
      </c>
      <c r="D2">
        <v>0.20319999999999999</v>
      </c>
      <c r="E2">
        <v>203.2</v>
      </c>
      <c r="I2">
        <v>15</v>
      </c>
      <c r="AK2">
        <v>0.2</v>
      </c>
      <c r="BC2">
        <v>-5.3809078560000003</v>
      </c>
      <c r="BD2">
        <v>0.30948462400000004</v>
      </c>
      <c r="BY2">
        <v>-15</v>
      </c>
      <c r="CE2">
        <v>4.3770199999999999</v>
      </c>
      <c r="CF2">
        <v>0.86165243557623683</v>
      </c>
      <c r="CJ2">
        <v>1.2997253384540037</v>
      </c>
      <c r="CT2">
        <v>0.19964430431284885</v>
      </c>
      <c r="CU2">
        <v>1.2209683877232429</v>
      </c>
      <c r="CV2">
        <v>1.2209683877232429</v>
      </c>
      <c r="CW2">
        <v>1.0000000000000001E-5</v>
      </c>
      <c r="CX2">
        <v>0.57099999999999995</v>
      </c>
      <c r="CY2">
        <v>0.57099999999999995</v>
      </c>
      <c r="CZ2">
        <v>0.01</v>
      </c>
      <c r="DA2">
        <v>0.3</v>
      </c>
      <c r="DB2">
        <v>0.3</v>
      </c>
      <c r="DC2">
        <v>0.3</v>
      </c>
    </row>
    <row r="3" spans="1:107" x14ac:dyDescent="0.25">
      <c r="A3">
        <v>2</v>
      </c>
      <c r="B3">
        <v>145</v>
      </c>
      <c r="C3" t="s">
        <v>121</v>
      </c>
      <c r="D3">
        <v>0.30480000000000002</v>
      </c>
      <c r="E3">
        <v>304.8</v>
      </c>
      <c r="I3">
        <v>30</v>
      </c>
      <c r="AK3">
        <v>0.1</v>
      </c>
      <c r="BC3">
        <v>-5.7267367840000007</v>
      </c>
      <c r="BD3">
        <v>0.36844193599999997</v>
      </c>
      <c r="BY3">
        <v>0</v>
      </c>
      <c r="CE3">
        <v>4.2130700000000001</v>
      </c>
      <c r="CF3">
        <v>0.81274502702446316</v>
      </c>
      <c r="CJ3">
        <v>1.135063192462112</v>
      </c>
      <c r="CT3">
        <v>-0.91928881716083488</v>
      </c>
      <c r="CU3">
        <v>0.39880256179319534</v>
      </c>
      <c r="CV3">
        <v>0.39880256179319534</v>
      </c>
      <c r="CW3">
        <v>1.0000000000000001E-5</v>
      </c>
      <c r="CX3">
        <v>0.57099999999999995</v>
      </c>
      <c r="CY3">
        <v>0.57099999999999995</v>
      </c>
      <c r="CZ3">
        <v>0.01</v>
      </c>
      <c r="DA3">
        <v>0.3</v>
      </c>
      <c r="DB3">
        <v>0.3</v>
      </c>
      <c r="DC3">
        <v>0.3</v>
      </c>
    </row>
    <row r="4" spans="1:107" x14ac:dyDescent="0.25">
      <c r="A4">
        <v>3</v>
      </c>
      <c r="B4">
        <v>165</v>
      </c>
      <c r="C4" t="s">
        <v>121</v>
      </c>
      <c r="D4">
        <v>0.40639999999999998</v>
      </c>
      <c r="E4">
        <v>406.4</v>
      </c>
      <c r="I4">
        <v>50</v>
      </c>
      <c r="AK4">
        <v>0.2</v>
      </c>
      <c r="BC4">
        <v>-5.3062657120000001</v>
      </c>
      <c r="BD4">
        <v>0.396749248</v>
      </c>
      <c r="BY4">
        <v>0</v>
      </c>
      <c r="CE4">
        <v>3.9944699999999997</v>
      </c>
      <c r="CF4">
        <v>0.92548643488770721</v>
      </c>
      <c r="CJ4">
        <v>1.6259763586968217</v>
      </c>
      <c r="CT4">
        <v>9.8246857160575018E-2</v>
      </c>
      <c r="CU4">
        <v>1.1032350929790506</v>
      </c>
      <c r="CV4">
        <v>1.1032350929790506</v>
      </c>
      <c r="CW4">
        <v>1.0000000000000001E-5</v>
      </c>
      <c r="CX4">
        <v>0.57099999999999995</v>
      </c>
      <c r="CY4">
        <v>0.57099999999999995</v>
      </c>
      <c r="CZ4">
        <v>0.01</v>
      </c>
      <c r="DA4">
        <v>0.3</v>
      </c>
      <c r="DB4">
        <v>0.3</v>
      </c>
      <c r="DC4">
        <v>0.3</v>
      </c>
    </row>
    <row r="5" spans="1:107" x14ac:dyDescent="0.25">
      <c r="A5">
        <v>4</v>
      </c>
      <c r="B5">
        <v>105</v>
      </c>
      <c r="C5" t="s">
        <v>121</v>
      </c>
      <c r="D5">
        <v>0.50800000000000001</v>
      </c>
      <c r="E5">
        <v>508</v>
      </c>
      <c r="I5">
        <v>100</v>
      </c>
      <c r="AK5">
        <v>0.7</v>
      </c>
      <c r="BC5">
        <v>-3.7192446400000003</v>
      </c>
      <c r="BD5">
        <v>0.44365656000000003</v>
      </c>
      <c r="BY5">
        <v>-15</v>
      </c>
      <c r="CE5">
        <v>3.4479699999999998</v>
      </c>
      <c r="CF5">
        <v>0.97523171491088034</v>
      </c>
      <c r="CJ5">
        <v>2.1894384933683062</v>
      </c>
      <c r="CT5">
        <v>0.93498505548595112</v>
      </c>
      <c r="CU5">
        <v>2.5471753911561468</v>
      </c>
      <c r="CV5">
        <v>2.5471753911561468</v>
      </c>
      <c r="CW5">
        <v>1.0000000000000001E-5</v>
      </c>
      <c r="CX5">
        <v>0.57099999999999995</v>
      </c>
      <c r="CY5">
        <v>0.57099999999999995</v>
      </c>
      <c r="CZ5">
        <v>0.01</v>
      </c>
      <c r="DA5">
        <v>0.3</v>
      </c>
      <c r="DB5">
        <v>0.3</v>
      </c>
      <c r="DC5">
        <v>0.3</v>
      </c>
    </row>
    <row r="6" spans="1:107" x14ac:dyDescent="0.25">
      <c r="A6">
        <v>5</v>
      </c>
      <c r="B6">
        <v>145</v>
      </c>
      <c r="C6" t="s">
        <v>121</v>
      </c>
      <c r="D6">
        <v>0.60960000000000003</v>
      </c>
      <c r="E6">
        <v>609.6</v>
      </c>
      <c r="I6">
        <v>15</v>
      </c>
      <c r="AK6">
        <v>0.2</v>
      </c>
      <c r="BC6">
        <v>-5.6660735680000007</v>
      </c>
      <c r="BD6">
        <v>0.30561387200000001</v>
      </c>
      <c r="BY6">
        <v>0</v>
      </c>
      <c r="CE6">
        <v>4.3770199999999999</v>
      </c>
      <c r="CF6">
        <v>0.92680308876036677</v>
      </c>
      <c r="CJ6">
        <v>1.6352321269547774</v>
      </c>
      <c r="CT6">
        <v>1.3506475876028867</v>
      </c>
      <c r="CU6">
        <v>3.8599243606680402</v>
      </c>
      <c r="CV6">
        <v>3.8599243606680402</v>
      </c>
      <c r="CW6">
        <v>1.0000000000000001E-5</v>
      </c>
      <c r="CX6">
        <v>0.57099999999999995</v>
      </c>
      <c r="CY6">
        <v>0.57099999999999995</v>
      </c>
      <c r="CZ6">
        <v>0.01</v>
      </c>
      <c r="DA6">
        <v>0.3</v>
      </c>
      <c r="DB6">
        <v>0.3</v>
      </c>
      <c r="DC6">
        <v>0.3</v>
      </c>
    </row>
    <row r="7" spans="1:107" x14ac:dyDescent="0.25">
      <c r="A7">
        <v>6</v>
      </c>
      <c r="B7">
        <v>165</v>
      </c>
      <c r="C7" t="s">
        <v>121</v>
      </c>
      <c r="D7">
        <v>0.76200000000000001</v>
      </c>
      <c r="E7">
        <v>762</v>
      </c>
      <c r="I7">
        <v>30</v>
      </c>
      <c r="AK7">
        <v>0.3</v>
      </c>
      <c r="BC7">
        <v>-5.2755169600000009</v>
      </c>
      <c r="BD7">
        <v>0.31852483999999998</v>
      </c>
      <c r="BY7">
        <v>0</v>
      </c>
      <c r="CE7">
        <v>4.2130700000000001</v>
      </c>
      <c r="CF7">
        <v>0.96640790579650115</v>
      </c>
      <c r="CJ7">
        <v>2.0348365057620685</v>
      </c>
      <c r="CT7">
        <v>2.38831340677251</v>
      </c>
      <c r="CU7">
        <v>10.895102831591004</v>
      </c>
      <c r="CV7">
        <v>10.895102831591004</v>
      </c>
      <c r="CW7">
        <v>1.0000000000000001E-5</v>
      </c>
      <c r="CX7">
        <v>0.57099999999999995</v>
      </c>
      <c r="CY7">
        <v>0.57099999999999995</v>
      </c>
      <c r="CZ7">
        <v>0.01</v>
      </c>
      <c r="DA7">
        <v>0.3</v>
      </c>
      <c r="DB7">
        <v>0.3</v>
      </c>
      <c r="DC7">
        <v>0.3</v>
      </c>
    </row>
    <row r="8" spans="1:107" x14ac:dyDescent="0.25">
      <c r="A8">
        <v>7</v>
      </c>
      <c r="B8">
        <v>105</v>
      </c>
      <c r="C8" t="s">
        <v>121</v>
      </c>
      <c r="D8">
        <v>0.86360000000000003</v>
      </c>
      <c r="E8">
        <v>863.6</v>
      </c>
      <c r="I8">
        <v>50</v>
      </c>
      <c r="AK8">
        <v>0.5</v>
      </c>
      <c r="BC8">
        <v>-4.1687958880000009</v>
      </c>
      <c r="BD8">
        <v>0.30633215199999997</v>
      </c>
      <c r="BY8">
        <v>-15</v>
      </c>
      <c r="CE8">
        <v>3.9944699999999997</v>
      </c>
      <c r="CF8">
        <v>0.87011511100097283</v>
      </c>
      <c r="CJ8">
        <v>1.3335533378406192</v>
      </c>
      <c r="CT8">
        <v>0.35329210183794046</v>
      </c>
      <c r="CU8">
        <v>1.4237469618042953</v>
      </c>
      <c r="CV8">
        <v>1.4237469618042953</v>
      </c>
      <c r="CW8">
        <v>1.0000000000000001E-5</v>
      </c>
      <c r="CX8">
        <v>0.57099999999999995</v>
      </c>
      <c r="CY8">
        <v>0.57099999999999995</v>
      </c>
      <c r="CZ8">
        <v>0.01</v>
      </c>
      <c r="DA8">
        <v>0.3</v>
      </c>
      <c r="DB8">
        <v>0.3</v>
      </c>
      <c r="DC8">
        <v>0.3</v>
      </c>
    </row>
    <row r="9" spans="1:107" x14ac:dyDescent="0.25">
      <c r="A9">
        <v>8</v>
      </c>
      <c r="B9">
        <v>145</v>
      </c>
      <c r="C9" t="s">
        <v>121</v>
      </c>
      <c r="D9">
        <v>1.0668</v>
      </c>
      <c r="E9">
        <v>1066.8</v>
      </c>
      <c r="I9">
        <v>100</v>
      </c>
      <c r="AK9">
        <v>0.65</v>
      </c>
      <c r="BC9">
        <v>-3.8540037440000008</v>
      </c>
      <c r="BD9">
        <v>0.423146776</v>
      </c>
      <c r="BY9">
        <v>0</v>
      </c>
      <c r="CE9">
        <v>3.4479699999999998</v>
      </c>
      <c r="CF9">
        <v>0.99282210341376143</v>
      </c>
      <c r="CJ9">
        <v>2.8131503349727711</v>
      </c>
      <c r="CT9">
        <v>2.6481667698509677</v>
      </c>
      <c r="CU9">
        <v>14.128114804444175</v>
      </c>
      <c r="CV9">
        <v>14.128114804444175</v>
      </c>
      <c r="CW9">
        <v>1.0000000000000001E-5</v>
      </c>
      <c r="CX9">
        <v>0.57099999999999995</v>
      </c>
      <c r="CY9">
        <v>0.57099999999999995</v>
      </c>
      <c r="CZ9">
        <v>0.01</v>
      </c>
      <c r="DA9">
        <v>0.3</v>
      </c>
      <c r="DB9">
        <v>0.3</v>
      </c>
      <c r="DC9">
        <v>0.3</v>
      </c>
    </row>
    <row r="10" spans="1:107" x14ac:dyDescent="0.25">
      <c r="A10">
        <v>9</v>
      </c>
      <c r="B10">
        <v>165</v>
      </c>
      <c r="C10" t="s">
        <v>121</v>
      </c>
      <c r="D10">
        <v>0.60960000000000003</v>
      </c>
      <c r="E10">
        <v>609.6</v>
      </c>
      <c r="I10">
        <v>150</v>
      </c>
      <c r="AK10">
        <v>0.54</v>
      </c>
      <c r="BC10">
        <v>-3.5047235680000006</v>
      </c>
      <c r="BD10">
        <v>0.57156387200000003</v>
      </c>
      <c r="BY10">
        <v>0</v>
      </c>
      <c r="CE10">
        <v>2.9014699999999998</v>
      </c>
      <c r="CF10">
        <v>0.99554275197613074</v>
      </c>
      <c r="CJ10">
        <v>3.0520699039355779</v>
      </c>
      <c r="CT10">
        <v>1.3398579816737923</v>
      </c>
      <c r="CU10">
        <v>3.8185011697117019</v>
      </c>
      <c r="CV10">
        <v>3.8185011697117019</v>
      </c>
      <c r="CW10">
        <v>1.0000000000000001E-5</v>
      </c>
      <c r="CX10">
        <v>0.57099999999999995</v>
      </c>
      <c r="CY10">
        <v>0.57099999999999995</v>
      </c>
      <c r="CZ10">
        <v>0.01</v>
      </c>
      <c r="DA10">
        <v>0.3</v>
      </c>
      <c r="DB10">
        <v>0.3</v>
      </c>
      <c r="DC10">
        <v>0.3</v>
      </c>
    </row>
    <row r="11" spans="1:107" x14ac:dyDescent="0.25">
      <c r="A11">
        <v>10</v>
      </c>
      <c r="B11">
        <v>105</v>
      </c>
      <c r="C11" t="s">
        <v>121</v>
      </c>
      <c r="D11">
        <v>0.60960000000000003</v>
      </c>
      <c r="E11">
        <v>609.6</v>
      </c>
      <c r="I11">
        <v>200</v>
      </c>
      <c r="AK11">
        <v>0.5</v>
      </c>
      <c r="BC11">
        <v>-2.0179735680000004</v>
      </c>
      <c r="BD11">
        <v>0.62956387200000008</v>
      </c>
      <c r="BY11">
        <v>-15</v>
      </c>
      <c r="CE11">
        <v>2.3549699999999998</v>
      </c>
      <c r="CF11">
        <v>0.56256614200607868</v>
      </c>
      <c r="CJ11">
        <v>0.63657959947907028</v>
      </c>
      <c r="CT11">
        <v>-2.9888562101621514</v>
      </c>
      <c r="CU11">
        <v>5.034498788963291E-2</v>
      </c>
      <c r="CV11">
        <v>5.034498788963291E-2</v>
      </c>
      <c r="CW11">
        <v>1.0000000000000001E-5</v>
      </c>
      <c r="CX11">
        <v>0.57099999999999995</v>
      </c>
      <c r="CY11">
        <v>0.57099999999999995</v>
      </c>
      <c r="CZ11">
        <v>0.01</v>
      </c>
      <c r="DA11">
        <v>0.3</v>
      </c>
      <c r="DB11">
        <v>0.3</v>
      </c>
      <c r="DC11">
        <v>0.3</v>
      </c>
    </row>
    <row r="12" spans="1:107" x14ac:dyDescent="0.25">
      <c r="A12">
        <v>11</v>
      </c>
      <c r="B12">
        <v>145</v>
      </c>
      <c r="C12" t="s">
        <v>121</v>
      </c>
      <c r="D12">
        <v>0.20319999999999999</v>
      </c>
      <c r="E12">
        <v>203.2</v>
      </c>
      <c r="I12">
        <v>15</v>
      </c>
      <c r="AK12">
        <v>0.7</v>
      </c>
      <c r="BC12">
        <v>-6.0671578560000006</v>
      </c>
      <c r="BD12">
        <v>0.34998462400000002</v>
      </c>
      <c r="BY12">
        <v>0</v>
      </c>
      <c r="CE12">
        <v>4.3770199999999999</v>
      </c>
      <c r="CF12">
        <v>1.3046508611021352</v>
      </c>
      <c r="CJ12">
        <v>5</v>
      </c>
      <c r="CT12">
        <v>10.286341905123237</v>
      </c>
      <c r="CU12">
        <v>100</v>
      </c>
      <c r="CV12">
        <v>100</v>
      </c>
      <c r="CW12">
        <v>1.0000000000000001E-5</v>
      </c>
      <c r="CX12">
        <v>0.57099999999999995</v>
      </c>
      <c r="CY12">
        <v>0.57099999999999995</v>
      </c>
      <c r="CZ12">
        <v>0.01</v>
      </c>
      <c r="DA12">
        <v>0.3</v>
      </c>
      <c r="DB12">
        <v>0.3</v>
      </c>
      <c r="DC12">
        <v>0.3</v>
      </c>
    </row>
    <row r="13" spans="1:107" x14ac:dyDescent="0.25">
      <c r="A13">
        <v>12</v>
      </c>
      <c r="B13">
        <v>165</v>
      </c>
      <c r="C13" t="s">
        <v>121</v>
      </c>
      <c r="D13">
        <v>0.30480000000000002</v>
      </c>
      <c r="E13">
        <v>304.8</v>
      </c>
      <c r="I13">
        <v>30</v>
      </c>
      <c r="AK13">
        <v>0.6</v>
      </c>
      <c r="BC13">
        <v>-5.7267367840000007</v>
      </c>
      <c r="BD13">
        <v>0.36844193599999997</v>
      </c>
      <c r="BY13">
        <v>0</v>
      </c>
      <c r="CE13">
        <v>4.2130700000000001</v>
      </c>
      <c r="CF13">
        <v>1.2380309750927494</v>
      </c>
      <c r="CJ13">
        <v>5</v>
      </c>
      <c r="CT13">
        <v>9.570659339929211</v>
      </c>
      <c r="CU13">
        <v>100</v>
      </c>
      <c r="CV13">
        <v>100</v>
      </c>
      <c r="CW13">
        <v>1.0000000000000001E-5</v>
      </c>
      <c r="CX13">
        <v>0.57099999999999995</v>
      </c>
      <c r="CY13">
        <v>0.57099999999999995</v>
      </c>
      <c r="CZ13">
        <v>0.01</v>
      </c>
      <c r="DA13">
        <v>0.3</v>
      </c>
      <c r="DB13">
        <v>0.3</v>
      </c>
      <c r="DC13">
        <v>0.3</v>
      </c>
    </row>
    <row r="14" spans="1:107" x14ac:dyDescent="0.25">
      <c r="A14">
        <v>13</v>
      </c>
      <c r="B14">
        <v>105</v>
      </c>
      <c r="C14" t="s">
        <v>121</v>
      </c>
      <c r="D14">
        <v>0.40639999999999998</v>
      </c>
      <c r="E14">
        <v>406.4</v>
      </c>
      <c r="I14">
        <v>50</v>
      </c>
      <c r="AK14">
        <v>0.5</v>
      </c>
      <c r="BC14">
        <v>-4.6200157119999998</v>
      </c>
      <c r="BD14">
        <v>0.35624924800000002</v>
      </c>
      <c r="BY14">
        <v>-15</v>
      </c>
      <c r="CE14">
        <v>3.9944699999999997</v>
      </c>
      <c r="CF14">
        <v>0.98307623575594627</v>
      </c>
      <c r="CJ14">
        <v>2.3818428849754718</v>
      </c>
      <c r="CT14">
        <v>2.6858888779337766</v>
      </c>
      <c r="CU14">
        <v>14.671236524486245</v>
      </c>
      <c r="CV14">
        <v>14.671236524486245</v>
      </c>
      <c r="CW14">
        <v>1.0000000000000001E-5</v>
      </c>
      <c r="CX14">
        <v>0.57099999999999995</v>
      </c>
      <c r="CY14">
        <v>0.57099999999999995</v>
      </c>
      <c r="CZ14">
        <v>0.01</v>
      </c>
      <c r="DA14">
        <v>0.3</v>
      </c>
      <c r="DB14">
        <v>0.3</v>
      </c>
      <c r="DC14">
        <v>0.3</v>
      </c>
    </row>
    <row r="15" spans="1:107" x14ac:dyDescent="0.25">
      <c r="A15">
        <v>14</v>
      </c>
      <c r="B15">
        <v>145</v>
      </c>
      <c r="C15" t="s">
        <v>121</v>
      </c>
      <c r="D15">
        <v>0.50800000000000001</v>
      </c>
      <c r="E15">
        <v>508</v>
      </c>
      <c r="I15">
        <v>100</v>
      </c>
      <c r="AK15">
        <v>0.2</v>
      </c>
      <c r="BC15">
        <v>-4.4054946400000006</v>
      </c>
      <c r="BD15">
        <v>0.48415656000000001</v>
      </c>
      <c r="BY15">
        <v>0</v>
      </c>
      <c r="CE15">
        <v>3.4479699999999998</v>
      </c>
      <c r="CF15">
        <v>0.81092838034144732</v>
      </c>
      <c r="CJ15">
        <v>1.129734513403053</v>
      </c>
      <c r="CT15">
        <v>-1.6665925720327883</v>
      </c>
      <c r="CU15">
        <v>0.18888959802468036</v>
      </c>
      <c r="CV15">
        <v>0.18888959802468036</v>
      </c>
      <c r="CW15">
        <v>1.0000000000000001E-5</v>
      </c>
      <c r="CX15">
        <v>0.57099999999999995</v>
      </c>
      <c r="CY15">
        <v>0.57099999999999995</v>
      </c>
      <c r="CZ15">
        <v>0.01</v>
      </c>
      <c r="DA15">
        <v>0.3</v>
      </c>
      <c r="DB15">
        <v>0.3</v>
      </c>
      <c r="DC15">
        <v>0.3</v>
      </c>
    </row>
    <row r="16" spans="1:107" x14ac:dyDescent="0.25">
      <c r="A16">
        <v>15</v>
      </c>
      <c r="B16">
        <v>165</v>
      </c>
      <c r="C16" t="s">
        <v>121</v>
      </c>
      <c r="D16">
        <v>0.60960000000000003</v>
      </c>
      <c r="E16">
        <v>609.6</v>
      </c>
      <c r="I16">
        <v>15</v>
      </c>
      <c r="AK16">
        <v>0.4</v>
      </c>
      <c r="BC16">
        <v>-5.6660735680000007</v>
      </c>
      <c r="BD16">
        <v>0.30561387200000001</v>
      </c>
      <c r="BY16">
        <v>0</v>
      </c>
      <c r="CE16">
        <v>4.3770199999999999</v>
      </c>
      <c r="CF16">
        <v>1.0851636127150084</v>
      </c>
      <c r="CJ16">
        <v>5</v>
      </c>
      <c r="CT16">
        <v>12.360513897091685</v>
      </c>
      <c r="CU16">
        <v>100</v>
      </c>
      <c r="CV16">
        <v>100</v>
      </c>
      <c r="CW16">
        <v>1.0000000000000001E-5</v>
      </c>
      <c r="CX16">
        <v>0.57099999999999995</v>
      </c>
      <c r="CY16">
        <v>0.57099999999999995</v>
      </c>
      <c r="CZ16">
        <v>0.01</v>
      </c>
      <c r="DA16">
        <v>0.3</v>
      </c>
      <c r="DB16">
        <v>0.3</v>
      </c>
      <c r="DC16">
        <v>0.3</v>
      </c>
    </row>
    <row r="17" spans="1:107" x14ac:dyDescent="0.25">
      <c r="A17">
        <v>16</v>
      </c>
      <c r="B17">
        <v>105</v>
      </c>
      <c r="C17" t="s">
        <v>121</v>
      </c>
      <c r="D17">
        <v>0.76200000000000001</v>
      </c>
      <c r="E17">
        <v>762</v>
      </c>
      <c r="I17">
        <v>30</v>
      </c>
      <c r="AK17">
        <v>0.3</v>
      </c>
      <c r="BC17">
        <v>-4.5892669600000007</v>
      </c>
      <c r="BD17">
        <v>0.27802484</v>
      </c>
      <c r="BY17">
        <v>-15</v>
      </c>
      <c r="CE17">
        <v>4.2130700000000001</v>
      </c>
      <c r="CF17">
        <v>0.80352193428404106</v>
      </c>
      <c r="CJ17">
        <v>1.1084729310554529</v>
      </c>
      <c r="CT17">
        <v>-1.3043542960215593E-2</v>
      </c>
      <c r="CU17">
        <v>0.98704115539080384</v>
      </c>
      <c r="CV17">
        <v>0.98704115539080384</v>
      </c>
      <c r="CW17">
        <v>1.0000000000000001E-5</v>
      </c>
      <c r="CX17">
        <v>0.57099999999999995</v>
      </c>
      <c r="CY17">
        <v>0.57099999999999995</v>
      </c>
      <c r="CZ17">
        <v>0.01</v>
      </c>
      <c r="DA17">
        <v>0.3</v>
      </c>
      <c r="DB17">
        <v>0.3</v>
      </c>
      <c r="DC17">
        <v>0.3</v>
      </c>
    </row>
    <row r="18" spans="1:107" x14ac:dyDescent="0.25">
      <c r="A18">
        <v>17</v>
      </c>
      <c r="B18">
        <v>145</v>
      </c>
      <c r="C18" t="s">
        <v>121</v>
      </c>
      <c r="D18">
        <v>0.86360000000000003</v>
      </c>
      <c r="E18">
        <v>863.6</v>
      </c>
      <c r="I18">
        <v>50</v>
      </c>
      <c r="AK18">
        <v>0.5</v>
      </c>
      <c r="BC18">
        <v>-4.8550458880000011</v>
      </c>
      <c r="BD18">
        <v>0.34683215199999995</v>
      </c>
      <c r="BY18">
        <v>0</v>
      </c>
      <c r="CE18">
        <v>3.9944699999999997</v>
      </c>
      <c r="CF18">
        <v>1.0419151245196625</v>
      </c>
      <c r="CJ18">
        <v>5</v>
      </c>
      <c r="CT18">
        <v>10.416195185964192</v>
      </c>
      <c r="CU18">
        <v>100</v>
      </c>
      <c r="CV18">
        <v>100</v>
      </c>
      <c r="CW18">
        <v>1.0000000000000001E-5</v>
      </c>
      <c r="CX18">
        <v>0.57099999999999995</v>
      </c>
      <c r="CY18">
        <v>0.57099999999999995</v>
      </c>
      <c r="CZ18">
        <v>0.01</v>
      </c>
      <c r="DA18">
        <v>0.3</v>
      </c>
      <c r="DB18">
        <v>0.3</v>
      </c>
      <c r="DC18">
        <v>0.3</v>
      </c>
    </row>
    <row r="19" spans="1:107" x14ac:dyDescent="0.25">
      <c r="A19">
        <v>18</v>
      </c>
      <c r="B19">
        <v>165</v>
      </c>
      <c r="C19" t="s">
        <v>121</v>
      </c>
      <c r="D19">
        <v>1.0668</v>
      </c>
      <c r="E19">
        <v>1066.8</v>
      </c>
      <c r="I19">
        <v>100</v>
      </c>
      <c r="AK19">
        <v>0.7</v>
      </c>
      <c r="BC19">
        <v>-3.8540037440000008</v>
      </c>
      <c r="BD19">
        <v>0.423146776</v>
      </c>
      <c r="BY19">
        <v>0</v>
      </c>
      <c r="CE19">
        <v>3.4479699999999998</v>
      </c>
      <c r="CF19">
        <v>1.0143153217868104</v>
      </c>
      <c r="CJ19">
        <v>5</v>
      </c>
      <c r="CT19">
        <v>7.8162308768246405</v>
      </c>
      <c r="CU19">
        <v>100</v>
      </c>
      <c r="CV19">
        <v>100</v>
      </c>
      <c r="CW19">
        <v>1.0000000000000001E-5</v>
      </c>
      <c r="CX19">
        <v>0.57099999999999995</v>
      </c>
      <c r="CY19">
        <v>0.57099999999999995</v>
      </c>
      <c r="CZ19">
        <v>0.01</v>
      </c>
      <c r="DA19">
        <v>0.3</v>
      </c>
      <c r="DB19">
        <v>0.3</v>
      </c>
      <c r="DC19">
        <v>0.3</v>
      </c>
    </row>
    <row r="20" spans="1:107" x14ac:dyDescent="0.25">
      <c r="A20">
        <v>19</v>
      </c>
      <c r="B20">
        <v>115</v>
      </c>
      <c r="C20" t="s">
        <v>121</v>
      </c>
      <c r="D20">
        <v>0.60960000000000003</v>
      </c>
      <c r="E20">
        <v>609.6</v>
      </c>
      <c r="I20">
        <v>150</v>
      </c>
      <c r="AK20">
        <v>0.6</v>
      </c>
      <c r="BC20">
        <v>-3.2759735680000004</v>
      </c>
      <c r="BD20">
        <v>0.55806387200000007</v>
      </c>
      <c r="BY20">
        <v>-5</v>
      </c>
      <c r="CE20">
        <v>2.9014699999999998</v>
      </c>
      <c r="CF20">
        <v>0.95301621048434415</v>
      </c>
      <c r="CJ20">
        <v>1.8636637964233149</v>
      </c>
      <c r="CT20">
        <v>-0.66048298424285967</v>
      </c>
      <c r="CU20">
        <v>0.51660176371546651</v>
      </c>
      <c r="CV20">
        <v>0.51660176371546651</v>
      </c>
      <c r="CW20">
        <v>1.0000000000000001E-5</v>
      </c>
      <c r="CX20">
        <v>0.57099999999999995</v>
      </c>
      <c r="CY20">
        <v>0.57099999999999995</v>
      </c>
      <c r="CZ20">
        <v>0.01</v>
      </c>
      <c r="DA20">
        <v>0.3</v>
      </c>
      <c r="DB20">
        <v>0.3</v>
      </c>
      <c r="DC20">
        <v>0.3</v>
      </c>
    </row>
    <row r="21" spans="1:107" x14ac:dyDescent="0.25">
      <c r="A21">
        <v>20</v>
      </c>
      <c r="B21">
        <v>135</v>
      </c>
      <c r="C21" t="s">
        <v>121</v>
      </c>
      <c r="D21">
        <v>0.60960000000000003</v>
      </c>
      <c r="E21">
        <v>609.6</v>
      </c>
      <c r="I21">
        <v>200</v>
      </c>
      <c r="AK21">
        <v>1.5</v>
      </c>
      <c r="BC21">
        <v>-2.7042235680000006</v>
      </c>
      <c r="BD21">
        <v>0.67006387200000006</v>
      </c>
      <c r="BY21">
        <v>0</v>
      </c>
      <c r="CE21">
        <v>2.3549699999999998</v>
      </c>
      <c r="CF21">
        <v>1.3204791042383408</v>
      </c>
      <c r="CJ21">
        <v>5</v>
      </c>
      <c r="CT21">
        <v>3.4619752070441425</v>
      </c>
      <c r="CU21">
        <v>31.879883737745445</v>
      </c>
      <c r="CV21">
        <v>31.879883737745445</v>
      </c>
      <c r="CW21">
        <v>1.0000000000000001E-5</v>
      </c>
      <c r="CX21">
        <v>0.57099999999999995</v>
      </c>
      <c r="CY21">
        <v>0.57099999999999995</v>
      </c>
      <c r="CZ21">
        <v>0.01</v>
      </c>
      <c r="DA21">
        <v>0.3</v>
      </c>
      <c r="DB21">
        <v>0.3</v>
      </c>
      <c r="DC21">
        <v>0.3</v>
      </c>
    </row>
    <row r="22" spans="1:107" x14ac:dyDescent="0.25">
      <c r="A22">
        <v>1</v>
      </c>
      <c r="B22">
        <v>39</v>
      </c>
      <c r="C22" t="s">
        <v>122</v>
      </c>
      <c r="D22">
        <v>0.20319999999999999</v>
      </c>
      <c r="E22">
        <v>203.2</v>
      </c>
      <c r="F22">
        <v>5.5599999999999998E-3</v>
      </c>
      <c r="G22">
        <v>5.56</v>
      </c>
      <c r="H22">
        <v>36.546762589928058</v>
      </c>
      <c r="I22">
        <v>15</v>
      </c>
      <c r="J22" t="s">
        <v>70</v>
      </c>
      <c r="K22">
        <v>8</v>
      </c>
      <c r="L22">
        <v>10</v>
      </c>
      <c r="M22">
        <v>359000</v>
      </c>
      <c r="N22">
        <v>455000</v>
      </c>
      <c r="O22">
        <v>1.9969902892117808</v>
      </c>
      <c r="S22" t="s">
        <v>78</v>
      </c>
      <c r="T22" t="s">
        <v>79</v>
      </c>
      <c r="U22">
        <v>18</v>
      </c>
      <c r="V22">
        <v>37</v>
      </c>
      <c r="W22">
        <v>0</v>
      </c>
      <c r="X22">
        <v>0</v>
      </c>
      <c r="Y22">
        <v>0.9</v>
      </c>
      <c r="Z22">
        <v>1</v>
      </c>
      <c r="AB22">
        <v>7.5479720641402661</v>
      </c>
      <c r="AC22">
        <v>1</v>
      </c>
      <c r="AD22">
        <v>1</v>
      </c>
      <c r="AK22">
        <v>0.75</v>
      </c>
      <c r="AL22">
        <v>-1.50417</v>
      </c>
      <c r="AM22">
        <v>0.47067295541438414</v>
      </c>
      <c r="AN22">
        <v>0.29581999999999997</v>
      </c>
      <c r="AS22">
        <v>2.1499999999999991E-3</v>
      </c>
      <c r="AT22">
        <v>0.36396000000000001</v>
      </c>
      <c r="AU22">
        <v>0.33215</v>
      </c>
      <c r="AV22">
        <v>-1.5900000000000001E-3</v>
      </c>
      <c r="AW22">
        <v>8.6529999999999996E-2</v>
      </c>
      <c r="AY22">
        <v>-0.37753778571031071</v>
      </c>
      <c r="BC22">
        <v>0.29278999999999999</v>
      </c>
      <c r="BD22">
        <v>0.23189000000000001</v>
      </c>
      <c r="BE22">
        <v>1.81243</v>
      </c>
      <c r="BH22">
        <v>-3.2700000000000003E-3</v>
      </c>
      <c r="BI22">
        <v>1.1979999999999999E-2</v>
      </c>
      <c r="BJ22">
        <v>-0.2074</v>
      </c>
      <c r="BK22">
        <v>8.0000000000000004E-4</v>
      </c>
      <c r="BL22">
        <v>0.89789000000000008</v>
      </c>
      <c r="BM22">
        <v>2.3600000000000001E-3</v>
      </c>
      <c r="BN22">
        <v>-2.5590000000000002E-2</v>
      </c>
      <c r="BO22">
        <v>0.37128</v>
      </c>
      <c r="BP22">
        <v>9.9330000000000002E-2</v>
      </c>
      <c r="CB22">
        <v>1</v>
      </c>
      <c r="CC22">
        <v>0</v>
      </c>
      <c r="CD22">
        <v>1</v>
      </c>
      <c r="CE22">
        <v>0.96671071957490984</v>
      </c>
      <c r="CL22">
        <v>0</v>
      </c>
      <c r="CM22">
        <v>0.96671071957490984</v>
      </c>
      <c r="CT22">
        <v>4.877558685546262</v>
      </c>
      <c r="CU22">
        <v>100</v>
      </c>
      <c r="CV22">
        <v>1.0000000000000001E-5</v>
      </c>
      <c r="CW22">
        <v>100</v>
      </c>
      <c r="CX22">
        <v>0.52134999999999998</v>
      </c>
      <c r="CY22">
        <v>0.01</v>
      </c>
      <c r="CZ22">
        <v>0.52134999999999998</v>
      </c>
      <c r="DA22">
        <v>0.3</v>
      </c>
      <c r="DB22">
        <v>0.3</v>
      </c>
      <c r="DC22">
        <v>0.3</v>
      </c>
    </row>
    <row r="23" spans="1:107" x14ac:dyDescent="0.25">
      <c r="A23">
        <v>2</v>
      </c>
      <c r="B23">
        <v>69</v>
      </c>
      <c r="C23" t="s">
        <v>122</v>
      </c>
      <c r="D23">
        <v>0.30480000000000002</v>
      </c>
      <c r="E23">
        <v>304.8</v>
      </c>
      <c r="F23">
        <v>7.1399999999999996E-3</v>
      </c>
      <c r="G23">
        <v>7.14</v>
      </c>
      <c r="H23">
        <v>42.689075630252105</v>
      </c>
      <c r="I23">
        <v>30</v>
      </c>
      <c r="J23" t="s">
        <v>73</v>
      </c>
      <c r="K23">
        <v>8</v>
      </c>
      <c r="L23">
        <v>12</v>
      </c>
      <c r="M23">
        <v>414000</v>
      </c>
      <c r="N23">
        <v>517000</v>
      </c>
      <c r="O23">
        <v>2.5466769467238102</v>
      </c>
      <c r="S23" t="s">
        <v>78</v>
      </c>
      <c r="T23" t="s">
        <v>79</v>
      </c>
      <c r="U23">
        <v>18</v>
      </c>
      <c r="V23">
        <v>37</v>
      </c>
      <c r="W23">
        <v>0</v>
      </c>
      <c r="X23">
        <v>0</v>
      </c>
      <c r="Y23">
        <v>0.9</v>
      </c>
      <c r="Z23">
        <v>2</v>
      </c>
      <c r="AB23">
        <v>22.6439161924208</v>
      </c>
      <c r="AC23">
        <v>1</v>
      </c>
      <c r="AD23">
        <v>1</v>
      </c>
      <c r="AK23">
        <v>0.75</v>
      </c>
      <c r="AL23">
        <v>-1.6518900000000001</v>
      </c>
      <c r="AM23">
        <v>9.3204577392585711E-2</v>
      </c>
      <c r="AN23">
        <v>0.49282999999999993</v>
      </c>
      <c r="AS23">
        <v>-0.54046000000000005</v>
      </c>
      <c r="AT23">
        <v>1.8437300000000001</v>
      </c>
      <c r="AU23">
        <v>2.0215299999999998</v>
      </c>
      <c r="AV23">
        <v>-1.5299999999999999E-3</v>
      </c>
      <c r="AW23">
        <v>0.13494</v>
      </c>
      <c r="AY23">
        <v>0.11144875203180549</v>
      </c>
      <c r="BC23">
        <v>-0.50666000000000011</v>
      </c>
      <c r="BD23">
        <v>0.33083000000000001</v>
      </c>
      <c r="BE23">
        <v>1.8350600000000001</v>
      </c>
      <c r="BH23">
        <v>-4.4399999999999995E-3</v>
      </c>
      <c r="BI23">
        <v>1.873E-2</v>
      </c>
      <c r="BJ23">
        <v>-0.32374999999999998</v>
      </c>
      <c r="BK23">
        <v>1.4399999999999999E-3</v>
      </c>
      <c r="BL23">
        <v>0.78581999999999996</v>
      </c>
      <c r="BM23">
        <v>-1.3399999999999999E-2</v>
      </c>
      <c r="BN23">
        <v>5.6160000000000002E-2</v>
      </c>
      <c r="BO23">
        <v>0.23837000000000003</v>
      </c>
      <c r="BP23">
        <v>0.14502000000000001</v>
      </c>
      <c r="CB23">
        <v>1</v>
      </c>
      <c r="CC23">
        <v>1</v>
      </c>
      <c r="CD23">
        <v>1</v>
      </c>
      <c r="CE23">
        <v>40.440609962048754</v>
      </c>
      <c r="CL23">
        <v>40.440609962048754</v>
      </c>
      <c r="CM23">
        <v>0</v>
      </c>
      <c r="CT23">
        <v>-9.6806494452477772</v>
      </c>
      <c r="CU23">
        <v>6.2480912663588663E-5</v>
      </c>
      <c r="CV23">
        <v>1.0000000000000001E-5</v>
      </c>
      <c r="CW23">
        <v>6.2480912663588663E-5</v>
      </c>
      <c r="CX23">
        <v>0.64227999999999996</v>
      </c>
      <c r="CY23">
        <v>0.01</v>
      </c>
      <c r="CZ23">
        <v>0.64227999999999996</v>
      </c>
      <c r="DA23">
        <v>0.3</v>
      </c>
      <c r="DB23">
        <v>0.3</v>
      </c>
      <c r="DC23">
        <v>0.3</v>
      </c>
    </row>
    <row r="24" spans="1:107" x14ac:dyDescent="0.25">
      <c r="A24">
        <v>3</v>
      </c>
      <c r="B24">
        <v>28</v>
      </c>
      <c r="C24" t="s">
        <v>122</v>
      </c>
      <c r="D24">
        <v>0.40639999999999998</v>
      </c>
      <c r="E24">
        <v>406.4</v>
      </c>
      <c r="F24">
        <v>9.5299999999999985E-3</v>
      </c>
      <c r="G24">
        <v>9.5299999999999994</v>
      </c>
      <c r="H24">
        <v>42.644281217208821</v>
      </c>
      <c r="I24">
        <v>50</v>
      </c>
      <c r="J24" t="s">
        <v>75</v>
      </c>
      <c r="K24">
        <v>14</v>
      </c>
      <c r="L24">
        <v>15</v>
      </c>
      <c r="M24">
        <v>483000</v>
      </c>
      <c r="N24">
        <v>565000</v>
      </c>
      <c r="O24">
        <v>2.8799444073326219</v>
      </c>
      <c r="S24" t="s">
        <v>78</v>
      </c>
      <c r="T24" t="s">
        <v>79</v>
      </c>
      <c r="U24">
        <v>18</v>
      </c>
      <c r="V24">
        <v>37</v>
      </c>
      <c r="W24">
        <v>0</v>
      </c>
      <c r="X24">
        <v>0</v>
      </c>
      <c r="Y24">
        <v>0.9</v>
      </c>
      <c r="Z24">
        <v>1</v>
      </c>
      <c r="AB24">
        <v>15.095944128280532</v>
      </c>
      <c r="AC24">
        <v>1</v>
      </c>
      <c r="AD24">
        <v>1</v>
      </c>
      <c r="AK24">
        <v>0.75</v>
      </c>
      <c r="AL24">
        <v>-0.90995000000000004</v>
      </c>
      <c r="AM24">
        <v>0.34676439496992739</v>
      </c>
      <c r="AN24">
        <v>0.14764999999999998</v>
      </c>
      <c r="AS24">
        <v>3.526E-2</v>
      </c>
      <c r="AT24">
        <v>0.12393999999999999</v>
      </c>
      <c r="AU24">
        <v>6.4190000000000025E-2</v>
      </c>
      <c r="AV24">
        <v>-1.48E-3</v>
      </c>
      <c r="AW24">
        <v>6.1449999999999998E-2</v>
      </c>
      <c r="AY24">
        <v>3.4457514445691229E-2</v>
      </c>
      <c r="BC24">
        <v>0.53193000000000001</v>
      </c>
      <c r="BD24">
        <v>0.20956000000000002</v>
      </c>
      <c r="BE24">
        <v>2.1205400000000001</v>
      </c>
      <c r="BH24">
        <v>-2.1700000000000001E-3</v>
      </c>
      <c r="BI24">
        <v>2.4519999999999997E-2</v>
      </c>
      <c r="BJ24">
        <v>-0.36536000000000002</v>
      </c>
      <c r="BK24">
        <v>5.8E-4</v>
      </c>
      <c r="BL24">
        <v>0.75203000000000009</v>
      </c>
      <c r="BM24">
        <v>-4.3499999999999988E-3</v>
      </c>
      <c r="BN24">
        <v>5.4489999999999997E-2</v>
      </c>
      <c r="BO24">
        <v>0.20848</v>
      </c>
      <c r="BP24">
        <v>6.9409999999999999E-2</v>
      </c>
      <c r="CB24">
        <v>1</v>
      </c>
      <c r="CC24">
        <v>1</v>
      </c>
      <c r="CD24">
        <v>0</v>
      </c>
      <c r="CE24">
        <v>32.43834135380299</v>
      </c>
      <c r="CL24">
        <v>32.43834135380299</v>
      </c>
      <c r="CM24">
        <v>0</v>
      </c>
      <c r="CT24">
        <v>-3.3752384519824616</v>
      </c>
      <c r="CU24">
        <v>3.4209959906251142E-2</v>
      </c>
      <c r="CV24">
        <v>1.0000000000000001E-5</v>
      </c>
      <c r="CW24">
        <v>3.4209959906251142E-2</v>
      </c>
      <c r="CX24">
        <v>0.48813000000000001</v>
      </c>
      <c r="CY24">
        <v>0.01</v>
      </c>
      <c r="CZ24">
        <v>0.48813000000000001</v>
      </c>
      <c r="DA24">
        <v>0.3</v>
      </c>
      <c r="DB24">
        <v>0.3</v>
      </c>
      <c r="DC24">
        <v>0.3</v>
      </c>
    </row>
    <row r="25" spans="1:107" x14ac:dyDescent="0.25">
      <c r="A25">
        <v>4</v>
      </c>
      <c r="B25">
        <v>10</v>
      </c>
      <c r="C25" t="s">
        <v>122</v>
      </c>
      <c r="D25">
        <v>0.50800000000000001</v>
      </c>
      <c r="E25">
        <v>508</v>
      </c>
      <c r="F25">
        <v>1.1130000000000001E-2</v>
      </c>
      <c r="G25">
        <v>11.13</v>
      </c>
      <c r="H25">
        <v>45.642407906558844</v>
      </c>
      <c r="I25">
        <v>100</v>
      </c>
      <c r="J25" t="s">
        <v>77</v>
      </c>
      <c r="K25">
        <v>15</v>
      </c>
      <c r="L25">
        <v>20</v>
      </c>
      <c r="M25">
        <v>552000</v>
      </c>
      <c r="N25">
        <v>625000</v>
      </c>
      <c r="O25">
        <v>2.9888368774026359</v>
      </c>
      <c r="S25" t="s">
        <v>78</v>
      </c>
      <c r="T25" t="s">
        <v>79</v>
      </c>
      <c r="U25">
        <v>18</v>
      </c>
      <c r="V25">
        <v>37</v>
      </c>
      <c r="W25">
        <v>0</v>
      </c>
      <c r="X25">
        <v>0</v>
      </c>
      <c r="Y25">
        <v>0.9</v>
      </c>
      <c r="Z25">
        <v>2</v>
      </c>
      <c r="AB25">
        <v>37.739860320701332</v>
      </c>
      <c r="AC25">
        <v>1</v>
      </c>
      <c r="AD25">
        <v>1</v>
      </c>
      <c r="AK25">
        <v>0.75</v>
      </c>
      <c r="AL25">
        <v>6.2410000000000077E-2</v>
      </c>
      <c r="AM25">
        <v>0.21373129115624845</v>
      </c>
      <c r="AN25">
        <v>-9.4810000000000005E-2</v>
      </c>
      <c r="AS25">
        <v>8.9439999999999992E-2</v>
      </c>
      <c r="AT25">
        <v>-0.26881999999999995</v>
      </c>
      <c r="AU25">
        <v>-0.37429000000000001</v>
      </c>
      <c r="AV25">
        <v>-1.2999999999999999E-3</v>
      </c>
      <c r="AW25">
        <v>2.0409999999999998E-2</v>
      </c>
      <c r="AY25">
        <v>-0.14019514862320309</v>
      </c>
      <c r="BC25">
        <v>0.9232499999999999</v>
      </c>
      <c r="BD25">
        <v>0.17302000000000001</v>
      </c>
      <c r="BE25">
        <v>2.6247199999999999</v>
      </c>
      <c r="BH25">
        <v>-3.700000000000001E-4</v>
      </c>
      <c r="BI25">
        <v>4.5039999999999997E-2</v>
      </c>
      <c r="BJ25">
        <v>-0.62383999999999995</v>
      </c>
      <c r="BK25">
        <v>2.1999999999999993E-4</v>
      </c>
      <c r="BL25">
        <v>0.51335000000000008</v>
      </c>
      <c r="BM25">
        <v>-1.5329999999999996E-2</v>
      </c>
      <c r="BN25">
        <v>0.18553000000000003</v>
      </c>
      <c r="BO25">
        <v>-5.7920000000000027E-2</v>
      </c>
      <c r="BP25">
        <v>2.0449999999999996E-2</v>
      </c>
      <c r="CB25">
        <v>1</v>
      </c>
      <c r="CC25">
        <v>1</v>
      </c>
      <c r="CD25">
        <v>0</v>
      </c>
      <c r="CE25">
        <v>25.130183407676377</v>
      </c>
      <c r="CL25">
        <v>25.130183407676377</v>
      </c>
      <c r="CM25">
        <v>0</v>
      </c>
      <c r="CT25">
        <v>7.407572921774018</v>
      </c>
      <c r="CU25">
        <v>100</v>
      </c>
      <c r="CV25">
        <v>1.0000000000000001E-5</v>
      </c>
      <c r="CW25">
        <v>100</v>
      </c>
      <c r="CX25">
        <v>0.43376999999999999</v>
      </c>
      <c r="CY25">
        <v>0.01</v>
      </c>
      <c r="CZ25">
        <v>0.43376999999999999</v>
      </c>
      <c r="DA25">
        <v>0.3</v>
      </c>
      <c r="DB25">
        <v>0.3</v>
      </c>
      <c r="DC25">
        <v>0.3</v>
      </c>
    </row>
    <row r="26" spans="1:107" x14ac:dyDescent="0.25">
      <c r="A26">
        <v>5</v>
      </c>
      <c r="B26">
        <v>59</v>
      </c>
      <c r="C26" t="s">
        <v>122</v>
      </c>
      <c r="D26">
        <v>0.60960000000000003</v>
      </c>
      <c r="E26">
        <v>609.6</v>
      </c>
      <c r="F26">
        <v>9.5299999999999985E-3</v>
      </c>
      <c r="G26">
        <v>9.5299999999999994</v>
      </c>
      <c r="H26">
        <v>63.966421825813235</v>
      </c>
      <c r="I26">
        <v>15</v>
      </c>
      <c r="J26" t="s">
        <v>70</v>
      </c>
      <c r="K26">
        <v>8</v>
      </c>
      <c r="L26">
        <v>10</v>
      </c>
      <c r="M26">
        <v>359000</v>
      </c>
      <c r="N26">
        <v>455000</v>
      </c>
      <c r="O26">
        <v>1.9969902892117808</v>
      </c>
      <c r="S26" t="s">
        <v>78</v>
      </c>
      <c r="T26" t="s">
        <v>80</v>
      </c>
      <c r="U26">
        <v>18.5</v>
      </c>
      <c r="V26">
        <v>40</v>
      </c>
      <c r="W26">
        <v>0</v>
      </c>
      <c r="X26">
        <v>0</v>
      </c>
      <c r="Y26">
        <v>0.9</v>
      </c>
      <c r="Z26">
        <v>1</v>
      </c>
      <c r="AB26">
        <v>25.741129539100392</v>
      </c>
      <c r="AC26">
        <v>1</v>
      </c>
      <c r="AD26">
        <v>1</v>
      </c>
      <c r="AK26">
        <v>2.75</v>
      </c>
      <c r="AL26">
        <v>-1.72539</v>
      </c>
      <c r="AM26">
        <v>0.4650775318596384</v>
      </c>
      <c r="AN26">
        <v>0.44442999999999994</v>
      </c>
      <c r="AS26">
        <v>-0.32196000000000002</v>
      </c>
      <c r="AT26">
        <v>1.2818300000000002</v>
      </c>
      <c r="AU26">
        <v>1.37853</v>
      </c>
      <c r="AV26">
        <v>-1.5299999999999999E-3</v>
      </c>
      <c r="AW26">
        <v>0.12054000000000001</v>
      </c>
      <c r="AY26">
        <v>-0.20018447074017054</v>
      </c>
      <c r="BC26">
        <v>-0.22796000000000005</v>
      </c>
      <c r="BD26">
        <v>0.29473000000000005</v>
      </c>
      <c r="BE26">
        <v>1.75566</v>
      </c>
      <c r="BH26">
        <v>-4.2399999999999998E-3</v>
      </c>
      <c r="BI26">
        <v>1.303E-2</v>
      </c>
      <c r="BJ26">
        <v>-0.23935000000000001</v>
      </c>
      <c r="BK26">
        <v>1.24E-3</v>
      </c>
      <c r="BL26">
        <v>0.86572000000000005</v>
      </c>
      <c r="BM26">
        <v>-5.2999999999999992E-3</v>
      </c>
      <c r="BN26">
        <v>3.9600000000000052E-3</v>
      </c>
      <c r="BO26">
        <v>0.33077000000000001</v>
      </c>
      <c r="BP26">
        <v>0.13281999999999999</v>
      </c>
      <c r="CB26">
        <v>1</v>
      </c>
      <c r="CC26">
        <v>0</v>
      </c>
      <c r="CD26">
        <v>1</v>
      </c>
      <c r="CE26">
        <v>-5.203621691392836E-2</v>
      </c>
      <c r="CL26">
        <v>0</v>
      </c>
      <c r="CM26">
        <v>-5.203621691392836E-2</v>
      </c>
      <c r="CT26">
        <v>6.6371180474282649</v>
      </c>
      <c r="CU26">
        <v>100</v>
      </c>
      <c r="CV26">
        <v>1.0000000000000001E-5</v>
      </c>
      <c r="CW26">
        <v>100</v>
      </c>
      <c r="CX26">
        <v>0.59948000000000001</v>
      </c>
      <c r="CY26">
        <v>0.01</v>
      </c>
      <c r="CZ26">
        <v>0.59948000000000001</v>
      </c>
      <c r="DA26">
        <v>0.3</v>
      </c>
      <c r="DB26">
        <v>0.3</v>
      </c>
      <c r="DC26">
        <v>0.3</v>
      </c>
    </row>
    <row r="27" spans="1:107" x14ac:dyDescent="0.25">
      <c r="A27">
        <v>6</v>
      </c>
      <c r="B27">
        <v>17</v>
      </c>
      <c r="C27" t="s">
        <v>122</v>
      </c>
      <c r="D27">
        <v>0.76200000000000001</v>
      </c>
      <c r="E27">
        <v>762</v>
      </c>
      <c r="F27">
        <v>1.2699999999999999E-2</v>
      </c>
      <c r="G27">
        <v>12.7</v>
      </c>
      <c r="H27">
        <v>60</v>
      </c>
      <c r="I27">
        <v>30</v>
      </c>
      <c r="J27" t="s">
        <v>73</v>
      </c>
      <c r="K27">
        <v>8</v>
      </c>
      <c r="L27">
        <v>12</v>
      </c>
      <c r="M27">
        <v>414000</v>
      </c>
      <c r="N27">
        <v>517000</v>
      </c>
      <c r="O27">
        <v>2.5466769467238102</v>
      </c>
      <c r="S27" t="s">
        <v>78</v>
      </c>
      <c r="T27" t="s">
        <v>80</v>
      </c>
      <c r="U27">
        <v>18.5</v>
      </c>
      <c r="V27">
        <v>40</v>
      </c>
      <c r="W27">
        <v>0</v>
      </c>
      <c r="X27">
        <v>0</v>
      </c>
      <c r="Y27">
        <v>0.9</v>
      </c>
      <c r="Z27">
        <v>2</v>
      </c>
      <c r="AB27">
        <v>64.352823847750969</v>
      </c>
      <c r="AC27">
        <v>1</v>
      </c>
      <c r="AD27">
        <v>1</v>
      </c>
      <c r="AK27">
        <v>3.5</v>
      </c>
      <c r="AL27">
        <v>-0.31573000000000007</v>
      </c>
      <c r="AM27">
        <v>0.17125986498424164</v>
      </c>
      <c r="AN27">
        <v>-5.2000000000002045E-4</v>
      </c>
      <c r="AS27">
        <v>6.8370000000000014E-2</v>
      </c>
      <c r="AT27">
        <v>-0.11607999999999996</v>
      </c>
      <c r="AU27">
        <v>-0.20377000000000001</v>
      </c>
      <c r="AV27">
        <v>-1.3699999999999999E-3</v>
      </c>
      <c r="AW27">
        <v>3.637E-2</v>
      </c>
      <c r="AY27">
        <v>-0.15740672456772828</v>
      </c>
      <c r="BC27">
        <v>0.77106999999999992</v>
      </c>
      <c r="BD27">
        <v>0.18723000000000001</v>
      </c>
      <c r="BE27">
        <v>2.4286500000000002</v>
      </c>
      <c r="BH27">
        <v>-1.0700000000000002E-3</v>
      </c>
      <c r="BI27">
        <v>3.7059999999999996E-2</v>
      </c>
      <c r="BJ27">
        <v>-0.52332000000000001</v>
      </c>
      <c r="BK27">
        <v>3.5999999999999997E-4</v>
      </c>
      <c r="BL27">
        <v>0.6061700000000001</v>
      </c>
      <c r="BM27">
        <v>-1.1059999999999997E-2</v>
      </c>
      <c r="BN27">
        <v>0.13457</v>
      </c>
      <c r="BO27">
        <v>4.5679999999999998E-2</v>
      </c>
      <c r="BP27">
        <v>3.9489999999999997E-2</v>
      </c>
      <c r="CB27">
        <v>1</v>
      </c>
      <c r="CC27">
        <v>0</v>
      </c>
      <c r="CD27">
        <v>1</v>
      </c>
      <c r="CE27">
        <v>-2.6655451685221454</v>
      </c>
      <c r="CL27">
        <v>0</v>
      </c>
      <c r="CM27">
        <v>-2.6655451685221454</v>
      </c>
      <c r="CT27">
        <v>7.892606588335858</v>
      </c>
      <c r="CU27">
        <v>100</v>
      </c>
      <c r="CV27">
        <v>1.0000000000000001E-5</v>
      </c>
      <c r="CW27">
        <v>100</v>
      </c>
      <c r="CX27">
        <v>0.45491000000000004</v>
      </c>
      <c r="CY27">
        <v>0.01</v>
      </c>
      <c r="CZ27">
        <v>0.45491000000000004</v>
      </c>
      <c r="DA27">
        <v>0.3</v>
      </c>
      <c r="DB27">
        <v>0.3</v>
      </c>
      <c r="DC27">
        <v>0.3</v>
      </c>
    </row>
    <row r="28" spans="1:107" x14ac:dyDescent="0.25">
      <c r="A28">
        <v>7</v>
      </c>
      <c r="B28">
        <v>11</v>
      </c>
      <c r="C28" t="s">
        <v>122</v>
      </c>
      <c r="D28">
        <v>0.86360000000000003</v>
      </c>
      <c r="E28">
        <v>863.6</v>
      </c>
      <c r="F28">
        <v>1.1130000000000001E-2</v>
      </c>
      <c r="G28">
        <v>11.13</v>
      </c>
      <c r="H28">
        <v>77.592093441150041</v>
      </c>
      <c r="I28">
        <v>50</v>
      </c>
      <c r="J28" t="s">
        <v>75</v>
      </c>
      <c r="K28">
        <v>14</v>
      </c>
      <c r="L28">
        <v>15</v>
      </c>
      <c r="M28">
        <v>483000</v>
      </c>
      <c r="N28">
        <v>565000</v>
      </c>
      <c r="O28">
        <v>2.8799444073326219</v>
      </c>
      <c r="S28" t="s">
        <v>78</v>
      </c>
      <c r="T28" t="s">
        <v>80</v>
      </c>
      <c r="U28">
        <v>18.5</v>
      </c>
      <c r="V28">
        <v>40</v>
      </c>
      <c r="W28">
        <v>0</v>
      </c>
      <c r="X28">
        <v>0</v>
      </c>
      <c r="Y28">
        <v>0.9</v>
      </c>
      <c r="Z28">
        <v>1</v>
      </c>
      <c r="AB28">
        <v>36.46660018039222</v>
      </c>
      <c r="AC28">
        <v>1</v>
      </c>
      <c r="AD28">
        <v>1</v>
      </c>
      <c r="AK28">
        <v>1.5</v>
      </c>
      <c r="AL28">
        <v>8.3899999999998975E-3</v>
      </c>
      <c r="AM28">
        <v>0.1204705059512481</v>
      </c>
      <c r="AN28">
        <v>-8.1340000000000023E-2</v>
      </c>
      <c r="AS28">
        <v>8.6430000000000007E-2</v>
      </c>
      <c r="AT28">
        <v>-0.247</v>
      </c>
      <c r="AU28">
        <v>-0.34992999999999996</v>
      </c>
      <c r="AV28">
        <v>-1.31E-3</v>
      </c>
      <c r="AW28">
        <v>2.2690000000000002E-2</v>
      </c>
      <c r="AY28">
        <v>-0.18238374480097994</v>
      </c>
      <c r="BC28">
        <v>0.90150999999999992</v>
      </c>
      <c r="BD28">
        <v>0.17505000000000001</v>
      </c>
      <c r="BE28">
        <v>2.5967099999999999</v>
      </c>
      <c r="BH28">
        <v>-4.6999999999999993E-4</v>
      </c>
      <c r="BI28">
        <v>4.3899999999999995E-2</v>
      </c>
      <c r="BJ28">
        <v>-0.60948000000000002</v>
      </c>
      <c r="BK28">
        <v>2.3999999999999998E-4</v>
      </c>
      <c r="BL28">
        <v>0.52661000000000002</v>
      </c>
      <c r="BM28">
        <v>-1.4719999999999997E-2</v>
      </c>
      <c r="BN28">
        <v>0.17824999999999999</v>
      </c>
      <c r="BO28">
        <v>-4.3119999999999992E-2</v>
      </c>
      <c r="BP28">
        <v>2.3169999999999996E-2</v>
      </c>
      <c r="CB28">
        <v>1</v>
      </c>
      <c r="CC28">
        <v>0</v>
      </c>
      <c r="CD28">
        <v>0</v>
      </c>
      <c r="CE28">
        <v>-3.333144613964116E-2</v>
      </c>
      <c r="CL28">
        <v>0</v>
      </c>
      <c r="CM28">
        <v>-3.333144613964116E-2</v>
      </c>
      <c r="CT28">
        <v>10.982439666923916</v>
      </c>
      <c r="CU28">
        <v>100</v>
      </c>
      <c r="CV28">
        <v>1.0000000000000001E-5</v>
      </c>
      <c r="CW28">
        <v>100</v>
      </c>
      <c r="CX28">
        <v>0.43679000000000001</v>
      </c>
      <c r="CY28">
        <v>0.01</v>
      </c>
      <c r="CZ28">
        <v>0.43679000000000001</v>
      </c>
      <c r="DA28">
        <v>0.3</v>
      </c>
      <c r="DB28">
        <v>0.3</v>
      </c>
      <c r="DC28">
        <v>0.3</v>
      </c>
    </row>
    <row r="29" spans="1:107" x14ac:dyDescent="0.25">
      <c r="A29">
        <v>8</v>
      </c>
      <c r="B29">
        <v>47</v>
      </c>
      <c r="C29" t="s">
        <v>122</v>
      </c>
      <c r="D29">
        <v>1.0668</v>
      </c>
      <c r="E29">
        <v>1066.8</v>
      </c>
      <c r="F29">
        <v>1.2699999999999999E-2</v>
      </c>
      <c r="G29">
        <v>12.7</v>
      </c>
      <c r="H29">
        <v>84</v>
      </c>
      <c r="I29">
        <v>100</v>
      </c>
      <c r="J29" t="s">
        <v>77</v>
      </c>
      <c r="K29">
        <v>15</v>
      </c>
      <c r="L29">
        <v>20</v>
      </c>
      <c r="M29">
        <v>552000</v>
      </c>
      <c r="N29">
        <v>625000</v>
      </c>
      <c r="O29">
        <v>2.9888368774026359</v>
      </c>
      <c r="S29" t="s">
        <v>78</v>
      </c>
      <c r="T29" t="s">
        <v>81</v>
      </c>
      <c r="U29">
        <v>19</v>
      </c>
      <c r="V29">
        <v>43</v>
      </c>
      <c r="W29">
        <v>0</v>
      </c>
      <c r="X29">
        <v>0</v>
      </c>
      <c r="Y29">
        <v>0.9</v>
      </c>
      <c r="Z29">
        <v>2</v>
      </c>
      <c r="AB29">
        <v>102.03070645435936</v>
      </c>
      <c r="AC29">
        <v>0</v>
      </c>
      <c r="AD29">
        <v>1</v>
      </c>
      <c r="AK29">
        <v>1.5</v>
      </c>
      <c r="AL29">
        <v>-1.81359</v>
      </c>
      <c r="AM29">
        <v>0.35620502968535167</v>
      </c>
      <c r="AN29">
        <v>0.38634999999999997</v>
      </c>
      <c r="AS29">
        <v>-5.9760000000000035E-2</v>
      </c>
      <c r="AT29">
        <v>0.60755000000000026</v>
      </c>
      <c r="AU29">
        <v>0.60693000000000019</v>
      </c>
      <c r="AV29">
        <v>-1.5299999999999999E-3</v>
      </c>
      <c r="AW29">
        <v>0.10326000000000002</v>
      </c>
      <c r="AY29">
        <v>0.35562079861429208</v>
      </c>
      <c r="BC29">
        <v>0.10647999999999991</v>
      </c>
      <c r="BD29">
        <v>0.25141000000000002</v>
      </c>
      <c r="BE29">
        <v>1.66038</v>
      </c>
      <c r="BH29">
        <v>-4.0000000000000001E-3</v>
      </c>
      <c r="BI29">
        <v>6.1900000000000011E-3</v>
      </c>
      <c r="BJ29">
        <v>-0.13807000000000003</v>
      </c>
      <c r="BK29">
        <v>1E-3</v>
      </c>
      <c r="BL29">
        <v>0.96160000000000001</v>
      </c>
      <c r="BM29">
        <v>4.4200000000000003E-3</v>
      </c>
      <c r="BN29">
        <v>-5.8679999999999982E-2</v>
      </c>
      <c r="BO29">
        <v>0.44164999999999999</v>
      </c>
      <c r="BP29">
        <v>0.11818000000000001</v>
      </c>
      <c r="CB29">
        <v>1</v>
      </c>
      <c r="CC29">
        <v>0</v>
      </c>
      <c r="CD29">
        <v>0</v>
      </c>
      <c r="CE29">
        <v>0.57546342746125556</v>
      </c>
      <c r="CL29">
        <v>0</v>
      </c>
      <c r="CM29">
        <v>0.57546342746125556</v>
      </c>
      <c r="CT29">
        <v>8.9288273599652541</v>
      </c>
      <c r="CU29">
        <v>100</v>
      </c>
      <c r="CV29">
        <v>1.0000000000000001E-5</v>
      </c>
      <c r="CW29">
        <v>100</v>
      </c>
      <c r="CX29">
        <v>0.54811999999999994</v>
      </c>
      <c r="CY29">
        <v>0.01</v>
      </c>
      <c r="CZ29">
        <v>0.54811999999999994</v>
      </c>
      <c r="DA29">
        <v>0.3</v>
      </c>
      <c r="DB29">
        <v>0.3</v>
      </c>
      <c r="DC29">
        <v>0.3</v>
      </c>
    </row>
    <row r="30" spans="1:107" x14ac:dyDescent="0.25">
      <c r="A30">
        <v>9</v>
      </c>
      <c r="B30">
        <v>30</v>
      </c>
      <c r="C30" t="s">
        <v>122</v>
      </c>
      <c r="D30">
        <v>0.60960000000000003</v>
      </c>
      <c r="E30">
        <v>609.6</v>
      </c>
      <c r="F30">
        <v>1.1130000000000001E-2</v>
      </c>
      <c r="G30">
        <v>11.13</v>
      </c>
      <c r="H30">
        <v>54.770889487870619</v>
      </c>
      <c r="I30">
        <v>150</v>
      </c>
      <c r="J30" t="s">
        <v>100</v>
      </c>
      <c r="K30">
        <v>3</v>
      </c>
      <c r="L30">
        <v>9</v>
      </c>
      <c r="M30">
        <v>290000</v>
      </c>
      <c r="N30">
        <v>414000</v>
      </c>
      <c r="O30">
        <v>1.7363704307629526</v>
      </c>
      <c r="S30" t="s">
        <v>78</v>
      </c>
      <c r="T30" t="s">
        <v>81</v>
      </c>
      <c r="U30">
        <v>19</v>
      </c>
      <c r="V30">
        <v>43</v>
      </c>
      <c r="W30">
        <v>0</v>
      </c>
      <c r="X30">
        <v>0</v>
      </c>
      <c r="Y30">
        <v>0.9</v>
      </c>
      <c r="Z30">
        <v>1</v>
      </c>
      <c r="AB30">
        <v>29.151630415531248</v>
      </c>
      <c r="AC30">
        <v>1</v>
      </c>
      <c r="AD30">
        <v>1</v>
      </c>
      <c r="AK30">
        <v>1.5</v>
      </c>
      <c r="AL30">
        <v>-1.01799</v>
      </c>
      <c r="AM30">
        <v>0.38193464176756858</v>
      </c>
      <c r="AN30">
        <v>0.17459</v>
      </c>
      <c r="AS30">
        <v>2.9240000000000002E-2</v>
      </c>
      <c r="AT30">
        <v>0.16758000000000001</v>
      </c>
      <c r="AU30">
        <v>0.11291000000000001</v>
      </c>
      <c r="AV30">
        <v>-1.5E-3</v>
      </c>
      <c r="AW30">
        <v>6.6009999999999985E-2</v>
      </c>
      <c r="AY30">
        <v>6.7567196067336521E-2</v>
      </c>
      <c r="BC30">
        <v>0.48845</v>
      </c>
      <c r="BD30">
        <v>0.21362</v>
      </c>
      <c r="BE30">
        <v>2.0645199999999999</v>
      </c>
      <c r="BH30">
        <v>-2.3700000000000001E-3</v>
      </c>
      <c r="BI30">
        <v>2.2239999999999999E-2</v>
      </c>
      <c r="BJ30">
        <v>-0.33663999999999999</v>
      </c>
      <c r="BK30">
        <v>6.2E-4</v>
      </c>
      <c r="BL30">
        <v>0.77855000000000008</v>
      </c>
      <c r="BM30">
        <v>-3.13E-3</v>
      </c>
      <c r="BN30">
        <v>3.9930000000000007E-2</v>
      </c>
      <c r="BO30">
        <v>0.23807999999999999</v>
      </c>
      <c r="BP30">
        <v>7.485E-2</v>
      </c>
      <c r="CB30">
        <v>1</v>
      </c>
      <c r="CC30">
        <v>0</v>
      </c>
      <c r="CD30">
        <v>0</v>
      </c>
      <c r="CE30">
        <v>0.27625200359756724</v>
      </c>
      <c r="CL30">
        <v>0</v>
      </c>
      <c r="CM30">
        <v>0.27625200359756724</v>
      </c>
      <c r="CT30">
        <v>8.3995658523274574</v>
      </c>
      <c r="CU30">
        <v>100</v>
      </c>
      <c r="CV30">
        <v>1.0000000000000001E-5</v>
      </c>
      <c r="CW30">
        <v>100</v>
      </c>
      <c r="CX30">
        <v>0.49417</v>
      </c>
      <c r="CY30">
        <v>0.01</v>
      </c>
      <c r="CZ30">
        <v>0.49417</v>
      </c>
      <c r="DA30">
        <v>0.3</v>
      </c>
      <c r="DB30">
        <v>0.3</v>
      </c>
      <c r="DC30">
        <v>0.3</v>
      </c>
    </row>
    <row r="31" spans="1:107" x14ac:dyDescent="0.25">
      <c r="A31">
        <v>10</v>
      </c>
      <c r="B31">
        <v>35</v>
      </c>
      <c r="C31" t="s">
        <v>122</v>
      </c>
      <c r="D31">
        <v>0.60960000000000003</v>
      </c>
      <c r="E31">
        <v>609.6</v>
      </c>
      <c r="F31">
        <v>1.1130000000000001E-2</v>
      </c>
      <c r="G31">
        <v>11.13</v>
      </c>
      <c r="H31">
        <v>54.770889487870619</v>
      </c>
      <c r="I31">
        <v>200</v>
      </c>
      <c r="J31" t="s">
        <v>101</v>
      </c>
      <c r="K31">
        <v>3</v>
      </c>
      <c r="L31">
        <v>8</v>
      </c>
      <c r="M31">
        <v>241000</v>
      </c>
      <c r="N31">
        <v>344000</v>
      </c>
      <c r="O31">
        <v>1.1599577949833839</v>
      </c>
      <c r="S31" t="s">
        <v>78</v>
      </c>
      <c r="T31" t="s">
        <v>81</v>
      </c>
      <c r="U31">
        <v>19</v>
      </c>
      <c r="V31">
        <v>43</v>
      </c>
      <c r="W31">
        <v>0</v>
      </c>
      <c r="X31">
        <v>0</v>
      </c>
      <c r="Y31">
        <v>0.9</v>
      </c>
      <c r="Z31">
        <v>2</v>
      </c>
      <c r="AB31">
        <v>58.303260831062495</v>
      </c>
      <c r="AC31">
        <v>1</v>
      </c>
      <c r="AD31">
        <v>1</v>
      </c>
      <c r="AK31">
        <v>2.75</v>
      </c>
      <c r="AL31">
        <v>-1.28809</v>
      </c>
      <c r="AM31">
        <v>0.42196824472511718</v>
      </c>
      <c r="AN31">
        <v>0.24193999999999999</v>
      </c>
      <c r="AS31">
        <v>1.4190000000000001E-2</v>
      </c>
      <c r="AT31">
        <v>0.27667999999999998</v>
      </c>
      <c r="AU31">
        <v>0.23471000000000003</v>
      </c>
      <c r="AV31">
        <v>-1.5499999999999999E-3</v>
      </c>
      <c r="AW31">
        <v>7.7409999999999993E-2</v>
      </c>
      <c r="AY31">
        <v>5.6398079686577951E-2</v>
      </c>
      <c r="BC31">
        <v>0.37974999999999998</v>
      </c>
      <c r="BD31">
        <v>0.22377</v>
      </c>
      <c r="BE31">
        <v>1.9244700000000001</v>
      </c>
      <c r="BH31">
        <v>-2.8700000000000002E-3</v>
      </c>
      <c r="BI31">
        <v>1.6539999999999999E-2</v>
      </c>
      <c r="BJ31">
        <v>-0.26484000000000002</v>
      </c>
      <c r="BK31">
        <v>7.2000000000000005E-4</v>
      </c>
      <c r="BL31">
        <v>0.8448500000000001</v>
      </c>
      <c r="BM31">
        <v>-7.9999999999999342E-5</v>
      </c>
      <c r="BN31">
        <v>3.5300000000000054E-3</v>
      </c>
      <c r="BO31">
        <v>0.31207999999999997</v>
      </c>
      <c r="BP31">
        <v>8.8450000000000001E-2</v>
      </c>
      <c r="CB31">
        <v>1</v>
      </c>
      <c r="CC31">
        <v>0</v>
      </c>
      <c r="CD31">
        <v>0</v>
      </c>
      <c r="CE31">
        <v>0.32512453126164914</v>
      </c>
      <c r="CL31">
        <v>0</v>
      </c>
      <c r="CM31">
        <v>0.32512453126164914</v>
      </c>
      <c r="CT31">
        <v>9.4103336233310273</v>
      </c>
      <c r="CU31">
        <v>100</v>
      </c>
      <c r="CV31">
        <v>1.0000000000000001E-5</v>
      </c>
      <c r="CW31">
        <v>100</v>
      </c>
      <c r="CX31">
        <v>0.50927</v>
      </c>
      <c r="CY31">
        <v>0.01</v>
      </c>
      <c r="CZ31">
        <v>0.50927</v>
      </c>
      <c r="DA31">
        <v>0.3</v>
      </c>
      <c r="DB31">
        <v>0.3</v>
      </c>
      <c r="DC31">
        <v>0.3</v>
      </c>
    </row>
    <row r="32" spans="1:107" x14ac:dyDescent="0.25">
      <c r="A32">
        <v>11</v>
      </c>
      <c r="B32">
        <v>41</v>
      </c>
      <c r="C32" t="s">
        <v>122</v>
      </c>
      <c r="D32">
        <v>0.20319999999999999</v>
      </c>
      <c r="E32">
        <v>203.2</v>
      </c>
      <c r="F32">
        <v>5.5599999999999998E-3</v>
      </c>
      <c r="G32">
        <v>5.56</v>
      </c>
      <c r="H32">
        <v>36.546762589928058</v>
      </c>
      <c r="I32">
        <v>15</v>
      </c>
      <c r="J32" t="s">
        <v>70</v>
      </c>
      <c r="K32">
        <v>8</v>
      </c>
      <c r="L32">
        <v>10</v>
      </c>
      <c r="M32">
        <v>359000</v>
      </c>
      <c r="N32">
        <v>455000</v>
      </c>
      <c r="O32">
        <v>1.9969902892117808</v>
      </c>
      <c r="S32" t="s">
        <v>71</v>
      </c>
      <c r="T32" t="s">
        <v>72</v>
      </c>
      <c r="U32">
        <v>17.5</v>
      </c>
      <c r="V32">
        <v>0</v>
      </c>
      <c r="W32">
        <v>37.5</v>
      </c>
      <c r="X32">
        <v>1.1000000000000001</v>
      </c>
      <c r="Y32">
        <v>0.9</v>
      </c>
      <c r="Z32">
        <v>0</v>
      </c>
      <c r="AB32">
        <v>26.332829622389642</v>
      </c>
      <c r="AC32">
        <v>1</v>
      </c>
      <c r="AD32">
        <v>1</v>
      </c>
      <c r="AK32">
        <v>0.75</v>
      </c>
      <c r="AL32">
        <v>-1.6122099999999999</v>
      </c>
      <c r="AM32">
        <v>0.49927955795195023</v>
      </c>
      <c r="AN32">
        <v>0.32275999999999999</v>
      </c>
      <c r="AS32">
        <v>-3.8700000000000002E-3</v>
      </c>
      <c r="AT32">
        <v>0.40759999999999996</v>
      </c>
      <c r="AU32">
        <v>0.38087000000000004</v>
      </c>
      <c r="AV32">
        <v>-1.6099999999999999E-3</v>
      </c>
      <c r="AW32">
        <v>9.108999999999999E-2</v>
      </c>
      <c r="AY32">
        <v>-0.39283740862208216</v>
      </c>
      <c r="BC32">
        <v>0.24930999999999998</v>
      </c>
      <c r="BD32">
        <v>0.23595000000000002</v>
      </c>
      <c r="BE32">
        <v>1.75641</v>
      </c>
      <c r="BH32">
        <v>-3.47E-3</v>
      </c>
      <c r="BI32">
        <v>9.7000000000000003E-3</v>
      </c>
      <c r="BJ32">
        <v>-0.17868000000000001</v>
      </c>
      <c r="BK32">
        <v>8.4000000000000003E-4</v>
      </c>
      <c r="BL32">
        <v>0.92441000000000006</v>
      </c>
      <c r="BM32">
        <v>3.5800000000000003E-3</v>
      </c>
      <c r="BN32">
        <v>-4.0149999999999998E-2</v>
      </c>
      <c r="BO32">
        <v>0.40088000000000001</v>
      </c>
      <c r="BP32">
        <v>0.10477</v>
      </c>
      <c r="CB32">
        <v>0</v>
      </c>
      <c r="CC32">
        <v>0</v>
      </c>
      <c r="CD32">
        <v>1</v>
      </c>
      <c r="CE32">
        <v>1.481293247657941</v>
      </c>
      <c r="CL32">
        <v>0</v>
      </c>
      <c r="CM32">
        <v>1.481293247657941</v>
      </c>
      <c r="CT32">
        <v>1.2541638151501695</v>
      </c>
      <c r="CU32">
        <v>3.5049063990458023</v>
      </c>
      <c r="CV32">
        <v>1.0000000000000001E-5</v>
      </c>
      <c r="CW32">
        <v>3.5049063990458023</v>
      </c>
      <c r="CX32">
        <v>0.52739000000000003</v>
      </c>
      <c r="CY32">
        <v>0.01</v>
      </c>
      <c r="CZ32">
        <v>0.52739000000000003</v>
      </c>
      <c r="DA32">
        <v>0.3</v>
      </c>
      <c r="DB32">
        <v>0.3</v>
      </c>
      <c r="DC32">
        <v>0.3</v>
      </c>
    </row>
    <row r="33" spans="1:107" x14ac:dyDescent="0.25">
      <c r="A33">
        <v>12</v>
      </c>
      <c r="B33">
        <v>6</v>
      </c>
      <c r="C33" t="s">
        <v>122</v>
      </c>
      <c r="D33">
        <v>0.30480000000000002</v>
      </c>
      <c r="E33">
        <v>304.8</v>
      </c>
      <c r="F33">
        <v>7.1399999999999996E-3</v>
      </c>
      <c r="G33">
        <v>7.14</v>
      </c>
      <c r="H33">
        <v>42.689075630252105</v>
      </c>
      <c r="I33">
        <v>30</v>
      </c>
      <c r="J33" t="s">
        <v>73</v>
      </c>
      <c r="K33">
        <v>8</v>
      </c>
      <c r="L33">
        <v>12</v>
      </c>
      <c r="M33">
        <v>414000</v>
      </c>
      <c r="N33">
        <v>517000</v>
      </c>
      <c r="O33">
        <v>2.5466769467238102</v>
      </c>
      <c r="S33" t="s">
        <v>71</v>
      </c>
      <c r="T33" t="s">
        <v>72</v>
      </c>
      <c r="U33">
        <v>17.5</v>
      </c>
      <c r="V33">
        <v>0</v>
      </c>
      <c r="W33">
        <v>37.5</v>
      </c>
      <c r="X33">
        <v>1.1000000000000001</v>
      </c>
      <c r="Y33">
        <v>0.9</v>
      </c>
      <c r="Z33">
        <v>0</v>
      </c>
      <c r="AB33">
        <v>39.499244433584465</v>
      </c>
      <c r="AC33">
        <v>1</v>
      </c>
      <c r="AD33">
        <v>1</v>
      </c>
      <c r="AK33">
        <v>0.75</v>
      </c>
      <c r="AL33">
        <v>0.27849000000000013</v>
      </c>
      <c r="AM33">
        <v>6.1265274996957969E-2</v>
      </c>
      <c r="AN33">
        <v>-0.14868999999999999</v>
      </c>
      <c r="AS33">
        <v>0.10148000000000001</v>
      </c>
      <c r="AT33">
        <v>-0.35609999999999997</v>
      </c>
      <c r="AU33">
        <v>-0.47172999999999998</v>
      </c>
      <c r="AV33">
        <v>-1.2599999999999998E-3</v>
      </c>
      <c r="AW33">
        <v>1.1289999999999994E-2</v>
      </c>
      <c r="AY33">
        <v>-0.16996391201545347</v>
      </c>
      <c r="BC33">
        <v>1.0102099999999998</v>
      </c>
      <c r="BD33">
        <v>0.16489999999999999</v>
      </c>
      <c r="BE33">
        <v>2.7367600000000003</v>
      </c>
      <c r="BH33">
        <v>3.0000000000000079E-5</v>
      </c>
      <c r="BI33">
        <v>4.9599999999999998E-2</v>
      </c>
      <c r="BJ33">
        <v>-0.68128</v>
      </c>
      <c r="BK33">
        <v>1.3999999999999993E-4</v>
      </c>
      <c r="BL33">
        <v>0.46031000000000011</v>
      </c>
      <c r="BM33">
        <v>-1.7769999999999998E-2</v>
      </c>
      <c r="BN33">
        <v>0.21465000000000001</v>
      </c>
      <c r="BO33">
        <v>-0.11712000000000006</v>
      </c>
      <c r="BP33">
        <v>9.5699999999999952E-3</v>
      </c>
      <c r="CB33">
        <v>0</v>
      </c>
      <c r="CC33">
        <v>1</v>
      </c>
      <c r="CD33">
        <v>1</v>
      </c>
      <c r="CE33">
        <v>35.235000927267137</v>
      </c>
      <c r="CL33">
        <v>35.235000927267137</v>
      </c>
      <c r="CM33">
        <v>0</v>
      </c>
      <c r="CT33">
        <v>-2.51856428360386</v>
      </c>
      <c r="CU33">
        <v>8.0575206890821802E-2</v>
      </c>
      <c r="CV33">
        <v>1.0000000000000001E-5</v>
      </c>
      <c r="CW33">
        <v>8.0575206890821802E-2</v>
      </c>
      <c r="CX33">
        <v>0.42169000000000001</v>
      </c>
      <c r="CY33">
        <v>0.01</v>
      </c>
      <c r="CZ33">
        <v>0.42169000000000001</v>
      </c>
      <c r="DA33">
        <v>0.3</v>
      </c>
      <c r="DB33">
        <v>0.3</v>
      </c>
      <c r="DC33">
        <v>0.3</v>
      </c>
    </row>
    <row r="34" spans="1:107" x14ac:dyDescent="0.25">
      <c r="A34">
        <v>13</v>
      </c>
      <c r="B34">
        <v>31</v>
      </c>
      <c r="C34" t="s">
        <v>122</v>
      </c>
      <c r="D34">
        <v>0.40639999999999998</v>
      </c>
      <c r="E34">
        <v>406.4</v>
      </c>
      <c r="F34">
        <v>9.5299999999999985E-3</v>
      </c>
      <c r="G34">
        <v>9.5299999999999994</v>
      </c>
      <c r="H34">
        <v>42.644281217208821</v>
      </c>
      <c r="I34">
        <v>50</v>
      </c>
      <c r="J34" t="s">
        <v>75</v>
      </c>
      <c r="K34">
        <v>14</v>
      </c>
      <c r="L34">
        <v>15</v>
      </c>
      <c r="M34">
        <v>483000</v>
      </c>
      <c r="N34">
        <v>565000</v>
      </c>
      <c r="O34">
        <v>2.8799444073326219</v>
      </c>
      <c r="S34" t="s">
        <v>71</v>
      </c>
      <c r="T34" t="s">
        <v>72</v>
      </c>
      <c r="U34">
        <v>17.5</v>
      </c>
      <c r="V34">
        <v>0</v>
      </c>
      <c r="W34">
        <v>37.5</v>
      </c>
      <c r="X34">
        <v>1.1000000000000001</v>
      </c>
      <c r="Y34">
        <v>0.9</v>
      </c>
      <c r="Z34">
        <v>0</v>
      </c>
      <c r="AB34">
        <v>52.665659244779285</v>
      </c>
      <c r="AC34">
        <v>1</v>
      </c>
      <c r="AD34">
        <v>1</v>
      </c>
      <c r="AK34">
        <v>0.75</v>
      </c>
      <c r="AL34">
        <v>-1.0720100000000001</v>
      </c>
      <c r="AM34">
        <v>0.37861949879439499</v>
      </c>
      <c r="AN34">
        <v>0.18805999999999998</v>
      </c>
      <c r="AS34">
        <v>2.6230000000000003E-2</v>
      </c>
      <c r="AT34">
        <v>0.18940000000000001</v>
      </c>
      <c r="AU34">
        <v>0.13727</v>
      </c>
      <c r="AV34">
        <v>-1.5100000000000001E-3</v>
      </c>
      <c r="AW34">
        <v>6.828999999999999E-2</v>
      </c>
      <c r="AY34">
        <v>6.4177768834329907E-2</v>
      </c>
      <c r="BC34">
        <v>0.46670999999999996</v>
      </c>
      <c r="BD34">
        <v>0.21565000000000001</v>
      </c>
      <c r="BE34">
        <v>2.0365100000000003</v>
      </c>
      <c r="BH34">
        <v>-2.47E-3</v>
      </c>
      <c r="BI34">
        <v>2.1099999999999997E-2</v>
      </c>
      <c r="BJ34">
        <v>-0.32228000000000001</v>
      </c>
      <c r="BK34">
        <v>6.3999999999999994E-4</v>
      </c>
      <c r="BL34">
        <v>0.79181000000000001</v>
      </c>
      <c r="BM34">
        <v>-2.5199999999999988E-3</v>
      </c>
      <c r="BN34">
        <v>3.2649999999999998E-2</v>
      </c>
      <c r="BO34">
        <v>0.25287999999999999</v>
      </c>
      <c r="BP34">
        <v>7.757E-2</v>
      </c>
      <c r="CB34">
        <v>0</v>
      </c>
      <c r="CC34">
        <v>1</v>
      </c>
      <c r="CD34">
        <v>0</v>
      </c>
      <c r="CE34">
        <v>34.875583720662959</v>
      </c>
      <c r="CL34">
        <v>34.875583720662959</v>
      </c>
      <c r="CM34">
        <v>0</v>
      </c>
      <c r="CT34">
        <v>-10.995295938748249</v>
      </c>
      <c r="CU34">
        <v>1.6780451693088814E-5</v>
      </c>
      <c r="CV34">
        <v>1.0000000000000001E-5</v>
      </c>
      <c r="CW34">
        <v>1.6780451693088814E-5</v>
      </c>
      <c r="CX34">
        <v>0.49719000000000002</v>
      </c>
      <c r="CY34">
        <v>0.01</v>
      </c>
      <c r="CZ34">
        <v>0.49719000000000002</v>
      </c>
      <c r="DA34">
        <v>0.3</v>
      </c>
      <c r="DB34">
        <v>0.3</v>
      </c>
      <c r="DC34">
        <v>0.3</v>
      </c>
    </row>
    <row r="35" spans="1:107" x14ac:dyDescent="0.25">
      <c r="A35">
        <v>14</v>
      </c>
      <c r="B35">
        <v>7</v>
      </c>
      <c r="C35" t="s">
        <v>122</v>
      </c>
      <c r="D35">
        <v>0.50800000000000001</v>
      </c>
      <c r="E35">
        <v>508</v>
      </c>
      <c r="F35">
        <v>1.1130000000000001E-2</v>
      </c>
      <c r="G35">
        <v>11.13</v>
      </c>
      <c r="H35">
        <v>45.642407906558844</v>
      </c>
      <c r="I35">
        <v>100</v>
      </c>
      <c r="J35" t="s">
        <v>77</v>
      </c>
      <c r="K35">
        <v>15</v>
      </c>
      <c r="L35">
        <v>20</v>
      </c>
      <c r="M35">
        <v>552000</v>
      </c>
      <c r="N35">
        <v>625000</v>
      </c>
      <c r="O35">
        <v>2.9888368774026359</v>
      </c>
      <c r="S35" t="s">
        <v>71</v>
      </c>
      <c r="T35" t="s">
        <v>72</v>
      </c>
      <c r="U35">
        <v>17.5</v>
      </c>
      <c r="V35">
        <v>0</v>
      </c>
      <c r="W35">
        <v>37.5</v>
      </c>
      <c r="X35">
        <v>1.1000000000000001</v>
      </c>
      <c r="Y35">
        <v>0.9</v>
      </c>
      <c r="Z35">
        <v>0</v>
      </c>
      <c r="AB35">
        <v>65.832074055974104</v>
      </c>
      <c r="AC35">
        <v>1</v>
      </c>
      <c r="AD35">
        <v>1</v>
      </c>
      <c r="AK35">
        <v>0.75</v>
      </c>
      <c r="AL35">
        <v>0.22447000000000017</v>
      </c>
      <c r="AM35">
        <v>0.18822525017291764</v>
      </c>
      <c r="AN35">
        <v>-0.13522000000000001</v>
      </c>
      <c r="AS35">
        <v>9.8470000000000002E-2</v>
      </c>
      <c r="AT35">
        <v>-0.33428000000000002</v>
      </c>
      <c r="AU35">
        <v>-0.44736999999999993</v>
      </c>
      <c r="AV35">
        <v>-1.2699999999999999E-3</v>
      </c>
      <c r="AW35">
        <v>1.3569999999999999E-2</v>
      </c>
      <c r="AY35">
        <v>-0.19215623985827801</v>
      </c>
      <c r="BC35">
        <v>0.98846999999999996</v>
      </c>
      <c r="BD35">
        <v>0.16693000000000002</v>
      </c>
      <c r="BE35">
        <v>2.7087500000000002</v>
      </c>
      <c r="BH35">
        <v>-7.0000000000000184E-5</v>
      </c>
      <c r="BI35">
        <v>4.8459999999999996E-2</v>
      </c>
      <c r="BJ35">
        <v>-0.66691999999999996</v>
      </c>
      <c r="BK35">
        <v>1.5999999999999999E-4</v>
      </c>
      <c r="BL35">
        <v>0.47357000000000005</v>
      </c>
      <c r="BM35">
        <v>-1.7159999999999998E-2</v>
      </c>
      <c r="BN35">
        <v>0.20737</v>
      </c>
      <c r="BO35">
        <v>-0.10232000000000002</v>
      </c>
      <c r="BP35">
        <v>1.2289999999999995E-2</v>
      </c>
      <c r="CB35">
        <v>0</v>
      </c>
      <c r="CC35">
        <v>1</v>
      </c>
      <c r="CD35">
        <v>0</v>
      </c>
      <c r="CE35">
        <v>24.805187421061582</v>
      </c>
      <c r="CL35">
        <v>24.805187421061582</v>
      </c>
      <c r="CM35">
        <v>0</v>
      </c>
      <c r="CT35">
        <v>-0.74325381350195208</v>
      </c>
      <c r="CU35">
        <v>0.47556399875824051</v>
      </c>
      <c r="CV35">
        <v>1.0000000000000001E-5</v>
      </c>
      <c r="CW35">
        <v>0.47556399875824051</v>
      </c>
      <c r="CX35">
        <v>0.42471000000000003</v>
      </c>
      <c r="CY35">
        <v>0.01</v>
      </c>
      <c r="CZ35">
        <v>0.42471000000000003</v>
      </c>
      <c r="DA35">
        <v>0.3</v>
      </c>
      <c r="DB35">
        <v>0.3</v>
      </c>
      <c r="DC35">
        <v>0.3</v>
      </c>
    </row>
    <row r="36" spans="1:107" x14ac:dyDescent="0.25">
      <c r="A36">
        <v>15</v>
      </c>
      <c r="B36">
        <v>9</v>
      </c>
      <c r="C36" t="s">
        <v>122</v>
      </c>
      <c r="D36">
        <v>0.60960000000000003</v>
      </c>
      <c r="E36">
        <v>609.6</v>
      </c>
      <c r="F36">
        <v>9.5299999999999985E-3</v>
      </c>
      <c r="G36">
        <v>9.5299999999999994</v>
      </c>
      <c r="H36">
        <v>63.966421825813235</v>
      </c>
      <c r="I36">
        <v>15</v>
      </c>
      <c r="J36" t="s">
        <v>70</v>
      </c>
      <c r="K36">
        <v>8</v>
      </c>
      <c r="L36">
        <v>10</v>
      </c>
      <c r="M36">
        <v>359000</v>
      </c>
      <c r="N36">
        <v>455000</v>
      </c>
      <c r="O36">
        <v>1.9969902892117808</v>
      </c>
      <c r="S36" t="s">
        <v>71</v>
      </c>
      <c r="T36" t="s">
        <v>74</v>
      </c>
      <c r="U36">
        <v>18</v>
      </c>
      <c r="V36">
        <v>0</v>
      </c>
      <c r="W36">
        <v>75</v>
      </c>
      <c r="X36">
        <v>0.72</v>
      </c>
      <c r="Y36">
        <v>0.9</v>
      </c>
      <c r="Z36">
        <v>0</v>
      </c>
      <c r="AB36">
        <v>103.41620360793024</v>
      </c>
      <c r="AC36">
        <v>0</v>
      </c>
      <c r="AD36">
        <v>1</v>
      </c>
      <c r="AK36">
        <v>0.75</v>
      </c>
      <c r="AL36">
        <v>0.11643000000000003</v>
      </c>
      <c r="AM36">
        <v>-0.1018074430633997</v>
      </c>
      <c r="AN36">
        <v>-0.10827999999999999</v>
      </c>
      <c r="AS36">
        <v>9.2450000000000004E-2</v>
      </c>
      <c r="AT36">
        <v>-0.29064000000000001</v>
      </c>
      <c r="AU36">
        <v>-0.39864999999999995</v>
      </c>
      <c r="AV36">
        <v>-1.2899999999999999E-3</v>
      </c>
      <c r="AW36">
        <v>1.8129999999999993E-2</v>
      </c>
      <c r="AY36">
        <v>-0.24721189702307916</v>
      </c>
      <c r="BC36">
        <v>0.94499</v>
      </c>
      <c r="BD36">
        <v>0.17099</v>
      </c>
      <c r="BE36">
        <v>2.65273</v>
      </c>
      <c r="BH36">
        <v>-2.6999999999999984E-4</v>
      </c>
      <c r="BI36">
        <v>4.6179999999999999E-2</v>
      </c>
      <c r="BJ36">
        <v>-0.63819999999999999</v>
      </c>
      <c r="BK36">
        <v>1.9999999999999998E-4</v>
      </c>
      <c r="BL36">
        <v>0.50009000000000015</v>
      </c>
      <c r="BM36">
        <v>-1.5939999999999999E-2</v>
      </c>
      <c r="BN36">
        <v>0.19280999999999998</v>
      </c>
      <c r="BO36">
        <v>-7.2720000000000062E-2</v>
      </c>
      <c r="BP36">
        <v>1.7729999999999996E-2</v>
      </c>
      <c r="CB36">
        <v>0</v>
      </c>
      <c r="CC36">
        <v>1</v>
      </c>
      <c r="CD36">
        <v>1</v>
      </c>
      <c r="CE36">
        <v>59.10145817348517</v>
      </c>
      <c r="CL36">
        <v>59.10145817348517</v>
      </c>
      <c r="CM36">
        <v>0</v>
      </c>
      <c r="CT36">
        <v>-0.73581869692911095</v>
      </c>
      <c r="CU36">
        <v>0.47911304998207627</v>
      </c>
      <c r="CV36">
        <v>1.0000000000000001E-5</v>
      </c>
      <c r="CW36">
        <v>0.47911304998207627</v>
      </c>
      <c r="CX36">
        <v>0.43074999999999997</v>
      </c>
      <c r="CY36">
        <v>0.01</v>
      </c>
      <c r="CZ36">
        <v>0.43074999999999997</v>
      </c>
      <c r="DA36">
        <v>0.3</v>
      </c>
      <c r="DB36">
        <v>0.3</v>
      </c>
      <c r="DC36">
        <v>0.3</v>
      </c>
    </row>
    <row r="37" spans="1:107" x14ac:dyDescent="0.25">
      <c r="A37">
        <v>16</v>
      </c>
      <c r="B37">
        <v>34</v>
      </c>
      <c r="C37" t="s">
        <v>122</v>
      </c>
      <c r="D37">
        <v>0.76200000000000001</v>
      </c>
      <c r="E37">
        <v>762</v>
      </c>
      <c r="F37">
        <v>1.2699999999999999E-2</v>
      </c>
      <c r="G37">
        <v>12.7</v>
      </c>
      <c r="H37">
        <v>60</v>
      </c>
      <c r="I37">
        <v>30</v>
      </c>
      <c r="J37" t="s">
        <v>73</v>
      </c>
      <c r="K37">
        <v>8</v>
      </c>
      <c r="L37">
        <v>12</v>
      </c>
      <c r="M37">
        <v>414000</v>
      </c>
      <c r="N37">
        <v>517000</v>
      </c>
      <c r="O37">
        <v>2.5466769467238102</v>
      </c>
      <c r="S37" t="s">
        <v>71</v>
      </c>
      <c r="T37" t="s">
        <v>74</v>
      </c>
      <c r="U37">
        <v>18</v>
      </c>
      <c r="V37">
        <v>0</v>
      </c>
      <c r="W37">
        <v>75</v>
      </c>
      <c r="X37">
        <v>0.72</v>
      </c>
      <c r="Y37">
        <v>0.9</v>
      </c>
      <c r="Z37">
        <v>0</v>
      </c>
      <c r="AB37">
        <v>129.2702545099128</v>
      </c>
      <c r="AC37">
        <v>0</v>
      </c>
      <c r="AD37">
        <v>1</v>
      </c>
      <c r="AK37">
        <v>1.5</v>
      </c>
      <c r="AL37">
        <v>-1.23407</v>
      </c>
      <c r="AM37">
        <v>0.33045059496458912</v>
      </c>
      <c r="AN37">
        <v>0.22846999999999998</v>
      </c>
      <c r="AS37">
        <v>1.72E-2</v>
      </c>
      <c r="AT37">
        <v>0.25485999999999998</v>
      </c>
      <c r="AU37">
        <v>0.21035000000000004</v>
      </c>
      <c r="AV37">
        <v>-1.5399999999999999E-3</v>
      </c>
      <c r="AW37">
        <v>7.5130000000000002E-2</v>
      </c>
      <c r="AY37">
        <v>-0.14809673694969461</v>
      </c>
      <c r="BC37">
        <v>0.40149000000000001</v>
      </c>
      <c r="BD37">
        <v>0.22173999999999999</v>
      </c>
      <c r="BE37">
        <v>1.95248</v>
      </c>
      <c r="BH37">
        <v>-2.7699999999999999E-3</v>
      </c>
      <c r="BI37">
        <v>1.7679999999999998E-2</v>
      </c>
      <c r="BJ37">
        <v>-0.2792</v>
      </c>
      <c r="BK37">
        <v>6.9999999999999999E-4</v>
      </c>
      <c r="BL37">
        <v>0.83159000000000005</v>
      </c>
      <c r="BM37">
        <v>-6.8999999999999964E-4</v>
      </c>
      <c r="BN37">
        <v>1.081E-2</v>
      </c>
      <c r="BO37">
        <v>0.29727999999999999</v>
      </c>
      <c r="BP37">
        <v>8.5730000000000001E-2</v>
      </c>
      <c r="CB37">
        <v>0</v>
      </c>
      <c r="CC37">
        <v>0</v>
      </c>
      <c r="CD37">
        <v>1</v>
      </c>
      <c r="CE37">
        <v>-0.13675050892386795</v>
      </c>
      <c r="CL37">
        <v>0</v>
      </c>
      <c r="CM37">
        <v>-0.13675050892386795</v>
      </c>
      <c r="CT37">
        <v>1.233670099194631</v>
      </c>
      <c r="CU37">
        <v>3.4338088576140939</v>
      </c>
      <c r="CV37">
        <v>1.0000000000000001E-5</v>
      </c>
      <c r="CW37">
        <v>3.4338088576140939</v>
      </c>
      <c r="CX37">
        <v>0.50624999999999998</v>
      </c>
      <c r="CY37">
        <v>0.01</v>
      </c>
      <c r="CZ37">
        <v>0.50624999999999998</v>
      </c>
      <c r="DA37">
        <v>0.3</v>
      </c>
      <c r="DB37">
        <v>0.3</v>
      </c>
      <c r="DC37">
        <v>0.3</v>
      </c>
    </row>
    <row r="38" spans="1:107" x14ac:dyDescent="0.25">
      <c r="A38">
        <v>17</v>
      </c>
      <c r="B38">
        <v>30</v>
      </c>
      <c r="C38" t="s">
        <v>122</v>
      </c>
      <c r="D38">
        <v>0.86360000000000003</v>
      </c>
      <c r="E38">
        <v>863.6</v>
      </c>
      <c r="F38">
        <v>1.1130000000000001E-2</v>
      </c>
      <c r="G38">
        <v>11.13</v>
      </c>
      <c r="H38">
        <v>77.592093441150041</v>
      </c>
      <c r="I38">
        <v>50</v>
      </c>
      <c r="J38" t="s">
        <v>75</v>
      </c>
      <c r="K38">
        <v>14</v>
      </c>
      <c r="L38">
        <v>15</v>
      </c>
      <c r="M38">
        <v>483000</v>
      </c>
      <c r="N38">
        <v>565000</v>
      </c>
      <c r="O38">
        <v>2.8799444073326219</v>
      </c>
      <c r="S38" t="s">
        <v>71</v>
      </c>
      <c r="T38" t="s">
        <v>74</v>
      </c>
      <c r="U38">
        <v>18</v>
      </c>
      <c r="V38">
        <v>0</v>
      </c>
      <c r="W38">
        <v>75</v>
      </c>
      <c r="X38">
        <v>0.72</v>
      </c>
      <c r="Y38">
        <v>0.9</v>
      </c>
      <c r="Z38">
        <v>0</v>
      </c>
      <c r="AB38">
        <v>146.50628844456784</v>
      </c>
      <c r="AC38">
        <v>0</v>
      </c>
      <c r="AD38">
        <v>1</v>
      </c>
      <c r="AK38">
        <v>1.5</v>
      </c>
      <c r="AL38">
        <v>-1.01799</v>
      </c>
      <c r="AM38">
        <v>0.26090941251699395</v>
      </c>
      <c r="AN38">
        <v>0.17459</v>
      </c>
      <c r="AS38">
        <v>2.9240000000000002E-2</v>
      </c>
      <c r="AT38">
        <v>0.16758000000000001</v>
      </c>
      <c r="AU38">
        <v>0.11291000000000001</v>
      </c>
      <c r="AV38">
        <v>-1.5E-3</v>
      </c>
      <c r="AW38">
        <v>6.6009999999999985E-2</v>
      </c>
      <c r="AY38">
        <v>-5.900749565548391E-2</v>
      </c>
      <c r="BC38">
        <v>0.48845</v>
      </c>
      <c r="BD38">
        <v>0.21362</v>
      </c>
      <c r="BE38">
        <v>2.0645199999999999</v>
      </c>
      <c r="BH38">
        <v>-2.3700000000000001E-3</v>
      </c>
      <c r="BI38">
        <v>2.2239999999999999E-2</v>
      </c>
      <c r="BJ38">
        <v>-0.33663999999999999</v>
      </c>
      <c r="BK38">
        <v>6.2E-4</v>
      </c>
      <c r="BL38">
        <v>0.77855000000000008</v>
      </c>
      <c r="BM38">
        <v>-3.13E-3</v>
      </c>
      <c r="BN38">
        <v>3.9930000000000007E-2</v>
      </c>
      <c r="BO38">
        <v>0.23807999999999999</v>
      </c>
      <c r="BP38">
        <v>7.485E-2</v>
      </c>
      <c r="CB38">
        <v>0</v>
      </c>
      <c r="CC38">
        <v>0</v>
      </c>
      <c r="CD38">
        <v>0</v>
      </c>
      <c r="CE38">
        <v>0.31412415867276039</v>
      </c>
      <c r="CL38">
        <v>0</v>
      </c>
      <c r="CM38">
        <v>0.31412415867276039</v>
      </c>
      <c r="CT38">
        <v>1.5639121331187127</v>
      </c>
      <c r="CU38">
        <v>4.7774748512413208</v>
      </c>
      <c r="CV38">
        <v>1.0000000000000001E-5</v>
      </c>
      <c r="CW38">
        <v>4.7774748512413208</v>
      </c>
      <c r="CX38">
        <v>0.49417</v>
      </c>
      <c r="CY38">
        <v>0.01</v>
      </c>
      <c r="CZ38">
        <v>0.49417</v>
      </c>
      <c r="DA38">
        <v>0.3</v>
      </c>
      <c r="DB38">
        <v>0.3</v>
      </c>
      <c r="DC38">
        <v>0.3</v>
      </c>
    </row>
    <row r="39" spans="1:107" x14ac:dyDescent="0.25">
      <c r="A39">
        <v>18</v>
      </c>
      <c r="B39">
        <v>28</v>
      </c>
      <c r="C39" t="s">
        <v>122</v>
      </c>
      <c r="D39">
        <v>1.0668</v>
      </c>
      <c r="E39">
        <v>1066.8</v>
      </c>
      <c r="F39">
        <v>1.2699999999999999E-2</v>
      </c>
      <c r="G39">
        <v>12.7</v>
      </c>
      <c r="H39">
        <v>84</v>
      </c>
      <c r="I39">
        <v>100</v>
      </c>
      <c r="J39" t="s">
        <v>77</v>
      </c>
      <c r="K39">
        <v>15</v>
      </c>
      <c r="L39">
        <v>20</v>
      </c>
      <c r="M39">
        <v>552000</v>
      </c>
      <c r="N39">
        <v>625000</v>
      </c>
      <c r="O39">
        <v>2.9888368774026359</v>
      </c>
      <c r="S39" t="s">
        <v>71</v>
      </c>
      <c r="T39" t="s">
        <v>76</v>
      </c>
      <c r="U39">
        <v>18.5</v>
      </c>
      <c r="V39">
        <v>0</v>
      </c>
      <c r="W39">
        <v>125</v>
      </c>
      <c r="X39">
        <v>0.4</v>
      </c>
      <c r="Y39">
        <v>0.9</v>
      </c>
      <c r="Z39">
        <v>0</v>
      </c>
      <c r="AB39">
        <v>167.57255214247957</v>
      </c>
      <c r="AC39">
        <v>0</v>
      </c>
      <c r="AD39">
        <v>1</v>
      </c>
      <c r="AK39">
        <v>1.5</v>
      </c>
      <c r="AL39">
        <v>-0.90995000000000004</v>
      </c>
      <c r="AM39">
        <v>0.25024830075794013</v>
      </c>
      <c r="AN39">
        <v>0.14764999999999998</v>
      </c>
      <c r="AS39">
        <v>3.526E-2</v>
      </c>
      <c r="AT39">
        <v>0.12393999999999999</v>
      </c>
      <c r="AU39">
        <v>6.4190000000000025E-2</v>
      </c>
      <c r="AV39">
        <v>-1.48E-3</v>
      </c>
      <c r="AW39">
        <v>6.1449999999999998E-2</v>
      </c>
      <c r="AY39">
        <v>4.3996315441468314E-2</v>
      </c>
      <c r="BC39">
        <v>0.53193000000000001</v>
      </c>
      <c r="BD39">
        <v>0.20956000000000002</v>
      </c>
      <c r="BE39">
        <v>2.1205400000000001</v>
      </c>
      <c r="BH39">
        <v>-2.1700000000000001E-3</v>
      </c>
      <c r="BI39">
        <v>2.4519999999999997E-2</v>
      </c>
      <c r="BJ39">
        <v>-0.36536000000000002</v>
      </c>
      <c r="BK39">
        <v>5.8E-4</v>
      </c>
      <c r="BL39">
        <v>0.75203000000000009</v>
      </c>
      <c r="BM39">
        <v>-4.3499999999999988E-3</v>
      </c>
      <c r="BN39">
        <v>5.4489999999999997E-2</v>
      </c>
      <c r="BO39">
        <v>0.20848</v>
      </c>
      <c r="BP39">
        <v>6.9409999999999999E-2</v>
      </c>
      <c r="CB39">
        <v>0</v>
      </c>
      <c r="CC39">
        <v>0</v>
      </c>
      <c r="CD39">
        <v>0</v>
      </c>
      <c r="CE39">
        <v>0.28012591978410695</v>
      </c>
      <c r="CL39">
        <v>0</v>
      </c>
      <c r="CM39">
        <v>0.28012591978410695</v>
      </c>
      <c r="CT39">
        <v>1.5617087463846138</v>
      </c>
      <c r="CU39">
        <v>4.7669598151312735</v>
      </c>
      <c r="CV39">
        <v>1.0000000000000001E-5</v>
      </c>
      <c r="CW39">
        <v>4.7669598151312735</v>
      </c>
      <c r="CX39">
        <v>0.48813000000000001</v>
      </c>
      <c r="CY39">
        <v>0.01</v>
      </c>
      <c r="CZ39">
        <v>0.48813000000000001</v>
      </c>
      <c r="DA39">
        <v>0.3</v>
      </c>
      <c r="DB39">
        <v>0.3</v>
      </c>
      <c r="DC39">
        <v>0.3</v>
      </c>
    </row>
    <row r="40" spans="1:107" x14ac:dyDescent="0.25">
      <c r="A40">
        <v>19</v>
      </c>
      <c r="B40">
        <v>33</v>
      </c>
      <c r="C40" t="s">
        <v>122</v>
      </c>
      <c r="D40">
        <v>0.60960000000000003</v>
      </c>
      <c r="E40">
        <v>609.6</v>
      </c>
      <c r="F40">
        <v>1.1130000000000001E-2</v>
      </c>
      <c r="G40">
        <v>11.13</v>
      </c>
      <c r="H40">
        <v>54.770889487870619</v>
      </c>
      <c r="I40">
        <v>150</v>
      </c>
      <c r="J40" t="s">
        <v>100</v>
      </c>
      <c r="K40">
        <v>3</v>
      </c>
      <c r="L40">
        <v>9</v>
      </c>
      <c r="M40">
        <v>290000</v>
      </c>
      <c r="N40">
        <v>414000</v>
      </c>
      <c r="O40">
        <v>1.7363704307629526</v>
      </c>
      <c r="S40" t="s">
        <v>71</v>
      </c>
      <c r="T40" t="s">
        <v>76</v>
      </c>
      <c r="U40">
        <v>18.5</v>
      </c>
      <c r="V40">
        <v>0</v>
      </c>
      <c r="W40">
        <v>125</v>
      </c>
      <c r="X40">
        <v>0.4</v>
      </c>
      <c r="Y40">
        <v>0.9</v>
      </c>
      <c r="Z40">
        <v>0</v>
      </c>
      <c r="AB40">
        <v>95.755744081416907</v>
      </c>
      <c r="AC40">
        <v>0</v>
      </c>
      <c r="AD40">
        <v>1</v>
      </c>
      <c r="AK40">
        <v>7.5</v>
      </c>
      <c r="AL40">
        <v>-1.18005</v>
      </c>
      <c r="AM40">
        <v>0.35645547837724323</v>
      </c>
      <c r="AN40">
        <v>0.21499999999999997</v>
      </c>
      <c r="AS40">
        <v>2.0209999999999999E-2</v>
      </c>
      <c r="AT40">
        <v>0.23304000000000002</v>
      </c>
      <c r="AU40">
        <v>0.18598999999999999</v>
      </c>
      <c r="AV40">
        <v>-1.5299999999999999E-3</v>
      </c>
      <c r="AW40">
        <v>7.2849999999999998E-2</v>
      </c>
      <c r="AY40">
        <v>9.3927643011048279E-2</v>
      </c>
      <c r="BC40">
        <v>0.42323</v>
      </c>
      <c r="BD40">
        <v>0.21971000000000002</v>
      </c>
      <c r="BE40">
        <v>1.9804900000000001</v>
      </c>
      <c r="BH40">
        <v>-2.6700000000000001E-3</v>
      </c>
      <c r="BI40">
        <v>1.882E-2</v>
      </c>
      <c r="BJ40">
        <v>-0.29355999999999999</v>
      </c>
      <c r="BK40">
        <v>6.8000000000000005E-4</v>
      </c>
      <c r="BL40">
        <v>0.81833</v>
      </c>
      <c r="BM40">
        <v>-1.2999999999999999E-3</v>
      </c>
      <c r="BN40">
        <v>1.8089999999999995E-2</v>
      </c>
      <c r="BO40">
        <v>0.28247999999999995</v>
      </c>
      <c r="BP40">
        <v>8.301E-2</v>
      </c>
      <c r="CB40">
        <v>0</v>
      </c>
      <c r="CC40">
        <v>0</v>
      </c>
      <c r="CD40">
        <v>0</v>
      </c>
      <c r="CE40">
        <v>0.32698466691561862</v>
      </c>
      <c r="CL40">
        <v>0</v>
      </c>
      <c r="CM40">
        <v>0.32698466691561862</v>
      </c>
      <c r="CT40">
        <v>1.9308935225105111</v>
      </c>
      <c r="CU40">
        <v>6.8956689251199821</v>
      </c>
      <c r="CV40">
        <v>1.0000000000000001E-5</v>
      </c>
      <c r="CW40">
        <v>6.8956689251199821</v>
      </c>
      <c r="CX40">
        <v>0.50322999999999996</v>
      </c>
      <c r="CY40">
        <v>0.01</v>
      </c>
      <c r="CZ40">
        <v>0.50322999999999996</v>
      </c>
      <c r="DA40">
        <v>0.3</v>
      </c>
      <c r="DB40">
        <v>0.3</v>
      </c>
      <c r="DC40">
        <v>0.3</v>
      </c>
    </row>
    <row r="41" spans="1:107" x14ac:dyDescent="0.25">
      <c r="A41">
        <v>20</v>
      </c>
      <c r="B41">
        <v>56</v>
      </c>
      <c r="C41" t="s">
        <v>122</v>
      </c>
      <c r="D41">
        <v>0.60960000000000003</v>
      </c>
      <c r="E41">
        <v>609.6</v>
      </c>
      <c r="F41">
        <v>1.1130000000000001E-2</v>
      </c>
      <c r="G41">
        <v>11.13</v>
      </c>
      <c r="H41">
        <v>54.770889487870619</v>
      </c>
      <c r="I41">
        <v>200</v>
      </c>
      <c r="J41" t="s">
        <v>101</v>
      </c>
      <c r="K41">
        <v>3</v>
      </c>
      <c r="L41">
        <v>8</v>
      </c>
      <c r="M41">
        <v>241000</v>
      </c>
      <c r="N41">
        <v>344000</v>
      </c>
      <c r="O41">
        <v>1.1599577949833839</v>
      </c>
      <c r="S41" t="s">
        <v>71</v>
      </c>
      <c r="T41" t="s">
        <v>76</v>
      </c>
      <c r="U41">
        <v>18.5</v>
      </c>
      <c r="V41">
        <v>0</v>
      </c>
      <c r="W41">
        <v>125</v>
      </c>
      <c r="X41">
        <v>0.4</v>
      </c>
      <c r="Y41">
        <v>0.9</v>
      </c>
      <c r="Z41">
        <v>0</v>
      </c>
      <c r="AB41">
        <v>95.755744081416907</v>
      </c>
      <c r="AC41">
        <v>0</v>
      </c>
      <c r="AD41">
        <v>1</v>
      </c>
      <c r="AK41">
        <v>3.5</v>
      </c>
      <c r="AL41">
        <v>-1.7474400000000001</v>
      </c>
      <c r="AM41">
        <v>-0.1037110168730242</v>
      </c>
      <c r="AN41">
        <v>0.42990999999999996</v>
      </c>
      <c r="AS41">
        <v>-0.25641000000000003</v>
      </c>
      <c r="AT41">
        <v>1.1132600000000001</v>
      </c>
      <c r="AU41">
        <v>1.18563</v>
      </c>
      <c r="AV41">
        <v>-1.5299999999999999E-3</v>
      </c>
      <c r="AW41">
        <v>0.11622000000000002</v>
      </c>
      <c r="AY41">
        <v>0.51497060284998142</v>
      </c>
      <c r="BC41">
        <v>-0.14435000000000009</v>
      </c>
      <c r="BD41">
        <v>0.28390000000000004</v>
      </c>
      <c r="BE41">
        <v>1.73184</v>
      </c>
      <c r="BH41">
        <v>-4.1799999999999997E-3</v>
      </c>
      <c r="BI41">
        <v>1.132E-2</v>
      </c>
      <c r="BJ41">
        <v>-0.21403</v>
      </c>
      <c r="BK41">
        <v>1.1800000000000001E-3</v>
      </c>
      <c r="BL41">
        <v>0.88968999999999998</v>
      </c>
      <c r="BM41">
        <v>-2.8699999999999993E-3</v>
      </c>
      <c r="BN41">
        <v>-1.1699999999999988E-2</v>
      </c>
      <c r="BO41">
        <v>0.35848999999999998</v>
      </c>
      <c r="BP41">
        <v>0.12916</v>
      </c>
      <c r="CB41">
        <v>0</v>
      </c>
      <c r="CC41">
        <v>0</v>
      </c>
      <c r="CD41">
        <v>0</v>
      </c>
      <c r="CE41">
        <v>0.37478522846528672</v>
      </c>
      <c r="CL41">
        <v>0</v>
      </c>
      <c r="CM41">
        <v>0.37478522846528672</v>
      </c>
      <c r="CT41">
        <v>1.2686604747345773</v>
      </c>
      <c r="CU41">
        <v>3.5560859036244468</v>
      </c>
      <c r="CV41">
        <v>1.0000000000000001E-5</v>
      </c>
      <c r="CW41">
        <v>3.5560859036244468</v>
      </c>
      <c r="CX41">
        <v>0.58664000000000005</v>
      </c>
      <c r="CY41">
        <v>0.01</v>
      </c>
      <c r="CZ41">
        <v>0.58664000000000005</v>
      </c>
      <c r="DA41">
        <v>0.3</v>
      </c>
      <c r="DB41">
        <v>0.3</v>
      </c>
      <c r="DC41">
        <v>0.3</v>
      </c>
    </row>
    <row r="42" spans="1:107" x14ac:dyDescent="0.25">
      <c r="A42">
        <v>21</v>
      </c>
      <c r="B42">
        <v>87</v>
      </c>
      <c r="C42" t="s">
        <v>122</v>
      </c>
      <c r="D42">
        <v>0.20319999999999999</v>
      </c>
      <c r="E42">
        <v>203.2</v>
      </c>
      <c r="F42">
        <v>5.5599999999999998E-3</v>
      </c>
      <c r="G42">
        <v>5.56</v>
      </c>
      <c r="H42">
        <v>36.546762589928058</v>
      </c>
      <c r="I42">
        <v>15</v>
      </c>
      <c r="J42" t="s">
        <v>70</v>
      </c>
      <c r="K42">
        <v>8</v>
      </c>
      <c r="L42">
        <v>10</v>
      </c>
      <c r="M42">
        <v>359000</v>
      </c>
      <c r="N42">
        <v>455000</v>
      </c>
      <c r="O42">
        <v>1.9969902892117808</v>
      </c>
      <c r="S42" t="s">
        <v>78</v>
      </c>
      <c r="T42" t="s">
        <v>79</v>
      </c>
      <c r="U42">
        <v>18</v>
      </c>
      <c r="V42">
        <v>37</v>
      </c>
      <c r="W42">
        <v>0</v>
      </c>
      <c r="X42">
        <v>0</v>
      </c>
      <c r="Y42">
        <v>0.9</v>
      </c>
      <c r="Z42">
        <v>1</v>
      </c>
      <c r="AB42">
        <v>7.5479720641402661</v>
      </c>
      <c r="AK42">
        <v>0.75</v>
      </c>
      <c r="AM42">
        <v>8.2856107139974745E-3</v>
      </c>
      <c r="AX42">
        <v>1.5646389426880153E-2</v>
      </c>
      <c r="AY42">
        <v>1.0156463894268801</v>
      </c>
      <c r="BC42">
        <v>-2.307229</v>
      </c>
      <c r="BD42">
        <v>0.5852366</v>
      </c>
      <c r="BE42">
        <v>0.201322</v>
      </c>
      <c r="BQ42">
        <v>1.4274935</v>
      </c>
      <c r="BR42">
        <v>-7.1050000000000002E-3</v>
      </c>
      <c r="BS42">
        <v>5.1415999999999996E-3</v>
      </c>
      <c r="BT42">
        <v>-1.4290590000000001</v>
      </c>
      <c r="BU42">
        <v>4.9200300000000002E-2</v>
      </c>
      <c r="BV42">
        <v>0.14513599999999999</v>
      </c>
      <c r="BW42">
        <v>2.0170299999999999E-2</v>
      </c>
      <c r="BX42">
        <v>-1.032025</v>
      </c>
      <c r="BZ42">
        <v>1</v>
      </c>
      <c r="CA42">
        <v>0</v>
      </c>
      <c r="CB42">
        <v>1</v>
      </c>
      <c r="CE42">
        <v>-0.47373050310383741</v>
      </c>
      <c r="CL42">
        <v>-0.47373050310383741</v>
      </c>
      <c r="CM42">
        <v>0</v>
      </c>
      <c r="CT42">
        <v>-0.14957085894174343</v>
      </c>
      <c r="CU42">
        <v>0.86107742082312089</v>
      </c>
      <c r="CV42">
        <v>1.0000000000000001E-5</v>
      </c>
      <c r="CW42">
        <v>0.86107742082312089</v>
      </c>
      <c r="CX42">
        <v>0.72299999999999998</v>
      </c>
      <c r="CY42">
        <v>0.01</v>
      </c>
      <c r="CZ42">
        <v>0.72299999999999998</v>
      </c>
      <c r="DA42">
        <v>0.3</v>
      </c>
      <c r="DB42">
        <v>0.3</v>
      </c>
      <c r="DC42">
        <v>0.3</v>
      </c>
    </row>
    <row r="43" spans="1:107" x14ac:dyDescent="0.25">
      <c r="A43">
        <v>22</v>
      </c>
      <c r="B43">
        <v>86</v>
      </c>
      <c r="C43" t="s">
        <v>122</v>
      </c>
      <c r="D43">
        <v>0.30480000000000002</v>
      </c>
      <c r="E43">
        <v>304.8</v>
      </c>
      <c r="F43">
        <v>7.1399999999999996E-3</v>
      </c>
      <c r="G43">
        <v>7.14</v>
      </c>
      <c r="H43">
        <v>42.689075630252105</v>
      </c>
      <c r="I43">
        <v>30</v>
      </c>
      <c r="J43" t="s">
        <v>73</v>
      </c>
      <c r="K43">
        <v>8</v>
      </c>
      <c r="L43">
        <v>12</v>
      </c>
      <c r="M43">
        <v>414000</v>
      </c>
      <c r="N43">
        <v>517000</v>
      </c>
      <c r="O43">
        <v>2.5466769467238102</v>
      </c>
      <c r="S43" t="s">
        <v>78</v>
      </c>
      <c r="T43" t="s">
        <v>79</v>
      </c>
      <c r="U43">
        <v>18</v>
      </c>
      <c r="V43">
        <v>37</v>
      </c>
      <c r="W43">
        <v>0</v>
      </c>
      <c r="X43">
        <v>0</v>
      </c>
      <c r="Y43">
        <v>0.9</v>
      </c>
      <c r="Z43">
        <v>2</v>
      </c>
      <c r="AB43">
        <v>22.6439161924208</v>
      </c>
      <c r="AK43">
        <v>0.75</v>
      </c>
      <c r="AM43">
        <v>2.1276810678546657E-2</v>
      </c>
      <c r="AX43">
        <v>0.10176623528675607</v>
      </c>
      <c r="AY43">
        <v>1.1017662352867561</v>
      </c>
      <c r="BC43">
        <v>-2.307229</v>
      </c>
      <c r="BD43">
        <v>0.5852366</v>
      </c>
      <c r="BE43">
        <v>0.201322</v>
      </c>
      <c r="BQ43">
        <v>1.4274935</v>
      </c>
      <c r="BR43">
        <v>-7.1050000000000002E-3</v>
      </c>
      <c r="BS43">
        <v>5.1415999999999996E-3</v>
      </c>
      <c r="BT43">
        <v>-1.4290590000000001</v>
      </c>
      <c r="BU43">
        <v>4.9200300000000002E-2</v>
      </c>
      <c r="BV43">
        <v>0.14513599999999999</v>
      </c>
      <c r="BW43">
        <v>2.0170299999999999E-2</v>
      </c>
      <c r="BX43">
        <v>-1.032025</v>
      </c>
      <c r="BZ43">
        <v>1</v>
      </c>
      <c r="CA43">
        <v>0</v>
      </c>
      <c r="CB43">
        <v>1</v>
      </c>
      <c r="CE43">
        <v>-0.57875859530607965</v>
      </c>
      <c r="CL43">
        <v>-0.57875859530607965</v>
      </c>
      <c r="CM43">
        <v>0</v>
      </c>
      <c r="CT43">
        <v>8.374965841113402E-2</v>
      </c>
      <c r="CU43">
        <v>1.0873566491419566</v>
      </c>
      <c r="CV43">
        <v>1.0000000000000001E-5</v>
      </c>
      <c r="CW43">
        <v>1.0873566491419566</v>
      </c>
      <c r="CX43">
        <v>0.72299999999999998</v>
      </c>
      <c r="CY43">
        <v>0.01</v>
      </c>
      <c r="CZ43">
        <v>0.72299999999999998</v>
      </c>
      <c r="DA43">
        <v>0.3</v>
      </c>
      <c r="DB43">
        <v>0.3</v>
      </c>
      <c r="DC43">
        <v>0.3</v>
      </c>
    </row>
    <row r="44" spans="1:107" x14ac:dyDescent="0.25">
      <c r="A44">
        <v>23</v>
      </c>
      <c r="B44">
        <v>85</v>
      </c>
      <c r="C44" t="s">
        <v>122</v>
      </c>
      <c r="D44">
        <v>0.40639999999999998</v>
      </c>
      <c r="E44">
        <v>406.4</v>
      </c>
      <c r="F44">
        <v>9.5299999999999985E-3</v>
      </c>
      <c r="G44">
        <v>9.5299999999999994</v>
      </c>
      <c r="H44">
        <v>42.644281217208821</v>
      </c>
      <c r="I44">
        <v>50</v>
      </c>
      <c r="J44" t="s">
        <v>75</v>
      </c>
      <c r="K44">
        <v>14</v>
      </c>
      <c r="L44">
        <v>15</v>
      </c>
      <c r="M44">
        <v>483000</v>
      </c>
      <c r="N44">
        <v>565000</v>
      </c>
      <c r="O44">
        <v>2.8799444073326219</v>
      </c>
      <c r="S44" t="s">
        <v>78</v>
      </c>
      <c r="T44" t="s">
        <v>79</v>
      </c>
      <c r="U44">
        <v>18</v>
      </c>
      <c r="V44">
        <v>37</v>
      </c>
      <c r="W44">
        <v>0</v>
      </c>
      <c r="X44">
        <v>0</v>
      </c>
      <c r="Y44">
        <v>0.9</v>
      </c>
      <c r="Z44">
        <v>1</v>
      </c>
      <c r="AB44">
        <v>15.095944128280532</v>
      </c>
      <c r="AK44">
        <v>0.75</v>
      </c>
      <c r="AM44">
        <v>1.5549115655496644E-2</v>
      </c>
      <c r="AX44">
        <v>0.10682672704917365</v>
      </c>
      <c r="AY44">
        <v>1.1068267270491736</v>
      </c>
      <c r="BC44">
        <v>-2.307229</v>
      </c>
      <c r="BD44">
        <v>0.5852366</v>
      </c>
      <c r="BE44">
        <v>0.201322</v>
      </c>
      <c r="BQ44">
        <v>1.4274935</v>
      </c>
      <c r="BR44">
        <v>-7.1050000000000002E-3</v>
      </c>
      <c r="BS44">
        <v>5.1415999999999996E-3</v>
      </c>
      <c r="BT44">
        <v>-1.4290590000000001</v>
      </c>
      <c r="BU44">
        <v>4.9200300000000002E-2</v>
      </c>
      <c r="BV44">
        <v>0.14513599999999999</v>
      </c>
      <c r="BW44">
        <v>2.0170299999999999E-2</v>
      </c>
      <c r="BX44">
        <v>-1.032025</v>
      </c>
      <c r="BZ44">
        <v>1</v>
      </c>
      <c r="CA44">
        <v>0</v>
      </c>
      <c r="CB44">
        <v>1</v>
      </c>
      <c r="CE44">
        <v>-0.60734497651924468</v>
      </c>
      <c r="CL44">
        <v>-0.60734497651924468</v>
      </c>
      <c r="CM44">
        <v>0</v>
      </c>
      <c r="CT44">
        <v>-1.9933595677024019E-2</v>
      </c>
      <c r="CU44">
        <v>0.9802637648971958</v>
      </c>
      <c r="CV44">
        <v>1.0000000000000001E-5</v>
      </c>
      <c r="CW44">
        <v>0.9802637648971958</v>
      </c>
      <c r="CX44">
        <v>0.72299999999999998</v>
      </c>
      <c r="CY44">
        <v>0.01</v>
      </c>
      <c r="CZ44">
        <v>0.72299999999999998</v>
      </c>
      <c r="DA44">
        <v>0.3</v>
      </c>
      <c r="DB44">
        <v>0.3</v>
      </c>
      <c r="DC44">
        <v>0.3</v>
      </c>
    </row>
    <row r="45" spans="1:107" x14ac:dyDescent="0.25">
      <c r="A45">
        <v>24</v>
      </c>
      <c r="B45">
        <v>87</v>
      </c>
      <c r="C45" t="s">
        <v>122</v>
      </c>
      <c r="D45">
        <v>0.50800000000000001</v>
      </c>
      <c r="E45">
        <v>508</v>
      </c>
      <c r="F45">
        <v>1.1130000000000001E-2</v>
      </c>
      <c r="G45">
        <v>11.13</v>
      </c>
      <c r="H45">
        <v>45.642407906558844</v>
      </c>
      <c r="I45">
        <v>100</v>
      </c>
      <c r="J45" t="s">
        <v>77</v>
      </c>
      <c r="K45">
        <v>15</v>
      </c>
      <c r="L45">
        <v>20</v>
      </c>
      <c r="M45">
        <v>552000</v>
      </c>
      <c r="N45">
        <v>625000</v>
      </c>
      <c r="O45">
        <v>2.9888368774026359</v>
      </c>
      <c r="S45" t="s">
        <v>78</v>
      </c>
      <c r="T45" t="s">
        <v>79</v>
      </c>
      <c r="U45">
        <v>18</v>
      </c>
      <c r="V45">
        <v>37</v>
      </c>
      <c r="W45">
        <v>0</v>
      </c>
      <c r="X45">
        <v>0</v>
      </c>
      <c r="Y45">
        <v>0.9</v>
      </c>
      <c r="Z45">
        <v>2</v>
      </c>
      <c r="AB45">
        <v>37.739860320701332</v>
      </c>
      <c r="AK45">
        <v>0.75</v>
      </c>
      <c r="AM45">
        <v>3.4007223585342139E-2</v>
      </c>
      <c r="AX45">
        <v>0.21447307251904243</v>
      </c>
      <c r="AY45">
        <v>1.7144730725190425</v>
      </c>
      <c r="BC45">
        <v>-2.307229</v>
      </c>
      <c r="BD45">
        <v>0.5852366</v>
      </c>
      <c r="BE45">
        <v>0.201322</v>
      </c>
      <c r="BQ45">
        <v>1.4274935</v>
      </c>
      <c r="BR45">
        <v>-7.1050000000000002E-3</v>
      </c>
      <c r="BS45">
        <v>5.1415999999999996E-3</v>
      </c>
      <c r="BT45">
        <v>-1.4290590000000001</v>
      </c>
      <c r="BU45">
        <v>4.9200300000000002E-2</v>
      </c>
      <c r="BV45">
        <v>0.14513599999999999</v>
      </c>
      <c r="BW45">
        <v>2.0170299999999999E-2</v>
      </c>
      <c r="BX45">
        <v>-1.032025</v>
      </c>
      <c r="BZ45">
        <v>1</v>
      </c>
      <c r="CA45">
        <v>0</v>
      </c>
      <c r="CB45">
        <v>1</v>
      </c>
      <c r="CE45">
        <v>-0.70001772829745168</v>
      </c>
      <c r="CL45">
        <v>-0.70001772829745168</v>
      </c>
      <c r="CM45">
        <v>0</v>
      </c>
      <c r="CT45">
        <v>0.13479469944695044</v>
      </c>
      <c r="CU45">
        <v>1.1443018344350007</v>
      </c>
      <c r="CV45">
        <v>1.0000000000000001E-5</v>
      </c>
      <c r="CW45">
        <v>1.1443018344350007</v>
      </c>
      <c r="CX45">
        <v>0.72299999999999998</v>
      </c>
      <c r="CY45">
        <v>0.01</v>
      </c>
      <c r="CZ45">
        <v>0.72299999999999998</v>
      </c>
      <c r="DA45">
        <v>0.3</v>
      </c>
      <c r="DB45">
        <v>0.3</v>
      </c>
      <c r="DC45">
        <v>0.3</v>
      </c>
    </row>
    <row r="46" spans="1:107" x14ac:dyDescent="0.25">
      <c r="A46">
        <v>25</v>
      </c>
      <c r="B46">
        <v>85</v>
      </c>
      <c r="C46" t="s">
        <v>122</v>
      </c>
      <c r="D46">
        <v>0.60960000000000003</v>
      </c>
      <c r="E46">
        <v>609.6</v>
      </c>
      <c r="F46">
        <v>9.5299999999999985E-3</v>
      </c>
      <c r="G46">
        <v>9.5299999999999994</v>
      </c>
      <c r="H46">
        <v>63.966421825813235</v>
      </c>
      <c r="I46">
        <v>15</v>
      </c>
      <c r="J46" t="s">
        <v>70</v>
      </c>
      <c r="K46">
        <v>8</v>
      </c>
      <c r="L46">
        <v>10</v>
      </c>
      <c r="M46">
        <v>359000</v>
      </c>
      <c r="N46">
        <v>455000</v>
      </c>
      <c r="O46">
        <v>1.9969902892117808</v>
      </c>
      <c r="S46" t="s">
        <v>78</v>
      </c>
      <c r="T46" t="s">
        <v>80</v>
      </c>
      <c r="U46">
        <v>18.5</v>
      </c>
      <c r="V46">
        <v>40</v>
      </c>
      <c r="W46">
        <v>0</v>
      </c>
      <c r="X46">
        <v>0</v>
      </c>
      <c r="Y46">
        <v>0.9</v>
      </c>
      <c r="Z46">
        <v>1</v>
      </c>
      <c r="AB46">
        <v>25.741129539100392</v>
      </c>
      <c r="AK46">
        <v>2.75</v>
      </c>
      <c r="AM46">
        <v>2.3022068268715178E-2</v>
      </c>
      <c r="AX46">
        <v>8.1563860325678486E-2</v>
      </c>
      <c r="AY46">
        <v>1.0815638603256785</v>
      </c>
      <c r="BC46">
        <v>-2.307229</v>
      </c>
      <c r="BD46">
        <v>0.5852366</v>
      </c>
      <c r="BE46">
        <v>0.201322</v>
      </c>
      <c r="BQ46">
        <v>1.4274935</v>
      </c>
      <c r="BR46">
        <v>-7.1050000000000002E-3</v>
      </c>
      <c r="BS46">
        <v>5.1415999999999996E-3</v>
      </c>
      <c r="BT46">
        <v>-1.4290590000000001</v>
      </c>
      <c r="BU46">
        <v>4.9200300000000002E-2</v>
      </c>
      <c r="BV46">
        <v>0.14513599999999999</v>
      </c>
      <c r="BW46">
        <v>2.0170299999999999E-2</v>
      </c>
      <c r="BX46">
        <v>-1.032025</v>
      </c>
      <c r="BZ46">
        <v>0</v>
      </c>
      <c r="CA46">
        <v>0</v>
      </c>
      <c r="CB46">
        <v>1</v>
      </c>
      <c r="CE46">
        <v>0</v>
      </c>
      <c r="CL46">
        <v>0</v>
      </c>
      <c r="CM46">
        <v>0</v>
      </c>
      <c r="CT46">
        <v>0.78030645715329561</v>
      </c>
      <c r="CU46">
        <v>2.1821408957267043</v>
      </c>
      <c r="CV46">
        <v>1.0000000000000001E-5</v>
      </c>
      <c r="CW46">
        <v>2.1821408957267043</v>
      </c>
      <c r="CX46">
        <v>0.72299999999999998</v>
      </c>
      <c r="CY46">
        <v>0.01</v>
      </c>
      <c r="CZ46">
        <v>0.72299999999999998</v>
      </c>
      <c r="DA46">
        <v>0.3</v>
      </c>
      <c r="DB46">
        <v>0.3</v>
      </c>
      <c r="DC46">
        <v>0.3</v>
      </c>
    </row>
    <row r="47" spans="1:107" x14ac:dyDescent="0.25">
      <c r="A47">
        <v>26</v>
      </c>
      <c r="B47">
        <v>85</v>
      </c>
      <c r="C47" t="s">
        <v>122</v>
      </c>
      <c r="D47">
        <v>0.76200000000000001</v>
      </c>
      <c r="E47">
        <v>762</v>
      </c>
      <c r="F47">
        <v>1.2699999999999999E-2</v>
      </c>
      <c r="G47">
        <v>12.7</v>
      </c>
      <c r="H47">
        <v>60</v>
      </c>
      <c r="I47">
        <v>30</v>
      </c>
      <c r="J47" t="s">
        <v>73</v>
      </c>
      <c r="K47">
        <v>8</v>
      </c>
      <c r="L47">
        <v>12</v>
      </c>
      <c r="M47">
        <v>414000</v>
      </c>
      <c r="N47">
        <v>517000</v>
      </c>
      <c r="O47">
        <v>2.5466769467238102</v>
      </c>
      <c r="S47" t="s">
        <v>78</v>
      </c>
      <c r="T47" t="s">
        <v>80</v>
      </c>
      <c r="U47">
        <v>18.5</v>
      </c>
      <c r="V47">
        <v>40</v>
      </c>
      <c r="W47">
        <v>0</v>
      </c>
      <c r="X47">
        <v>0</v>
      </c>
      <c r="Y47">
        <v>0.9</v>
      </c>
      <c r="Z47">
        <v>2</v>
      </c>
      <c r="AB47">
        <v>64.352823847750969</v>
      </c>
      <c r="AK47">
        <v>3.5</v>
      </c>
      <c r="AM47">
        <v>5.5061025879364095E-2</v>
      </c>
      <c r="AX47">
        <v>0.24733311166742666</v>
      </c>
      <c r="AY47">
        <v>1.2473331116674267</v>
      </c>
      <c r="BC47">
        <v>-2.307229</v>
      </c>
      <c r="BD47">
        <v>0.5852366</v>
      </c>
      <c r="BE47">
        <v>0.201322</v>
      </c>
      <c r="BQ47">
        <v>1.4274935</v>
      </c>
      <c r="BR47">
        <v>-7.1050000000000002E-3</v>
      </c>
      <c r="BS47">
        <v>5.1415999999999996E-3</v>
      </c>
      <c r="BT47">
        <v>-1.4290590000000001</v>
      </c>
      <c r="BU47">
        <v>4.9200300000000002E-2</v>
      </c>
      <c r="BV47">
        <v>0.14513599999999999</v>
      </c>
      <c r="BW47">
        <v>2.0170299999999999E-2</v>
      </c>
      <c r="BX47">
        <v>-1.032025</v>
      </c>
      <c r="BZ47">
        <v>0</v>
      </c>
      <c r="CA47">
        <v>1</v>
      </c>
      <c r="CB47">
        <v>1</v>
      </c>
      <c r="CE47">
        <v>3.440732629929924E-2</v>
      </c>
      <c r="CL47">
        <v>0</v>
      </c>
      <c r="CM47">
        <v>3.440732629929924E-2</v>
      </c>
      <c r="CT47">
        <v>1.0477384074527265</v>
      </c>
      <c r="CU47">
        <v>2.8511955782437828</v>
      </c>
      <c r="CV47">
        <v>1.0000000000000001E-5</v>
      </c>
      <c r="CW47">
        <v>2.8511955782437828</v>
      </c>
      <c r="CX47">
        <v>0.72299999999999998</v>
      </c>
      <c r="CY47">
        <v>0.01</v>
      </c>
      <c r="CZ47">
        <v>0.72299999999999998</v>
      </c>
      <c r="DA47">
        <v>0.3</v>
      </c>
      <c r="DB47">
        <v>0.3</v>
      </c>
      <c r="DC47">
        <v>0.3</v>
      </c>
    </row>
    <row r="48" spans="1:107" x14ac:dyDescent="0.25">
      <c r="A48">
        <v>27</v>
      </c>
      <c r="B48">
        <v>89</v>
      </c>
      <c r="C48" t="s">
        <v>122</v>
      </c>
      <c r="D48">
        <v>0.86360000000000003</v>
      </c>
      <c r="E48">
        <v>863.6</v>
      </c>
      <c r="F48">
        <v>1.1130000000000001E-2</v>
      </c>
      <c r="G48">
        <v>11.13</v>
      </c>
      <c r="H48">
        <v>77.592093441150041</v>
      </c>
      <c r="I48">
        <v>50</v>
      </c>
      <c r="J48" t="s">
        <v>75</v>
      </c>
      <c r="K48">
        <v>14</v>
      </c>
      <c r="L48">
        <v>15</v>
      </c>
      <c r="M48">
        <v>483000</v>
      </c>
      <c r="N48">
        <v>565000</v>
      </c>
      <c r="O48">
        <v>2.8799444073326219</v>
      </c>
      <c r="S48" t="s">
        <v>78</v>
      </c>
      <c r="T48" t="s">
        <v>80</v>
      </c>
      <c r="U48">
        <v>18.5</v>
      </c>
      <c r="V48">
        <v>40</v>
      </c>
      <c r="W48">
        <v>0</v>
      </c>
      <c r="X48">
        <v>0</v>
      </c>
      <c r="Y48">
        <v>0.9</v>
      </c>
      <c r="Z48">
        <v>1</v>
      </c>
      <c r="AB48">
        <v>36.46660018039222</v>
      </c>
      <c r="AK48">
        <v>1.5</v>
      </c>
      <c r="AM48">
        <v>3.2859347057707114E-2</v>
      </c>
      <c r="AX48">
        <v>0.19145887314252977</v>
      </c>
      <c r="AY48">
        <v>1.1914588731425297</v>
      </c>
      <c r="BC48">
        <v>-2.307229</v>
      </c>
      <c r="BD48">
        <v>0.5852366</v>
      </c>
      <c r="BE48">
        <v>0.201322</v>
      </c>
      <c r="BQ48">
        <v>1.4274935</v>
      </c>
      <c r="BR48">
        <v>-7.1050000000000002E-3</v>
      </c>
      <c r="BS48">
        <v>5.1415999999999996E-3</v>
      </c>
      <c r="BT48">
        <v>-1.4290590000000001</v>
      </c>
      <c r="BU48">
        <v>4.9200300000000002E-2</v>
      </c>
      <c r="BV48">
        <v>0.14513599999999999</v>
      </c>
      <c r="BW48">
        <v>2.0170299999999999E-2</v>
      </c>
      <c r="BX48">
        <v>-1.032025</v>
      </c>
      <c r="BZ48">
        <v>0</v>
      </c>
      <c r="CA48">
        <v>0</v>
      </c>
      <c r="CB48">
        <v>1</v>
      </c>
      <c r="CE48">
        <v>0</v>
      </c>
      <c r="CL48">
        <v>0</v>
      </c>
      <c r="CM48">
        <v>0</v>
      </c>
      <c r="CT48">
        <v>0.963441685919739</v>
      </c>
      <c r="CU48">
        <v>2.6207005981990892</v>
      </c>
      <c r="CV48">
        <v>1.0000000000000001E-5</v>
      </c>
      <c r="CW48">
        <v>2.6207005981990892</v>
      </c>
      <c r="CX48">
        <v>0.72299999999999998</v>
      </c>
      <c r="CY48">
        <v>0.01</v>
      </c>
      <c r="CZ48">
        <v>0.72299999999999998</v>
      </c>
      <c r="DA48">
        <v>0.3</v>
      </c>
      <c r="DB48">
        <v>0.3</v>
      </c>
      <c r="DC48">
        <v>0.3</v>
      </c>
    </row>
    <row r="49" spans="1:107" x14ac:dyDescent="0.25">
      <c r="A49">
        <v>28</v>
      </c>
      <c r="B49">
        <v>89</v>
      </c>
      <c r="C49" t="s">
        <v>122</v>
      </c>
      <c r="D49">
        <v>1.0668</v>
      </c>
      <c r="E49">
        <v>1066.8</v>
      </c>
      <c r="F49">
        <v>1.2699999999999999E-2</v>
      </c>
      <c r="G49">
        <v>12.7</v>
      </c>
      <c r="H49">
        <v>84</v>
      </c>
      <c r="I49">
        <v>100</v>
      </c>
      <c r="J49" t="s">
        <v>77</v>
      </c>
      <c r="K49">
        <v>15</v>
      </c>
      <c r="L49">
        <v>20</v>
      </c>
      <c r="M49">
        <v>552000</v>
      </c>
      <c r="N49">
        <v>625000</v>
      </c>
      <c r="O49">
        <v>2.9888368774026359</v>
      </c>
      <c r="S49" t="s">
        <v>78</v>
      </c>
      <c r="T49" t="s">
        <v>81</v>
      </c>
      <c r="U49">
        <v>19</v>
      </c>
      <c r="V49">
        <v>43</v>
      </c>
      <c r="W49">
        <v>0</v>
      </c>
      <c r="X49">
        <v>0</v>
      </c>
      <c r="Y49">
        <v>0.9</v>
      </c>
      <c r="Z49">
        <v>2</v>
      </c>
      <c r="AB49">
        <v>102.03070645435936</v>
      </c>
      <c r="AK49">
        <v>1.5</v>
      </c>
      <c r="AM49">
        <v>8.6082808953605136E-2</v>
      </c>
      <c r="AX49">
        <v>0.46595416078021362</v>
      </c>
      <c r="AY49">
        <v>1.9659541607802136</v>
      </c>
      <c r="BC49">
        <v>-2.307229</v>
      </c>
      <c r="BD49">
        <v>0.5852366</v>
      </c>
      <c r="BE49">
        <v>0.201322</v>
      </c>
      <c r="BQ49">
        <v>1.4274935</v>
      </c>
      <c r="BR49">
        <v>-7.1050000000000002E-3</v>
      </c>
      <c r="BS49">
        <v>5.1415999999999996E-3</v>
      </c>
      <c r="BT49">
        <v>-1.4290590000000001</v>
      </c>
      <c r="BU49">
        <v>4.9200300000000002E-2</v>
      </c>
      <c r="BV49">
        <v>0.14513599999999999</v>
      </c>
      <c r="BW49">
        <v>2.0170299999999999E-2</v>
      </c>
      <c r="BX49">
        <v>-1.032025</v>
      </c>
      <c r="BZ49">
        <v>1</v>
      </c>
      <c r="CA49">
        <v>0</v>
      </c>
      <c r="CB49">
        <v>1</v>
      </c>
      <c r="CE49">
        <v>-6.8622394401109219E-2</v>
      </c>
      <c r="CL49">
        <v>-6.8622394401109219E-2</v>
      </c>
      <c r="CM49">
        <v>0</v>
      </c>
      <c r="CT49">
        <v>1.1140829412852633</v>
      </c>
      <c r="CU49">
        <v>3.0467728280542432</v>
      </c>
      <c r="CV49">
        <v>1.0000000000000001E-5</v>
      </c>
      <c r="CW49">
        <v>3.0467728280542432</v>
      </c>
      <c r="CX49">
        <v>0.72299999999999998</v>
      </c>
      <c r="CY49">
        <v>0.01</v>
      </c>
      <c r="CZ49">
        <v>0.72299999999999998</v>
      </c>
      <c r="DA49">
        <v>0.3</v>
      </c>
      <c r="DB49">
        <v>0.3</v>
      </c>
      <c r="DC49">
        <v>0.3</v>
      </c>
    </row>
    <row r="50" spans="1:107" x14ac:dyDescent="0.25">
      <c r="A50">
        <v>29</v>
      </c>
      <c r="B50">
        <v>88</v>
      </c>
      <c r="C50" t="s">
        <v>122</v>
      </c>
      <c r="D50">
        <v>0.60960000000000003</v>
      </c>
      <c r="E50">
        <v>609.6</v>
      </c>
      <c r="F50">
        <v>1.1130000000000001E-2</v>
      </c>
      <c r="G50">
        <v>11.13</v>
      </c>
      <c r="H50">
        <v>54.770889487870619</v>
      </c>
      <c r="I50">
        <v>150</v>
      </c>
      <c r="J50" t="s">
        <v>100</v>
      </c>
      <c r="K50">
        <v>3</v>
      </c>
      <c r="L50">
        <v>9</v>
      </c>
      <c r="M50">
        <v>290000</v>
      </c>
      <c r="N50">
        <v>414000</v>
      </c>
      <c r="O50">
        <v>1.7363704307629526</v>
      </c>
      <c r="S50" t="s">
        <v>78</v>
      </c>
      <c r="T50" t="s">
        <v>81</v>
      </c>
      <c r="U50">
        <v>19</v>
      </c>
      <c r="V50">
        <v>43</v>
      </c>
      <c r="W50">
        <v>0</v>
      </c>
      <c r="X50">
        <v>0</v>
      </c>
      <c r="Y50">
        <v>0.9</v>
      </c>
      <c r="Z50">
        <v>1</v>
      </c>
      <c r="AB50">
        <v>29.151630415531248</v>
      </c>
      <c r="AK50">
        <v>1.5</v>
      </c>
      <c r="AM50">
        <v>2.5345463138869703E-2</v>
      </c>
      <c r="AX50">
        <v>0.20709526914689702</v>
      </c>
      <c r="AY50">
        <v>1.707095269146897</v>
      </c>
      <c r="BC50">
        <v>-2.307229</v>
      </c>
      <c r="BD50">
        <v>0.5852366</v>
      </c>
      <c r="BE50">
        <v>0.201322</v>
      </c>
      <c r="BQ50">
        <v>1.4274935</v>
      </c>
      <c r="BR50">
        <v>-7.1050000000000002E-3</v>
      </c>
      <c r="BS50">
        <v>5.1415999999999996E-3</v>
      </c>
      <c r="BT50">
        <v>-1.4290590000000001</v>
      </c>
      <c r="BU50">
        <v>4.9200300000000002E-2</v>
      </c>
      <c r="BV50">
        <v>0.14513599999999999</v>
      </c>
      <c r="BW50">
        <v>2.0170299999999999E-2</v>
      </c>
      <c r="BX50">
        <v>-1.032025</v>
      </c>
      <c r="BZ50">
        <v>0</v>
      </c>
      <c r="CA50">
        <v>0</v>
      </c>
      <c r="CB50">
        <v>1</v>
      </c>
      <c r="CE50">
        <v>0</v>
      </c>
      <c r="CL50">
        <v>0</v>
      </c>
      <c r="CM50">
        <v>0</v>
      </c>
      <c r="CT50">
        <v>0.71452669621160059</v>
      </c>
      <c r="CU50">
        <v>2.0432193898872777</v>
      </c>
      <c r="CV50">
        <v>1.0000000000000001E-5</v>
      </c>
      <c r="CW50">
        <v>2.0432193898872777</v>
      </c>
      <c r="CX50">
        <v>0.72299999999999998</v>
      </c>
      <c r="CY50">
        <v>0.01</v>
      </c>
      <c r="CZ50">
        <v>0.72299999999999998</v>
      </c>
      <c r="DA50">
        <v>0.3</v>
      </c>
      <c r="DB50">
        <v>0.3</v>
      </c>
      <c r="DC50">
        <v>0.3</v>
      </c>
    </row>
    <row r="51" spans="1:107" x14ac:dyDescent="0.25">
      <c r="A51">
        <v>30</v>
      </c>
      <c r="B51">
        <v>89</v>
      </c>
      <c r="C51" t="s">
        <v>122</v>
      </c>
      <c r="D51">
        <v>0.60960000000000003</v>
      </c>
      <c r="E51">
        <v>609.6</v>
      </c>
      <c r="F51">
        <v>1.1130000000000001E-2</v>
      </c>
      <c r="G51">
        <v>11.13</v>
      </c>
      <c r="H51">
        <v>54.770889487870619</v>
      </c>
      <c r="I51">
        <v>200</v>
      </c>
      <c r="J51" t="s">
        <v>101</v>
      </c>
      <c r="K51">
        <v>3</v>
      </c>
      <c r="L51">
        <v>8</v>
      </c>
      <c r="M51">
        <v>241000</v>
      </c>
      <c r="N51">
        <v>344000</v>
      </c>
      <c r="O51">
        <v>1.1599577949833839</v>
      </c>
      <c r="S51" t="s">
        <v>78</v>
      </c>
      <c r="T51" t="s">
        <v>81</v>
      </c>
      <c r="U51">
        <v>19</v>
      </c>
      <c r="V51">
        <v>43</v>
      </c>
      <c r="W51">
        <v>0</v>
      </c>
      <c r="X51">
        <v>0</v>
      </c>
      <c r="Y51">
        <v>0.9</v>
      </c>
      <c r="Z51">
        <v>2</v>
      </c>
      <c r="AB51">
        <v>58.303260831062495</v>
      </c>
      <c r="AK51">
        <v>2.75</v>
      </c>
      <c r="AM51">
        <v>4.7691565842539682E-2</v>
      </c>
      <c r="AX51">
        <v>0.31151836593386051</v>
      </c>
      <c r="AY51">
        <v>1.8115183659338605</v>
      </c>
      <c r="BC51">
        <v>-2.307229</v>
      </c>
      <c r="BD51">
        <v>0.5852366</v>
      </c>
      <c r="BE51">
        <v>0.201322</v>
      </c>
      <c r="BQ51">
        <v>1.4274935</v>
      </c>
      <c r="BR51">
        <v>-7.1050000000000002E-3</v>
      </c>
      <c r="BS51">
        <v>5.1415999999999996E-3</v>
      </c>
      <c r="BT51">
        <v>-1.4290590000000001</v>
      </c>
      <c r="BU51">
        <v>4.9200300000000002E-2</v>
      </c>
      <c r="BV51">
        <v>0.14513599999999999</v>
      </c>
      <c r="BW51">
        <v>2.0170299999999999E-2</v>
      </c>
      <c r="BX51">
        <v>-1.032025</v>
      </c>
      <c r="BZ51">
        <v>0</v>
      </c>
      <c r="CA51">
        <v>0</v>
      </c>
      <c r="CB51">
        <v>1</v>
      </c>
      <c r="CE51">
        <v>0</v>
      </c>
      <c r="CL51">
        <v>0</v>
      </c>
      <c r="CM51">
        <v>0</v>
      </c>
      <c r="CT51">
        <v>0.85407247289628985</v>
      </c>
      <c r="CU51">
        <v>2.3491944282446702</v>
      </c>
      <c r="CV51">
        <v>1.0000000000000001E-5</v>
      </c>
      <c r="CW51">
        <v>2.3491944282446702</v>
      </c>
      <c r="CX51">
        <v>0.72299999999999998</v>
      </c>
      <c r="CY51">
        <v>0.01</v>
      </c>
      <c r="CZ51">
        <v>0.72299999999999998</v>
      </c>
      <c r="DA51">
        <v>0.3</v>
      </c>
      <c r="DB51">
        <v>0.3</v>
      </c>
      <c r="DC51">
        <v>0.3</v>
      </c>
    </row>
    <row r="52" spans="1:107" x14ac:dyDescent="0.25">
      <c r="A52">
        <v>31</v>
      </c>
      <c r="B52">
        <v>85</v>
      </c>
      <c r="C52" t="s">
        <v>122</v>
      </c>
      <c r="D52">
        <v>0.20319999999999999</v>
      </c>
      <c r="E52">
        <v>203.2</v>
      </c>
      <c r="F52">
        <v>5.5599999999999998E-3</v>
      </c>
      <c r="G52">
        <v>5.56</v>
      </c>
      <c r="H52">
        <v>36.546762589928058</v>
      </c>
      <c r="I52">
        <v>15</v>
      </c>
      <c r="J52" t="s">
        <v>70</v>
      </c>
      <c r="K52">
        <v>8</v>
      </c>
      <c r="L52">
        <v>10</v>
      </c>
      <c r="M52">
        <v>359000</v>
      </c>
      <c r="N52">
        <v>455000</v>
      </c>
      <c r="O52">
        <v>1.9969902892117808</v>
      </c>
      <c r="S52" t="s">
        <v>71</v>
      </c>
      <c r="T52" t="s">
        <v>72</v>
      </c>
      <c r="U52">
        <v>17.5</v>
      </c>
      <c r="V52">
        <v>0</v>
      </c>
      <c r="W52">
        <v>37.5</v>
      </c>
      <c r="X52">
        <v>1.1000000000000001</v>
      </c>
      <c r="Y52">
        <v>0.9</v>
      </c>
      <c r="Z52">
        <v>0</v>
      </c>
      <c r="AB52">
        <v>26.332829622389642</v>
      </c>
      <c r="AK52">
        <v>0.75</v>
      </c>
      <c r="AM52">
        <v>2.350134533617947E-2</v>
      </c>
      <c r="AX52">
        <v>7.0401619555061065E-2</v>
      </c>
      <c r="AY52">
        <v>1.070401619555061</v>
      </c>
      <c r="BC52">
        <v>-2.307229</v>
      </c>
      <c r="BD52">
        <v>0.5852366</v>
      </c>
      <c r="BE52">
        <v>0.201322</v>
      </c>
      <c r="BQ52">
        <v>1.4274935</v>
      </c>
      <c r="BR52">
        <v>-7.1050000000000002E-3</v>
      </c>
      <c r="BS52">
        <v>5.1415999999999996E-3</v>
      </c>
      <c r="BT52">
        <v>-1.4290590000000001</v>
      </c>
      <c r="BU52">
        <v>4.9200300000000002E-2</v>
      </c>
      <c r="BV52">
        <v>0.14513599999999999</v>
      </c>
      <c r="BW52">
        <v>2.0170299999999999E-2</v>
      </c>
      <c r="BX52">
        <v>-1.032025</v>
      </c>
      <c r="BZ52">
        <v>1</v>
      </c>
      <c r="CA52">
        <v>0</v>
      </c>
      <c r="CB52">
        <v>0</v>
      </c>
      <c r="CE52">
        <v>-0.51145365159113909</v>
      </c>
      <c r="CL52">
        <v>-0.51145365159113909</v>
      </c>
      <c r="CM52">
        <v>0</v>
      </c>
      <c r="CT52">
        <v>-0.58479113632895929</v>
      </c>
      <c r="CU52">
        <v>0.55722223314007857</v>
      </c>
      <c r="CV52">
        <v>1.0000000000000001E-5</v>
      </c>
      <c r="CW52">
        <v>0.55722223314007857</v>
      </c>
      <c r="CX52">
        <v>0.72299999999999998</v>
      </c>
      <c r="CY52">
        <v>0.01</v>
      </c>
      <c r="CZ52">
        <v>0.72299999999999998</v>
      </c>
      <c r="DA52">
        <v>0.3</v>
      </c>
      <c r="DB52">
        <v>0.3</v>
      </c>
      <c r="DC52">
        <v>0.3</v>
      </c>
    </row>
    <row r="53" spans="1:107" x14ac:dyDescent="0.25">
      <c r="A53">
        <v>32</v>
      </c>
      <c r="B53">
        <v>89</v>
      </c>
      <c r="C53" t="s">
        <v>122</v>
      </c>
      <c r="D53">
        <v>0.30480000000000002</v>
      </c>
      <c r="E53">
        <v>304.8</v>
      </c>
      <c r="F53">
        <v>7.1399999999999996E-3</v>
      </c>
      <c r="G53">
        <v>7.14</v>
      </c>
      <c r="H53">
        <v>42.689075630252105</v>
      </c>
      <c r="I53">
        <v>30</v>
      </c>
      <c r="J53" t="s">
        <v>73</v>
      </c>
      <c r="K53">
        <v>8</v>
      </c>
      <c r="L53">
        <v>12</v>
      </c>
      <c r="M53">
        <v>414000</v>
      </c>
      <c r="N53">
        <v>517000</v>
      </c>
      <c r="O53">
        <v>2.5466769467238102</v>
      </c>
      <c r="S53" t="s">
        <v>71</v>
      </c>
      <c r="T53" t="s">
        <v>72</v>
      </c>
      <c r="U53">
        <v>17.5</v>
      </c>
      <c r="V53">
        <v>0</v>
      </c>
      <c r="W53">
        <v>37.5</v>
      </c>
      <c r="X53">
        <v>1.1000000000000001</v>
      </c>
      <c r="Y53">
        <v>0.9</v>
      </c>
      <c r="Z53">
        <v>0</v>
      </c>
      <c r="AB53">
        <v>39.499244433584465</v>
      </c>
      <c r="AK53">
        <v>0.75</v>
      </c>
      <c r="AM53">
        <v>3.4929626553889231E-2</v>
      </c>
      <c r="AX53">
        <v>0.15301812852026347</v>
      </c>
      <c r="AY53">
        <v>1.1530181285202634</v>
      </c>
      <c r="BC53">
        <v>-2.307229</v>
      </c>
      <c r="BD53">
        <v>0.5852366</v>
      </c>
      <c r="BE53">
        <v>0.201322</v>
      </c>
      <c r="BQ53">
        <v>1.4274935</v>
      </c>
      <c r="BR53">
        <v>-7.1050000000000002E-3</v>
      </c>
      <c r="BS53">
        <v>5.1415999999999996E-3</v>
      </c>
      <c r="BT53">
        <v>-1.4290590000000001</v>
      </c>
      <c r="BU53">
        <v>4.9200300000000002E-2</v>
      </c>
      <c r="BV53">
        <v>0.14513599999999999</v>
      </c>
      <c r="BW53">
        <v>2.0170299999999999E-2</v>
      </c>
      <c r="BX53">
        <v>-1.032025</v>
      </c>
      <c r="BZ53">
        <v>1</v>
      </c>
      <c r="CA53">
        <v>0</v>
      </c>
      <c r="CB53">
        <v>0</v>
      </c>
      <c r="CE53">
        <v>-0.60214698226649055</v>
      </c>
      <c r="CL53">
        <v>-0.60214698226649055</v>
      </c>
      <c r="CM53">
        <v>0</v>
      </c>
      <c r="CT53">
        <v>-0.56189437101015471</v>
      </c>
      <c r="CU53">
        <v>0.57012800624291049</v>
      </c>
      <c r="CV53">
        <v>1.0000000000000001E-5</v>
      </c>
      <c r="CW53">
        <v>0.57012800624291049</v>
      </c>
      <c r="CX53">
        <v>0.72299999999999998</v>
      </c>
      <c r="CY53">
        <v>0.01</v>
      </c>
      <c r="CZ53">
        <v>0.72299999999999998</v>
      </c>
      <c r="DA53">
        <v>0.3</v>
      </c>
      <c r="DB53">
        <v>0.3</v>
      </c>
      <c r="DC53">
        <v>0.3</v>
      </c>
    </row>
    <row r="54" spans="1:107" x14ac:dyDescent="0.25">
      <c r="A54">
        <v>33</v>
      </c>
      <c r="B54">
        <v>87</v>
      </c>
      <c r="C54" t="s">
        <v>122</v>
      </c>
      <c r="D54">
        <v>0.40639999999999998</v>
      </c>
      <c r="E54">
        <v>406.4</v>
      </c>
      <c r="F54">
        <v>9.5299999999999985E-3</v>
      </c>
      <c r="G54">
        <v>9.5299999999999994</v>
      </c>
      <c r="H54">
        <v>42.644281217208821</v>
      </c>
      <c r="I54">
        <v>50</v>
      </c>
      <c r="J54" t="s">
        <v>75</v>
      </c>
      <c r="K54">
        <v>14</v>
      </c>
      <c r="L54">
        <v>15</v>
      </c>
      <c r="M54">
        <v>483000</v>
      </c>
      <c r="N54">
        <v>565000</v>
      </c>
      <c r="O54">
        <v>2.8799444073326219</v>
      </c>
      <c r="S54" t="s">
        <v>71</v>
      </c>
      <c r="T54" t="s">
        <v>72</v>
      </c>
      <c r="U54">
        <v>17.5</v>
      </c>
      <c r="V54">
        <v>0</v>
      </c>
      <c r="W54">
        <v>37.5</v>
      </c>
      <c r="X54">
        <v>1.1000000000000001</v>
      </c>
      <c r="Y54">
        <v>0.9</v>
      </c>
      <c r="Z54">
        <v>0</v>
      </c>
      <c r="AB54">
        <v>52.665659244779285</v>
      </c>
      <c r="AK54">
        <v>0.75</v>
      </c>
      <c r="AM54">
        <v>4.5980584899860635E-2</v>
      </c>
      <c r="AX54">
        <v>0.22103278039106702</v>
      </c>
      <c r="AY54">
        <v>1.221032780391067</v>
      </c>
      <c r="BC54">
        <v>-2.307229</v>
      </c>
      <c r="BD54">
        <v>0.5852366</v>
      </c>
      <c r="BE54">
        <v>0.201322</v>
      </c>
      <c r="BQ54">
        <v>1.4274935</v>
      </c>
      <c r="BR54">
        <v>-7.1050000000000002E-3</v>
      </c>
      <c r="BS54">
        <v>5.1415999999999996E-3</v>
      </c>
      <c r="BT54">
        <v>-1.4290590000000001</v>
      </c>
      <c r="BU54">
        <v>4.9200300000000002E-2</v>
      </c>
      <c r="BV54">
        <v>0.14513599999999999</v>
      </c>
      <c r="BW54">
        <v>2.0170299999999999E-2</v>
      </c>
      <c r="BX54">
        <v>-1.032025</v>
      </c>
      <c r="BZ54">
        <v>1</v>
      </c>
      <c r="CA54">
        <v>0</v>
      </c>
      <c r="CB54">
        <v>0</v>
      </c>
      <c r="CE54">
        <v>-0.6473721201748025</v>
      </c>
      <c r="CL54">
        <v>-0.6473721201748025</v>
      </c>
      <c r="CM54">
        <v>0</v>
      </c>
      <c r="CT54">
        <v>-0.59642764612512122</v>
      </c>
      <c r="CU54">
        <v>0.55077569153060479</v>
      </c>
      <c r="CV54">
        <v>1.0000000000000001E-5</v>
      </c>
      <c r="CW54">
        <v>0.55077569153060479</v>
      </c>
      <c r="CX54">
        <v>0.72299999999999998</v>
      </c>
      <c r="CY54">
        <v>0.01</v>
      </c>
      <c r="CZ54">
        <v>0.72299999999999998</v>
      </c>
      <c r="DA54">
        <v>0.3</v>
      </c>
      <c r="DB54">
        <v>0.3</v>
      </c>
      <c r="DC54">
        <v>0.3</v>
      </c>
    </row>
    <row r="55" spans="1:107" x14ac:dyDescent="0.25">
      <c r="A55">
        <v>34</v>
      </c>
      <c r="B55">
        <v>85</v>
      </c>
      <c r="C55" t="s">
        <v>122</v>
      </c>
      <c r="D55">
        <v>0.50800000000000001</v>
      </c>
      <c r="E55">
        <v>508</v>
      </c>
      <c r="F55">
        <v>1.1130000000000001E-2</v>
      </c>
      <c r="G55">
        <v>11.13</v>
      </c>
      <c r="H55">
        <v>45.642407906558844</v>
      </c>
      <c r="I55">
        <v>100</v>
      </c>
      <c r="J55" t="s">
        <v>77</v>
      </c>
      <c r="K55">
        <v>15</v>
      </c>
      <c r="L55">
        <v>20</v>
      </c>
      <c r="M55">
        <v>552000</v>
      </c>
      <c r="N55">
        <v>625000</v>
      </c>
      <c r="O55">
        <v>2.9888368774026359</v>
      </c>
      <c r="S55" t="s">
        <v>71</v>
      </c>
      <c r="T55" t="s">
        <v>72</v>
      </c>
      <c r="U55">
        <v>17.5</v>
      </c>
      <c r="V55">
        <v>0</v>
      </c>
      <c r="W55">
        <v>37.5</v>
      </c>
      <c r="X55">
        <v>1.1000000000000001</v>
      </c>
      <c r="Y55">
        <v>0.9</v>
      </c>
      <c r="Z55">
        <v>0</v>
      </c>
      <c r="AB55">
        <v>65.832074055974104</v>
      </c>
      <c r="AK55">
        <v>0.75</v>
      </c>
      <c r="AM55">
        <v>5.6761916710913081E-2</v>
      </c>
      <c r="AX55">
        <v>0.30141505236031529</v>
      </c>
      <c r="AY55">
        <v>1.8014150523603152</v>
      </c>
      <c r="BC55">
        <v>-2.307229</v>
      </c>
      <c r="BD55">
        <v>0.5852366</v>
      </c>
      <c r="BE55">
        <v>0.201322</v>
      </c>
      <c r="BQ55">
        <v>1.4274935</v>
      </c>
      <c r="BR55">
        <v>-7.1050000000000002E-3</v>
      </c>
      <c r="BS55">
        <v>5.1415999999999996E-3</v>
      </c>
      <c r="BT55">
        <v>-1.4290590000000001</v>
      </c>
      <c r="BU55">
        <v>4.9200300000000002E-2</v>
      </c>
      <c r="BV55">
        <v>0.14513599999999999</v>
      </c>
      <c r="BW55">
        <v>2.0170299999999999E-2</v>
      </c>
      <c r="BX55">
        <v>-1.032025</v>
      </c>
      <c r="BZ55">
        <v>1</v>
      </c>
      <c r="CA55">
        <v>0</v>
      </c>
      <c r="CB55">
        <v>0</v>
      </c>
      <c r="CE55">
        <v>-0.70363623213972026</v>
      </c>
      <c r="CL55">
        <v>-0.70363623213972026</v>
      </c>
      <c r="CM55">
        <v>0</v>
      </c>
      <c r="CT55">
        <v>-0.59886235386354869</v>
      </c>
      <c r="CU55">
        <v>0.54943634481282166</v>
      </c>
      <c r="CV55">
        <v>1.0000000000000001E-5</v>
      </c>
      <c r="CW55">
        <v>0.54943634481282166</v>
      </c>
      <c r="CX55">
        <v>0.72299999999999998</v>
      </c>
      <c r="CY55">
        <v>0.01</v>
      </c>
      <c r="CZ55">
        <v>0.72299999999999998</v>
      </c>
      <c r="DA55">
        <v>0.3</v>
      </c>
      <c r="DB55">
        <v>0.3</v>
      </c>
      <c r="DC55">
        <v>0.3</v>
      </c>
    </row>
    <row r="56" spans="1:107" x14ac:dyDescent="0.25">
      <c r="A56">
        <v>35</v>
      </c>
      <c r="B56">
        <v>85</v>
      </c>
      <c r="C56" t="s">
        <v>122</v>
      </c>
      <c r="D56">
        <v>0.60960000000000003</v>
      </c>
      <c r="E56">
        <v>609.6</v>
      </c>
      <c r="F56">
        <v>9.5299999999999985E-3</v>
      </c>
      <c r="G56">
        <v>9.5299999999999994</v>
      </c>
      <c r="H56">
        <v>63.966421825813235</v>
      </c>
      <c r="I56">
        <v>15</v>
      </c>
      <c r="J56" t="s">
        <v>70</v>
      </c>
      <c r="K56">
        <v>8</v>
      </c>
      <c r="L56">
        <v>10</v>
      </c>
      <c r="M56">
        <v>359000</v>
      </c>
      <c r="N56">
        <v>455000</v>
      </c>
      <c r="O56">
        <v>1.9969902892117808</v>
      </c>
      <c r="S56" t="s">
        <v>71</v>
      </c>
      <c r="T56" t="s">
        <v>74</v>
      </c>
      <c r="U56">
        <v>18</v>
      </c>
      <c r="V56">
        <v>0</v>
      </c>
      <c r="W56">
        <v>75</v>
      </c>
      <c r="X56">
        <v>0.72</v>
      </c>
      <c r="Y56">
        <v>0.9</v>
      </c>
      <c r="Z56">
        <v>0</v>
      </c>
      <c r="AB56">
        <v>103.41620360793024</v>
      </c>
      <c r="AK56">
        <v>0.75</v>
      </c>
      <c r="AM56">
        <v>8.5938878264467361E-2</v>
      </c>
      <c r="AX56">
        <v>0.34319449854464201</v>
      </c>
      <c r="AY56">
        <v>1.343194498544642</v>
      </c>
      <c r="BC56">
        <v>-2.307229</v>
      </c>
      <c r="BD56">
        <v>0.5852366</v>
      </c>
      <c r="BE56">
        <v>0.201322</v>
      </c>
      <c r="BQ56">
        <v>1.4274935</v>
      </c>
      <c r="BR56">
        <v>-7.1050000000000002E-3</v>
      </c>
      <c r="BS56">
        <v>5.1415999999999996E-3</v>
      </c>
      <c r="BT56">
        <v>-1.4290590000000001</v>
      </c>
      <c r="BU56">
        <v>4.9200300000000002E-2</v>
      </c>
      <c r="BV56">
        <v>0.14513599999999999</v>
      </c>
      <c r="BW56">
        <v>2.0170299999999999E-2</v>
      </c>
      <c r="BX56">
        <v>-1.032025</v>
      </c>
      <c r="BZ56">
        <v>1</v>
      </c>
      <c r="CA56">
        <v>0</v>
      </c>
      <c r="CB56">
        <v>0</v>
      </c>
      <c r="CE56">
        <v>-0.64451052521418639</v>
      </c>
      <c r="CL56">
        <v>-0.64451052521418639</v>
      </c>
      <c r="CM56">
        <v>0</v>
      </c>
      <c r="CT56">
        <v>-0.35698842861680458</v>
      </c>
      <c r="CU56">
        <v>0.69978059511718083</v>
      </c>
      <c r="CV56">
        <v>1.0000000000000001E-5</v>
      </c>
      <c r="CW56">
        <v>0.69978059511718083</v>
      </c>
      <c r="CX56">
        <v>0.72299999999999998</v>
      </c>
      <c r="CY56">
        <v>0.01</v>
      </c>
      <c r="CZ56">
        <v>0.72299999999999998</v>
      </c>
      <c r="DA56">
        <v>0.3</v>
      </c>
      <c r="DB56">
        <v>0.3</v>
      </c>
      <c r="DC56">
        <v>0.3</v>
      </c>
    </row>
    <row r="57" spans="1:107" x14ac:dyDescent="0.25">
      <c r="A57">
        <v>36</v>
      </c>
      <c r="B57">
        <v>89</v>
      </c>
      <c r="C57" t="s">
        <v>122</v>
      </c>
      <c r="D57">
        <v>0.76200000000000001</v>
      </c>
      <c r="E57">
        <v>762</v>
      </c>
      <c r="F57">
        <v>1.2699999999999999E-2</v>
      </c>
      <c r="G57">
        <v>12.7</v>
      </c>
      <c r="H57">
        <v>60</v>
      </c>
      <c r="I57">
        <v>30</v>
      </c>
      <c r="J57" t="s">
        <v>73</v>
      </c>
      <c r="K57">
        <v>8</v>
      </c>
      <c r="L57">
        <v>12</v>
      </c>
      <c r="M57">
        <v>414000</v>
      </c>
      <c r="N57">
        <v>517000</v>
      </c>
      <c r="O57">
        <v>2.5466769467238102</v>
      </c>
      <c r="S57" t="s">
        <v>71</v>
      </c>
      <c r="T57" t="s">
        <v>74</v>
      </c>
      <c r="U57">
        <v>18</v>
      </c>
      <c r="V57">
        <v>0</v>
      </c>
      <c r="W57">
        <v>75</v>
      </c>
      <c r="X57">
        <v>0.72</v>
      </c>
      <c r="Y57">
        <v>0.9</v>
      </c>
      <c r="Z57">
        <v>0</v>
      </c>
      <c r="AB57">
        <v>129.2702545099128</v>
      </c>
      <c r="AK57">
        <v>1.5</v>
      </c>
      <c r="AM57">
        <v>0.10764414471571518</v>
      </c>
      <c r="AX57">
        <v>0.46262651833971924</v>
      </c>
      <c r="AY57">
        <v>1.4626265183397194</v>
      </c>
      <c r="BC57">
        <v>-2.307229</v>
      </c>
      <c r="BD57">
        <v>0.5852366</v>
      </c>
      <c r="BE57">
        <v>0.201322</v>
      </c>
      <c r="BQ57">
        <v>1.4274935</v>
      </c>
      <c r="BR57">
        <v>-7.1050000000000002E-3</v>
      </c>
      <c r="BS57">
        <v>5.1415999999999996E-3</v>
      </c>
      <c r="BT57">
        <v>-1.4290590000000001</v>
      </c>
      <c r="BU57">
        <v>4.9200300000000002E-2</v>
      </c>
      <c r="BV57">
        <v>0.14513599999999999</v>
      </c>
      <c r="BW57">
        <v>2.0170299999999999E-2</v>
      </c>
      <c r="BX57">
        <v>-1.032025</v>
      </c>
      <c r="BZ57">
        <v>1</v>
      </c>
      <c r="CA57">
        <v>0</v>
      </c>
      <c r="CB57">
        <v>0</v>
      </c>
      <c r="CE57">
        <v>-4.6730844270599627E-2</v>
      </c>
      <c r="CL57">
        <v>-4.6730844270599627E-2</v>
      </c>
      <c r="CM57">
        <v>0</v>
      </c>
      <c r="CT57">
        <v>1.8835024417450885E-2</v>
      </c>
      <c r="CU57">
        <v>1.0190135223999457</v>
      </c>
      <c r="CV57">
        <v>1.0000000000000001E-5</v>
      </c>
      <c r="CW57">
        <v>1.0190135223999457</v>
      </c>
      <c r="CX57">
        <v>0.72299999999999998</v>
      </c>
      <c r="CY57">
        <v>0.01</v>
      </c>
      <c r="CZ57">
        <v>0.72299999999999998</v>
      </c>
      <c r="DA57">
        <v>0.3</v>
      </c>
      <c r="DB57">
        <v>0.3</v>
      </c>
      <c r="DC57">
        <v>0.3</v>
      </c>
    </row>
    <row r="58" spans="1:107" x14ac:dyDescent="0.25">
      <c r="A58">
        <v>37</v>
      </c>
      <c r="B58">
        <v>87</v>
      </c>
      <c r="C58" t="s">
        <v>122</v>
      </c>
      <c r="D58">
        <v>0.86360000000000003</v>
      </c>
      <c r="E58">
        <v>863.6</v>
      </c>
      <c r="F58">
        <v>1.1130000000000001E-2</v>
      </c>
      <c r="G58">
        <v>11.13</v>
      </c>
      <c r="H58">
        <v>77.592093441150041</v>
      </c>
      <c r="I58">
        <v>50</v>
      </c>
      <c r="J58" t="s">
        <v>75</v>
      </c>
      <c r="K58">
        <v>14</v>
      </c>
      <c r="L58">
        <v>15</v>
      </c>
      <c r="M58">
        <v>483000</v>
      </c>
      <c r="N58">
        <v>565000</v>
      </c>
      <c r="O58">
        <v>2.8799444073326219</v>
      </c>
      <c r="S58" t="s">
        <v>71</v>
      </c>
      <c r="T58" t="s">
        <v>74</v>
      </c>
      <c r="U58">
        <v>18</v>
      </c>
      <c r="V58">
        <v>0</v>
      </c>
      <c r="W58">
        <v>75</v>
      </c>
      <c r="X58">
        <v>0.72</v>
      </c>
      <c r="Y58">
        <v>0.9</v>
      </c>
      <c r="Z58">
        <v>0</v>
      </c>
      <c r="AB58">
        <v>146.50628844456784</v>
      </c>
      <c r="AK58">
        <v>1.5</v>
      </c>
      <c r="AM58">
        <v>0.12199149455168937</v>
      </c>
      <c r="AX58">
        <v>0.57931434087634726</v>
      </c>
      <c r="AY58">
        <v>1.5793143408763473</v>
      </c>
      <c r="BC58">
        <v>-2.307229</v>
      </c>
      <c r="BD58">
        <v>0.5852366</v>
      </c>
      <c r="BE58">
        <v>0.201322</v>
      </c>
      <c r="BQ58">
        <v>1.4274935</v>
      </c>
      <c r="BR58">
        <v>-7.1050000000000002E-3</v>
      </c>
      <c r="BS58">
        <v>5.1415999999999996E-3</v>
      </c>
      <c r="BT58">
        <v>-1.4290590000000001</v>
      </c>
      <c r="BU58">
        <v>4.9200300000000002E-2</v>
      </c>
      <c r="BV58">
        <v>0.14513599999999999</v>
      </c>
      <c r="BW58">
        <v>2.0170299999999999E-2</v>
      </c>
      <c r="BX58">
        <v>-1.032025</v>
      </c>
      <c r="BZ58">
        <v>1</v>
      </c>
      <c r="CA58">
        <v>0</v>
      </c>
      <c r="CB58">
        <v>0</v>
      </c>
      <c r="CE58">
        <v>-0.13656097636803749</v>
      </c>
      <c r="CL58">
        <v>-0.13656097636803749</v>
      </c>
      <c r="CM58">
        <v>0</v>
      </c>
      <c r="CT58">
        <v>3.4566429204756499E-2</v>
      </c>
      <c r="CU58">
        <v>1.0351707916646211</v>
      </c>
      <c r="CV58">
        <v>1.0000000000000001E-5</v>
      </c>
      <c r="CW58">
        <v>1.0351707916646211</v>
      </c>
      <c r="CX58">
        <v>0.72299999999999998</v>
      </c>
      <c r="CY58">
        <v>0.01</v>
      </c>
      <c r="CZ58">
        <v>0.72299999999999998</v>
      </c>
      <c r="DA58">
        <v>0.3</v>
      </c>
      <c r="DB58">
        <v>0.3</v>
      </c>
      <c r="DC58">
        <v>0.3</v>
      </c>
    </row>
    <row r="59" spans="1:107" x14ac:dyDescent="0.25">
      <c r="A59">
        <v>38</v>
      </c>
      <c r="B59">
        <v>89</v>
      </c>
      <c r="C59" t="s">
        <v>122</v>
      </c>
      <c r="D59">
        <v>1.0668</v>
      </c>
      <c r="E59">
        <v>1066.8</v>
      </c>
      <c r="F59">
        <v>1.2699999999999999E-2</v>
      </c>
      <c r="G59">
        <v>12.7</v>
      </c>
      <c r="H59">
        <v>84</v>
      </c>
      <c r="I59">
        <v>100</v>
      </c>
      <c r="J59" t="s">
        <v>77</v>
      </c>
      <c r="K59">
        <v>15</v>
      </c>
      <c r="L59">
        <v>20</v>
      </c>
      <c r="M59">
        <v>552000</v>
      </c>
      <c r="N59">
        <v>625000</v>
      </c>
      <c r="O59">
        <v>2.9888368774026359</v>
      </c>
      <c r="S59" t="s">
        <v>71</v>
      </c>
      <c r="T59" t="s">
        <v>76</v>
      </c>
      <c r="U59">
        <v>18.5</v>
      </c>
      <c r="V59">
        <v>0</v>
      </c>
      <c r="W59">
        <v>125</v>
      </c>
      <c r="X59">
        <v>0.4</v>
      </c>
      <c r="Y59">
        <v>0.9</v>
      </c>
      <c r="Z59">
        <v>0</v>
      </c>
      <c r="AB59">
        <v>167.57255214247957</v>
      </c>
      <c r="AK59">
        <v>1.5</v>
      </c>
      <c r="AM59">
        <v>0.13917170396098252</v>
      </c>
      <c r="AX59">
        <v>0.70118132861093019</v>
      </c>
      <c r="AY59">
        <v>2.2011813286109301</v>
      </c>
      <c r="BC59">
        <v>-2.307229</v>
      </c>
      <c r="BD59">
        <v>0.5852366</v>
      </c>
      <c r="BE59">
        <v>0.201322</v>
      </c>
      <c r="BQ59">
        <v>1.4274935</v>
      </c>
      <c r="BR59">
        <v>-7.1050000000000002E-3</v>
      </c>
      <c r="BS59">
        <v>5.1415999999999996E-3</v>
      </c>
      <c r="BT59">
        <v>-1.4290590000000001</v>
      </c>
      <c r="BU59">
        <v>4.9200300000000002E-2</v>
      </c>
      <c r="BV59">
        <v>0.14513599999999999</v>
      </c>
      <c r="BW59">
        <v>2.0170299999999999E-2</v>
      </c>
      <c r="BX59">
        <v>-1.032025</v>
      </c>
      <c r="BZ59">
        <v>1</v>
      </c>
      <c r="CA59">
        <v>0</v>
      </c>
      <c r="CB59">
        <v>0</v>
      </c>
      <c r="CE59">
        <v>-0.19777054799268215</v>
      </c>
      <c r="CL59">
        <v>-0.19777054799268215</v>
      </c>
      <c r="CM59">
        <v>0</v>
      </c>
      <c r="CT59">
        <v>-1.0808663411078889E-2</v>
      </c>
      <c r="CU59">
        <v>0.98924954030109691</v>
      </c>
      <c r="CV59">
        <v>1.0000000000000001E-5</v>
      </c>
      <c r="CW59">
        <v>0.98924954030109691</v>
      </c>
      <c r="CX59">
        <v>0.72299999999999998</v>
      </c>
      <c r="CY59">
        <v>0.01</v>
      </c>
      <c r="CZ59">
        <v>0.72299999999999998</v>
      </c>
      <c r="DA59">
        <v>0.3</v>
      </c>
      <c r="DB59">
        <v>0.3</v>
      </c>
      <c r="DC59">
        <v>0.3</v>
      </c>
    </row>
    <row r="60" spans="1:107" x14ac:dyDescent="0.25">
      <c r="A60">
        <v>39</v>
      </c>
      <c r="B60">
        <v>85</v>
      </c>
      <c r="C60" t="s">
        <v>122</v>
      </c>
      <c r="D60">
        <v>0.60960000000000003</v>
      </c>
      <c r="E60">
        <v>609.6</v>
      </c>
      <c r="F60">
        <v>1.1130000000000001E-2</v>
      </c>
      <c r="G60">
        <v>11.13</v>
      </c>
      <c r="H60">
        <v>54.770889487870619</v>
      </c>
      <c r="I60">
        <v>150</v>
      </c>
      <c r="J60" t="s">
        <v>100</v>
      </c>
      <c r="K60">
        <v>3</v>
      </c>
      <c r="L60">
        <v>9</v>
      </c>
      <c r="M60">
        <v>290000</v>
      </c>
      <c r="N60">
        <v>414000</v>
      </c>
      <c r="O60">
        <v>1.7363704307629526</v>
      </c>
      <c r="S60" t="s">
        <v>71</v>
      </c>
      <c r="T60" t="s">
        <v>76</v>
      </c>
      <c r="U60">
        <v>18.5</v>
      </c>
      <c r="V60">
        <v>0</v>
      </c>
      <c r="W60">
        <v>125</v>
      </c>
      <c r="X60">
        <v>0.4</v>
      </c>
      <c r="Y60">
        <v>0.9</v>
      </c>
      <c r="Z60">
        <v>0</v>
      </c>
      <c r="AB60">
        <v>95.755744081416907</v>
      </c>
      <c r="AK60">
        <v>7.5</v>
      </c>
      <c r="AM60">
        <v>7.9294795208237082E-2</v>
      </c>
      <c r="AX60">
        <v>0.42306301468311602</v>
      </c>
      <c r="AY60">
        <v>1.923063014683116</v>
      </c>
      <c r="BC60">
        <v>-2.307229</v>
      </c>
      <c r="BD60">
        <v>0.5852366</v>
      </c>
      <c r="BE60">
        <v>0.201322</v>
      </c>
      <c r="BQ60">
        <v>1.4274935</v>
      </c>
      <c r="BR60">
        <v>-7.1050000000000002E-3</v>
      </c>
      <c r="BS60">
        <v>5.1415999999999996E-3</v>
      </c>
      <c r="BT60">
        <v>-1.4290590000000001</v>
      </c>
      <c r="BU60">
        <v>4.9200300000000002E-2</v>
      </c>
      <c r="BV60">
        <v>0.14513599999999999</v>
      </c>
      <c r="BW60">
        <v>2.0170299999999999E-2</v>
      </c>
      <c r="BX60">
        <v>-1.032025</v>
      </c>
      <c r="BZ60">
        <v>0</v>
      </c>
      <c r="CA60">
        <v>1</v>
      </c>
      <c r="CB60">
        <v>0</v>
      </c>
      <c r="CE60">
        <v>2.3499863959925666</v>
      </c>
      <c r="CL60">
        <v>0</v>
      </c>
      <c r="CM60">
        <v>2.3499863959925666</v>
      </c>
      <c r="CT60">
        <v>17.660464038190291</v>
      </c>
      <c r="CU60">
        <v>100</v>
      </c>
      <c r="CV60">
        <v>1.0000000000000001E-5</v>
      </c>
      <c r="CW60">
        <v>100</v>
      </c>
      <c r="CX60">
        <v>0.72299999999999998</v>
      </c>
      <c r="CY60">
        <v>0.01</v>
      </c>
      <c r="CZ60">
        <v>0.72299999999999998</v>
      </c>
      <c r="DA60">
        <v>0.3</v>
      </c>
      <c r="DB60">
        <v>0.3</v>
      </c>
      <c r="DC60">
        <v>0.3</v>
      </c>
    </row>
    <row r="61" spans="1:107" x14ac:dyDescent="0.25">
      <c r="A61">
        <v>40</v>
      </c>
      <c r="B61">
        <v>87</v>
      </c>
      <c r="C61" t="s">
        <v>122</v>
      </c>
      <c r="D61">
        <v>0.60960000000000003</v>
      </c>
      <c r="E61">
        <v>609.6</v>
      </c>
      <c r="F61">
        <v>1.1130000000000001E-2</v>
      </c>
      <c r="G61">
        <v>11.13</v>
      </c>
      <c r="H61">
        <v>54.770889487870619</v>
      </c>
      <c r="I61">
        <v>200</v>
      </c>
      <c r="J61" t="s">
        <v>101</v>
      </c>
      <c r="K61">
        <v>3</v>
      </c>
      <c r="L61">
        <v>8</v>
      </c>
      <c r="M61">
        <v>241000</v>
      </c>
      <c r="N61">
        <v>344000</v>
      </c>
      <c r="O61">
        <v>1.1599577949833839</v>
      </c>
      <c r="S61" t="s">
        <v>71</v>
      </c>
      <c r="T61" t="s">
        <v>76</v>
      </c>
      <c r="U61">
        <v>18.5</v>
      </c>
      <c r="V61">
        <v>0</v>
      </c>
      <c r="W61">
        <v>125</v>
      </c>
      <c r="X61">
        <v>0.4</v>
      </c>
      <c r="Y61">
        <v>0.9</v>
      </c>
      <c r="Z61">
        <v>0</v>
      </c>
      <c r="AB61">
        <v>95.755744081416907</v>
      </c>
      <c r="AK61">
        <v>3.5</v>
      </c>
      <c r="AM61">
        <v>7.8028077275326749E-2</v>
      </c>
      <c r="AX61">
        <v>0.43296023982302467</v>
      </c>
      <c r="AY61">
        <v>1.9329602398230246</v>
      </c>
      <c r="BC61">
        <v>-2.307229</v>
      </c>
      <c r="BD61">
        <v>0.5852366</v>
      </c>
      <c r="BE61">
        <v>0.201322</v>
      </c>
      <c r="BQ61">
        <v>1.4274935</v>
      </c>
      <c r="BR61">
        <v>-7.1050000000000002E-3</v>
      </c>
      <c r="BS61">
        <v>5.1415999999999996E-3</v>
      </c>
      <c r="BT61">
        <v>-1.4290590000000001</v>
      </c>
      <c r="BU61">
        <v>4.9200300000000002E-2</v>
      </c>
      <c r="BV61">
        <v>0.14513599999999999</v>
      </c>
      <c r="BW61">
        <v>2.0170299999999999E-2</v>
      </c>
      <c r="BX61">
        <v>-1.032025</v>
      </c>
      <c r="BZ61">
        <v>0</v>
      </c>
      <c r="CA61">
        <v>0</v>
      </c>
      <c r="CB61">
        <v>0</v>
      </c>
      <c r="CE61">
        <v>0</v>
      </c>
      <c r="CL61">
        <v>0</v>
      </c>
      <c r="CM61">
        <v>0</v>
      </c>
      <c r="CT61">
        <v>3.5566068246042359E-2</v>
      </c>
      <c r="CU61">
        <v>1.0362061061865622</v>
      </c>
      <c r="CV61">
        <v>1.0000000000000001E-5</v>
      </c>
      <c r="CW61">
        <v>1.0362061061865622</v>
      </c>
      <c r="CX61">
        <v>0.72299999999999998</v>
      </c>
      <c r="CY61">
        <v>0.01</v>
      </c>
      <c r="CZ61">
        <v>0.72299999999999998</v>
      </c>
      <c r="DA61">
        <v>0.3</v>
      </c>
      <c r="DB61">
        <v>0.3</v>
      </c>
      <c r="DC61">
        <v>0.3</v>
      </c>
    </row>
    <row r="62" spans="1:107" x14ac:dyDescent="0.25">
      <c r="A62">
        <v>41</v>
      </c>
      <c r="B62">
        <v>176</v>
      </c>
      <c r="C62" t="s">
        <v>123</v>
      </c>
      <c r="D62">
        <v>0.20319999999999999</v>
      </c>
      <c r="E62">
        <v>203.2</v>
      </c>
      <c r="F62">
        <v>1.11252E-2</v>
      </c>
      <c r="G62">
        <v>11.1252</v>
      </c>
      <c r="H62">
        <v>18.264840182648403</v>
      </c>
      <c r="I62">
        <v>30</v>
      </c>
      <c r="R62">
        <v>75</v>
      </c>
      <c r="S62" t="s">
        <v>78</v>
      </c>
      <c r="T62" t="s">
        <v>79</v>
      </c>
      <c r="U62">
        <v>18</v>
      </c>
      <c r="V62">
        <v>37</v>
      </c>
      <c r="W62">
        <v>0</v>
      </c>
      <c r="X62">
        <v>0</v>
      </c>
      <c r="Y62">
        <v>0.9</v>
      </c>
      <c r="Z62">
        <v>1</v>
      </c>
      <c r="AB62">
        <v>7.5479720641402661</v>
      </c>
      <c r="AJ62">
        <v>2.0212789264051603</v>
      </c>
      <c r="AK62">
        <v>0.1</v>
      </c>
      <c r="AZ62">
        <v>-15</v>
      </c>
      <c r="BA62">
        <v>1</v>
      </c>
      <c r="BB62">
        <v>2.9049779102855271</v>
      </c>
      <c r="BC62">
        <v>-4.4880595200000002</v>
      </c>
      <c r="BD62">
        <v>0.28637503999999997</v>
      </c>
      <c r="BE62">
        <v>3.4085807039999998</v>
      </c>
      <c r="BF62">
        <v>0.30408470123424092</v>
      </c>
      <c r="CE62">
        <v>3.6339003999999999</v>
      </c>
      <c r="CG62">
        <v>-2.3025850929940455</v>
      </c>
      <c r="CH62">
        <v>2.1854744270059547</v>
      </c>
      <c r="CI62">
        <v>0.60141285848284531</v>
      </c>
      <c r="CJ62">
        <v>0.69535770349394732</v>
      </c>
      <c r="CK62">
        <v>2.4281365565027855</v>
      </c>
      <c r="CT62">
        <v>-0.6763594462629734</v>
      </c>
      <c r="CU62">
        <v>0.50846472008565746</v>
      </c>
      <c r="CV62">
        <v>0.50846472008565746</v>
      </c>
      <c r="CW62">
        <v>1.0000000000000001E-5</v>
      </c>
      <c r="CX62">
        <v>0.57229738456854751</v>
      </c>
      <c r="CY62">
        <v>0.57229738456854751</v>
      </c>
      <c r="CZ62">
        <v>0.01</v>
      </c>
      <c r="DA62">
        <v>0.3</v>
      </c>
      <c r="DB62">
        <v>0.3</v>
      </c>
      <c r="DC62">
        <v>0.3</v>
      </c>
    </row>
    <row r="63" spans="1:107" x14ac:dyDescent="0.25">
      <c r="A63">
        <v>42</v>
      </c>
      <c r="B63">
        <v>180</v>
      </c>
      <c r="C63" t="s">
        <v>123</v>
      </c>
      <c r="D63">
        <v>0.30480000000000002</v>
      </c>
      <c r="E63">
        <v>304.8</v>
      </c>
      <c r="F63">
        <v>7.1399999999999996E-3</v>
      </c>
      <c r="G63">
        <v>7.14</v>
      </c>
      <c r="H63">
        <v>42.689075630252105</v>
      </c>
      <c r="I63">
        <v>30</v>
      </c>
      <c r="R63">
        <v>65</v>
      </c>
      <c r="S63" t="s">
        <v>78</v>
      </c>
      <c r="T63" t="s">
        <v>80</v>
      </c>
      <c r="U63">
        <v>18.5</v>
      </c>
      <c r="V63">
        <v>40</v>
      </c>
      <c r="W63">
        <v>0</v>
      </c>
      <c r="X63">
        <v>0</v>
      </c>
      <c r="Y63">
        <v>0.9</v>
      </c>
      <c r="Z63">
        <v>1.2</v>
      </c>
      <c r="AB63">
        <v>15.444677723460234</v>
      </c>
      <c r="AJ63">
        <v>2.7372644600771081</v>
      </c>
      <c r="AK63">
        <v>0.1</v>
      </c>
      <c r="AZ63">
        <v>-5</v>
      </c>
      <c r="BA63">
        <v>1</v>
      </c>
      <c r="BB63">
        <v>3.7539430474609983</v>
      </c>
      <c r="BC63">
        <v>-4.0370092800000004</v>
      </c>
      <c r="BD63">
        <v>0.41667756</v>
      </c>
      <c r="BE63">
        <v>2.8294460559999997</v>
      </c>
      <c r="BF63">
        <v>0.66852317696108277</v>
      </c>
      <c r="CE63">
        <v>2.7090505999999994</v>
      </c>
      <c r="CG63">
        <v>-2.3025850929940455</v>
      </c>
      <c r="CH63">
        <v>1.7344241870059549</v>
      </c>
      <c r="CI63">
        <v>0.64023321934479749</v>
      </c>
      <c r="CJ63">
        <v>0.75856886381101818</v>
      </c>
      <c r="CK63">
        <v>1.8205176775322822</v>
      </c>
      <c r="CT63">
        <v>-0.34040520150663467</v>
      </c>
      <c r="CU63">
        <v>0.71148197077972275</v>
      </c>
      <c r="CV63">
        <v>0.71148197077972275</v>
      </c>
      <c r="CW63">
        <v>1.0000000000000001E-5</v>
      </c>
      <c r="CX63">
        <v>0.57229738456854751</v>
      </c>
      <c r="CY63">
        <v>0.57229738456854751</v>
      </c>
      <c r="CZ63">
        <v>0.01</v>
      </c>
      <c r="DA63">
        <v>0.3</v>
      </c>
      <c r="DB63">
        <v>0.3</v>
      </c>
      <c r="DC63">
        <v>0.3</v>
      </c>
    </row>
    <row r="64" spans="1:107" x14ac:dyDescent="0.25">
      <c r="A64">
        <v>43</v>
      </c>
      <c r="B64">
        <v>176</v>
      </c>
      <c r="C64" t="s">
        <v>123</v>
      </c>
      <c r="D64">
        <v>0.40639999999999998</v>
      </c>
      <c r="E64">
        <v>406.4</v>
      </c>
      <c r="F64">
        <v>9.5299999999999985E-3</v>
      </c>
      <c r="G64">
        <v>9.5299999999999994</v>
      </c>
      <c r="H64">
        <v>42.644281217208821</v>
      </c>
      <c r="I64">
        <v>50</v>
      </c>
      <c r="R64">
        <v>58</v>
      </c>
      <c r="S64" t="s">
        <v>78</v>
      </c>
      <c r="T64" t="s">
        <v>81</v>
      </c>
      <c r="U64">
        <v>19</v>
      </c>
      <c r="V64">
        <v>43</v>
      </c>
      <c r="W64">
        <v>0</v>
      </c>
      <c r="X64">
        <v>0</v>
      </c>
      <c r="Y64">
        <v>0.9</v>
      </c>
      <c r="Z64">
        <v>1.5</v>
      </c>
      <c r="AB64">
        <v>29.151630415531248</v>
      </c>
      <c r="AJ64">
        <v>3.3725108431545396</v>
      </c>
      <c r="AK64">
        <v>0.15</v>
      </c>
      <c r="AZ64">
        <v>0</v>
      </c>
      <c r="BA64">
        <v>1</v>
      </c>
      <c r="BB64">
        <v>3.7528931785981614</v>
      </c>
      <c r="BC64">
        <v>-3.7245790400000001</v>
      </c>
      <c r="BD64">
        <v>0.49883007999999995</v>
      </c>
      <c r="BE64">
        <v>2.538611408</v>
      </c>
      <c r="BF64">
        <v>0.43474883354399235</v>
      </c>
      <c r="CE64">
        <v>2.2234507999999997</v>
      </c>
      <c r="CG64">
        <v>-1.8971199848858813</v>
      </c>
      <c r="CH64">
        <v>1.8274590551141188</v>
      </c>
      <c r="CI64">
        <v>0.82190217796324483</v>
      </c>
      <c r="CJ64">
        <v>1.1626517128318059</v>
      </c>
      <c r="CK64">
        <v>2.3307570241790674</v>
      </c>
      <c r="CT64">
        <v>0.22689444972305978</v>
      </c>
      <c r="CU64">
        <v>1.2546974272899019</v>
      </c>
      <c r="CV64">
        <v>1.2546974272899019</v>
      </c>
      <c r="CW64">
        <v>1.0000000000000001E-5</v>
      </c>
      <c r="CX64">
        <v>0.57229738456854751</v>
      </c>
      <c r="CY64">
        <v>0.57229738456854751</v>
      </c>
      <c r="CZ64">
        <v>0.01</v>
      </c>
      <c r="DA64">
        <v>0.3</v>
      </c>
      <c r="DB64">
        <v>0.3</v>
      </c>
      <c r="DC64">
        <v>0.3</v>
      </c>
    </row>
    <row r="65" spans="1:107" x14ac:dyDescent="0.25">
      <c r="A65">
        <v>44</v>
      </c>
      <c r="B65">
        <v>176</v>
      </c>
      <c r="C65" t="s">
        <v>123</v>
      </c>
      <c r="D65">
        <v>0.50800000000000001</v>
      </c>
      <c r="E65">
        <v>508</v>
      </c>
      <c r="F65">
        <v>1.1130000000000001E-2</v>
      </c>
      <c r="G65">
        <v>11.13</v>
      </c>
      <c r="H65">
        <v>45.642407906558844</v>
      </c>
      <c r="I65">
        <v>100</v>
      </c>
      <c r="R65">
        <v>51</v>
      </c>
      <c r="S65" t="s">
        <v>78</v>
      </c>
      <c r="T65" t="s">
        <v>79</v>
      </c>
      <c r="U65">
        <v>18</v>
      </c>
      <c r="V65">
        <v>37</v>
      </c>
      <c r="W65">
        <v>0</v>
      </c>
      <c r="X65">
        <v>0</v>
      </c>
      <c r="Y65">
        <v>0.9</v>
      </c>
      <c r="Z65">
        <v>1</v>
      </c>
      <c r="AB65">
        <v>18.869930160350666</v>
      </c>
      <c r="AJ65">
        <v>2.9375696582793154</v>
      </c>
      <c r="AK65">
        <v>0.2</v>
      </c>
      <c r="AZ65">
        <v>0</v>
      </c>
      <c r="BA65">
        <v>0</v>
      </c>
      <c r="BB65">
        <v>3.8208372822910284</v>
      </c>
      <c r="BC65">
        <v>-3.5227188000000003</v>
      </c>
      <c r="BD65">
        <v>0.53883259999999999</v>
      </c>
      <c r="BE65">
        <v>2.5446767599999998</v>
      </c>
      <c r="BF65">
        <v>-0.50855733307133744</v>
      </c>
      <c r="CE65">
        <v>2.1667009999999998</v>
      </c>
      <c r="CG65">
        <v>-1.6094379124341003</v>
      </c>
      <c r="CH65">
        <v>1.9132808875659</v>
      </c>
      <c r="CI65">
        <v>0.88303872457062615</v>
      </c>
      <c r="CJ65">
        <v>1.3893995965142862</v>
      </c>
      <c r="CK65">
        <v>2.5785366299557344</v>
      </c>
      <c r="CT65">
        <v>-0.47469746311560279</v>
      </c>
      <c r="CU65">
        <v>0.62207322809545029</v>
      </c>
      <c r="CV65">
        <v>0.62207322809545029</v>
      </c>
      <c r="CW65">
        <v>1.0000000000000001E-5</v>
      </c>
      <c r="CX65">
        <v>0.57229738456854751</v>
      </c>
      <c r="CY65">
        <v>0.57229738456854751</v>
      </c>
      <c r="CZ65">
        <v>0.01</v>
      </c>
      <c r="DA65">
        <v>0.3</v>
      </c>
      <c r="DB65">
        <v>0.3</v>
      </c>
      <c r="DC65">
        <v>0.3</v>
      </c>
    </row>
    <row r="66" spans="1:107" x14ac:dyDescent="0.25">
      <c r="A66">
        <v>45</v>
      </c>
      <c r="B66">
        <v>176</v>
      </c>
      <c r="C66" t="s">
        <v>123</v>
      </c>
      <c r="D66">
        <v>0.60960000000000003</v>
      </c>
      <c r="E66">
        <v>609.6</v>
      </c>
      <c r="F66">
        <v>9.5299999999999985E-3</v>
      </c>
      <c r="G66">
        <v>9.5299999999999994</v>
      </c>
      <c r="H66">
        <v>63.966421825813235</v>
      </c>
      <c r="I66">
        <v>15</v>
      </c>
      <c r="R66">
        <v>44</v>
      </c>
      <c r="S66" t="s">
        <v>78</v>
      </c>
      <c r="T66" t="s">
        <v>80</v>
      </c>
      <c r="U66">
        <v>18.5</v>
      </c>
      <c r="V66">
        <v>40</v>
      </c>
      <c r="W66">
        <v>0</v>
      </c>
      <c r="X66">
        <v>0</v>
      </c>
      <c r="Y66">
        <v>0.9</v>
      </c>
      <c r="Z66">
        <v>1.2</v>
      </c>
      <c r="AB66">
        <v>30.889355446920469</v>
      </c>
      <c r="AJ66">
        <v>3.4304116406370531</v>
      </c>
      <c r="AK66">
        <v>0.2</v>
      </c>
      <c r="AZ66">
        <v>0</v>
      </c>
      <c r="BA66">
        <v>0</v>
      </c>
      <c r="BB66">
        <v>4.158358286706326</v>
      </c>
      <c r="BC66">
        <v>-3.6995335599999999</v>
      </c>
      <c r="BD66">
        <v>0.49783511999999996</v>
      </c>
      <c r="BE66">
        <v>2.4346421120000001</v>
      </c>
      <c r="BF66">
        <v>-7.1844603442407146E-2</v>
      </c>
      <c r="CE66">
        <v>2.2503511999999999</v>
      </c>
      <c r="CG66">
        <v>-1.6094379124341003</v>
      </c>
      <c r="CH66">
        <v>2.0900956475658994</v>
      </c>
      <c r="CI66">
        <v>0.92878642567697856</v>
      </c>
      <c r="CJ66">
        <v>1.6494814191438925</v>
      </c>
      <c r="CK66">
        <v>3.3133086696332161</v>
      </c>
      <c r="CT66">
        <v>0.80682195419080882</v>
      </c>
      <c r="CU66">
        <v>2.2407753720113077</v>
      </c>
      <c r="CV66">
        <v>2.2407753720113077</v>
      </c>
      <c r="CW66">
        <v>1.0000000000000001E-5</v>
      </c>
      <c r="CX66">
        <v>0.57229738456854751</v>
      </c>
      <c r="CY66">
        <v>0.57229738456854751</v>
      </c>
      <c r="CZ66">
        <v>0.01</v>
      </c>
      <c r="DA66">
        <v>0.3</v>
      </c>
      <c r="DB66">
        <v>0.3</v>
      </c>
      <c r="DC66">
        <v>0.3</v>
      </c>
    </row>
    <row r="67" spans="1:107" x14ac:dyDescent="0.25">
      <c r="A67">
        <v>46</v>
      </c>
      <c r="B67">
        <v>178</v>
      </c>
      <c r="C67" t="s">
        <v>123</v>
      </c>
      <c r="D67">
        <v>0.76200000000000001</v>
      </c>
      <c r="E67">
        <v>762</v>
      </c>
      <c r="F67">
        <v>1.2699999999999999E-2</v>
      </c>
      <c r="G67">
        <v>12.7</v>
      </c>
      <c r="H67">
        <v>60</v>
      </c>
      <c r="I67">
        <v>30</v>
      </c>
      <c r="R67">
        <v>37</v>
      </c>
      <c r="S67" t="s">
        <v>78</v>
      </c>
      <c r="T67" t="s">
        <v>81</v>
      </c>
      <c r="U67">
        <v>19</v>
      </c>
      <c r="V67">
        <v>43</v>
      </c>
      <c r="W67">
        <v>0</v>
      </c>
      <c r="X67">
        <v>0</v>
      </c>
      <c r="Y67">
        <v>0.9</v>
      </c>
      <c r="Z67">
        <v>1.5</v>
      </c>
      <c r="AB67">
        <v>54.659307029121074</v>
      </c>
      <c r="AJ67">
        <v>4.0011195025769135</v>
      </c>
      <c r="AK67">
        <v>0.25</v>
      </c>
      <c r="AZ67">
        <v>0</v>
      </c>
      <c r="BA67">
        <v>0</v>
      </c>
      <c r="BB67">
        <v>4.0943445622221004</v>
      </c>
      <c r="BC67">
        <v>-3.5650431999999999</v>
      </c>
      <c r="BD67">
        <v>0.52183889999999999</v>
      </c>
      <c r="BE67">
        <v>2.3921401399999995</v>
      </c>
      <c r="BF67">
        <v>0.15973147209986455</v>
      </c>
      <c r="CE67">
        <v>2.2276265</v>
      </c>
      <c r="CG67">
        <v>-1.3862943611198906</v>
      </c>
      <c r="CH67">
        <v>2.1787488388801091</v>
      </c>
      <c r="CI67">
        <v>0.97805841279052352</v>
      </c>
      <c r="CJ67">
        <v>2.2507436237850884</v>
      </c>
      <c r="CK67">
        <v>4.3131005062771068</v>
      </c>
      <c r="CT67">
        <v>2.0806918383769717</v>
      </c>
      <c r="CU67">
        <v>8.0100086291512458</v>
      </c>
      <c r="CV67">
        <v>8.0100086291512458</v>
      </c>
      <c r="CW67">
        <v>1.0000000000000001E-5</v>
      </c>
      <c r="CX67">
        <v>0.57229738456854751</v>
      </c>
      <c r="CY67">
        <v>0.57229738456854751</v>
      </c>
      <c r="CZ67">
        <v>0.01</v>
      </c>
      <c r="DA67">
        <v>0.3</v>
      </c>
      <c r="DB67">
        <v>0.3</v>
      </c>
      <c r="DC67">
        <v>0.3</v>
      </c>
    </row>
    <row r="68" spans="1:107" x14ac:dyDescent="0.25">
      <c r="A68">
        <v>47</v>
      </c>
      <c r="B68">
        <v>178</v>
      </c>
      <c r="C68" t="s">
        <v>123</v>
      </c>
      <c r="D68">
        <v>0.86360000000000003</v>
      </c>
      <c r="E68">
        <v>863.6</v>
      </c>
      <c r="F68">
        <v>1.1130000000000001E-2</v>
      </c>
      <c r="G68">
        <v>11.13</v>
      </c>
      <c r="H68">
        <v>77.592093441150041</v>
      </c>
      <c r="I68">
        <v>50</v>
      </c>
      <c r="R68">
        <v>30</v>
      </c>
      <c r="S68" t="s">
        <v>78</v>
      </c>
      <c r="T68" t="s">
        <v>79</v>
      </c>
      <c r="U68">
        <v>18</v>
      </c>
      <c r="V68">
        <v>37</v>
      </c>
      <c r="W68">
        <v>0</v>
      </c>
      <c r="X68">
        <v>0</v>
      </c>
      <c r="Y68">
        <v>0.9</v>
      </c>
      <c r="Z68">
        <v>1</v>
      </c>
      <c r="AB68">
        <v>32.078881272596128</v>
      </c>
      <c r="AJ68">
        <v>3.4681979093414856</v>
      </c>
      <c r="AK68">
        <v>0.28000000000000003</v>
      </c>
      <c r="AZ68">
        <v>0</v>
      </c>
      <c r="BA68">
        <v>0</v>
      </c>
      <c r="BB68">
        <v>4.3514655333531991</v>
      </c>
      <c r="BC68">
        <v>-3.4473329600000002</v>
      </c>
      <c r="BD68">
        <v>0.54384142000000002</v>
      </c>
      <c r="BE68">
        <v>2.3724054919999999</v>
      </c>
      <c r="BF68">
        <v>5.9360032168138954E-2</v>
      </c>
      <c r="CE68">
        <v>2.2020766999999997</v>
      </c>
      <c r="CG68">
        <v>-1.2729656758128873</v>
      </c>
      <c r="CH68">
        <v>2.1743672841871131</v>
      </c>
      <c r="CI68">
        <v>0.98741668906769386</v>
      </c>
      <c r="CJ68">
        <v>2.5311097606942257</v>
      </c>
      <c r="CK68">
        <v>4.6541320090960072</v>
      </c>
      <c r="CT68">
        <v>2.3410865492641464</v>
      </c>
      <c r="CU68">
        <v>10.392522417888488</v>
      </c>
      <c r="CV68">
        <v>10.392522417888488</v>
      </c>
      <c r="CW68">
        <v>1.0000000000000001E-5</v>
      </c>
      <c r="CX68">
        <v>0.57229738456854751</v>
      </c>
      <c r="CY68">
        <v>0.57229738456854751</v>
      </c>
      <c r="CZ68">
        <v>0.01</v>
      </c>
      <c r="DA68">
        <v>0.3</v>
      </c>
      <c r="DB68">
        <v>0.3</v>
      </c>
      <c r="DC68">
        <v>0.3</v>
      </c>
    </row>
    <row r="69" spans="1:107" x14ac:dyDescent="0.25">
      <c r="A69">
        <v>48</v>
      </c>
      <c r="B69">
        <v>179</v>
      </c>
      <c r="C69" t="s">
        <v>123</v>
      </c>
      <c r="D69">
        <v>1.0668</v>
      </c>
      <c r="E69">
        <v>1066.8</v>
      </c>
      <c r="F69">
        <v>1.2699999999999999E-2</v>
      </c>
      <c r="G69">
        <v>12.7</v>
      </c>
      <c r="H69">
        <v>84</v>
      </c>
      <c r="I69">
        <v>100</v>
      </c>
      <c r="R69">
        <v>23</v>
      </c>
      <c r="S69" t="s">
        <v>78</v>
      </c>
      <c r="T69" t="s">
        <v>80</v>
      </c>
      <c r="U69">
        <v>18.5</v>
      </c>
      <c r="V69">
        <v>40</v>
      </c>
      <c r="W69">
        <v>0</v>
      </c>
      <c r="X69">
        <v>0</v>
      </c>
      <c r="Y69">
        <v>0.9</v>
      </c>
      <c r="Z69">
        <v>1.2</v>
      </c>
      <c r="AB69">
        <v>54.056372032110822</v>
      </c>
      <c r="AJ69">
        <v>3.9900274285724762</v>
      </c>
      <c r="AK69">
        <v>0.18</v>
      </c>
      <c r="AZ69">
        <v>0</v>
      </c>
      <c r="BA69">
        <v>0</v>
      </c>
      <c r="BB69">
        <v>4.4308167988433134</v>
      </c>
      <c r="BC69">
        <v>-3.1838624800000002</v>
      </c>
      <c r="BD69">
        <v>0.59384645999999996</v>
      </c>
      <c r="BE69">
        <v>2.3415361959999998</v>
      </c>
      <c r="BF69">
        <v>0.35113717457456706</v>
      </c>
      <c r="CE69">
        <v>2.1405770999999998</v>
      </c>
      <c r="CG69">
        <v>-1.7147984280919266</v>
      </c>
      <c r="CH69">
        <v>1.4690640519080735</v>
      </c>
      <c r="CI69">
        <v>0.68629345418488952</v>
      </c>
      <c r="CJ69">
        <v>0.8409150977233486</v>
      </c>
      <c r="CK69">
        <v>1.416048009654463</v>
      </c>
      <c r="CT69">
        <v>-0.57435101177096981</v>
      </c>
      <c r="CU69">
        <v>0.56307017617049704</v>
      </c>
      <c r="CV69">
        <v>0.56307017617049704</v>
      </c>
      <c r="CW69">
        <v>1.0000000000000001E-5</v>
      </c>
      <c r="CX69">
        <v>0.57229738456854751</v>
      </c>
      <c r="CY69">
        <v>0.57229738456854751</v>
      </c>
      <c r="CZ69">
        <v>0.01</v>
      </c>
      <c r="DA69">
        <v>0.3</v>
      </c>
      <c r="DB69">
        <v>0.3</v>
      </c>
      <c r="DC69">
        <v>0.3</v>
      </c>
    </row>
    <row r="70" spans="1:107" x14ac:dyDescent="0.25">
      <c r="A70">
        <v>49</v>
      </c>
      <c r="B70">
        <v>175</v>
      </c>
      <c r="C70" t="s">
        <v>123</v>
      </c>
      <c r="D70">
        <v>0.60960000000000003</v>
      </c>
      <c r="E70">
        <v>609.6</v>
      </c>
      <c r="F70">
        <v>1.1130000000000001E-2</v>
      </c>
      <c r="G70">
        <v>11.13</v>
      </c>
      <c r="H70">
        <v>54.770889487870619</v>
      </c>
      <c r="I70">
        <v>150</v>
      </c>
      <c r="R70">
        <v>16</v>
      </c>
      <c r="S70" t="s">
        <v>78</v>
      </c>
      <c r="T70" t="s">
        <v>81</v>
      </c>
      <c r="U70">
        <v>19</v>
      </c>
      <c r="V70">
        <v>43</v>
      </c>
      <c r="W70">
        <v>0</v>
      </c>
      <c r="X70">
        <v>0</v>
      </c>
      <c r="Y70">
        <v>0.9</v>
      </c>
      <c r="Z70">
        <v>1.5</v>
      </c>
      <c r="AB70">
        <v>43.727445623296873</v>
      </c>
      <c r="AJ70">
        <v>3.7779759512627038</v>
      </c>
      <c r="AK70">
        <v>0.4</v>
      </c>
      <c r="AZ70">
        <v>0</v>
      </c>
      <c r="BA70">
        <v>0</v>
      </c>
      <c r="BB70">
        <v>4.0031588390849828</v>
      </c>
      <c r="BC70">
        <v>-3.32085856</v>
      </c>
      <c r="BD70">
        <v>0.57883511999999993</v>
      </c>
      <c r="BE70">
        <v>2.550742112</v>
      </c>
      <c r="BF70">
        <v>1.3729882151536921E-3</v>
      </c>
      <c r="CE70">
        <v>2.1099511999999998</v>
      </c>
      <c r="CG70">
        <v>-0.916290731874155</v>
      </c>
      <c r="CH70">
        <v>2.4045678281258449</v>
      </c>
      <c r="CI70">
        <v>1.13963196311168</v>
      </c>
      <c r="CJ70">
        <v>5</v>
      </c>
      <c r="CK70">
        <v>8.6380384106617445</v>
      </c>
      <c r="CT70">
        <v>6.0886692868768986</v>
      </c>
      <c r="CU70">
        <v>100</v>
      </c>
      <c r="CV70">
        <v>100</v>
      </c>
      <c r="CW70">
        <v>1.0000000000000001E-5</v>
      </c>
      <c r="CX70">
        <v>0.57229738456854751</v>
      </c>
      <c r="CY70">
        <v>0.57229738456854751</v>
      </c>
      <c r="CZ70">
        <v>0.01</v>
      </c>
      <c r="DA70">
        <v>0.3</v>
      </c>
      <c r="DB70">
        <v>0.3</v>
      </c>
      <c r="DC70">
        <v>0.3</v>
      </c>
    </row>
    <row r="71" spans="1:107" x14ac:dyDescent="0.25">
      <c r="A71">
        <v>50</v>
      </c>
      <c r="B71">
        <v>177</v>
      </c>
      <c r="C71" t="s">
        <v>123</v>
      </c>
      <c r="D71">
        <v>0.60960000000000003</v>
      </c>
      <c r="E71">
        <v>609.6</v>
      </c>
      <c r="F71">
        <v>1.1130000000000001E-2</v>
      </c>
      <c r="G71">
        <v>11.13</v>
      </c>
      <c r="H71">
        <v>54.770889487870619</v>
      </c>
      <c r="I71">
        <v>200</v>
      </c>
      <c r="R71">
        <v>15</v>
      </c>
      <c r="S71" t="s">
        <v>78</v>
      </c>
      <c r="T71" t="s">
        <v>79</v>
      </c>
      <c r="U71">
        <v>18</v>
      </c>
      <c r="V71">
        <v>37</v>
      </c>
      <c r="W71">
        <v>0</v>
      </c>
      <c r="X71">
        <v>0</v>
      </c>
      <c r="Y71">
        <v>0.9</v>
      </c>
      <c r="Z71">
        <v>1.2</v>
      </c>
      <c r="AB71">
        <v>27.172699430904952</v>
      </c>
      <c r="AJ71">
        <v>3.3022127718672243</v>
      </c>
      <c r="AK71">
        <v>1.2</v>
      </c>
      <c r="AZ71">
        <v>0</v>
      </c>
      <c r="BA71">
        <v>0</v>
      </c>
      <c r="BB71">
        <v>4.0031588390849828</v>
      </c>
      <c r="BC71">
        <v>-3.18060856</v>
      </c>
      <c r="BD71">
        <v>0.60883511999999995</v>
      </c>
      <c r="BE71">
        <v>2.5937421120000002</v>
      </c>
      <c r="BF71">
        <v>-0.22283177455187525</v>
      </c>
      <c r="CE71">
        <v>2.0579511999999998</v>
      </c>
      <c r="CG71">
        <v>0.18232155679395459</v>
      </c>
      <c r="CH71">
        <v>3.3629301167939545</v>
      </c>
      <c r="CI71">
        <v>1.6341155790253699</v>
      </c>
      <c r="CJ71">
        <v>5</v>
      </c>
      <c r="CK71">
        <v>8.2124040413437385</v>
      </c>
      <c r="CT71">
        <v>5.395830154791863</v>
      </c>
      <c r="CU71">
        <v>100</v>
      </c>
      <c r="CV71">
        <v>100</v>
      </c>
      <c r="CW71">
        <v>1.0000000000000001E-5</v>
      </c>
      <c r="CX71">
        <v>0.57229738456854751</v>
      </c>
      <c r="CY71">
        <v>0.57229738456854751</v>
      </c>
      <c r="CZ71">
        <v>0.01</v>
      </c>
      <c r="DA71">
        <v>0.3</v>
      </c>
      <c r="DB71">
        <v>0.3</v>
      </c>
      <c r="DC71">
        <v>0.3</v>
      </c>
    </row>
    <row r="72" spans="1:107" x14ac:dyDescent="0.25">
      <c r="A72">
        <v>51</v>
      </c>
      <c r="B72">
        <v>176</v>
      </c>
      <c r="C72" t="s">
        <v>123</v>
      </c>
      <c r="D72">
        <v>0.20319999999999999</v>
      </c>
      <c r="E72">
        <v>203.2</v>
      </c>
      <c r="F72">
        <v>5.5599999999999998E-3</v>
      </c>
      <c r="G72">
        <v>5.56</v>
      </c>
      <c r="H72">
        <v>36.546762589928058</v>
      </c>
      <c r="I72">
        <v>15</v>
      </c>
      <c r="R72">
        <v>72</v>
      </c>
      <c r="S72" t="s">
        <v>71</v>
      </c>
      <c r="T72" t="s">
        <v>72</v>
      </c>
      <c r="U72">
        <v>17.5</v>
      </c>
      <c r="V72">
        <v>0</v>
      </c>
      <c r="W72">
        <v>37.5</v>
      </c>
      <c r="X72">
        <v>1.1000000000000001</v>
      </c>
      <c r="Y72">
        <v>0.9</v>
      </c>
      <c r="Z72">
        <v>0</v>
      </c>
      <c r="AB72">
        <v>26.332829622389646</v>
      </c>
      <c r="AJ72">
        <v>3.2708164353522799</v>
      </c>
      <c r="AK72">
        <v>0.05</v>
      </c>
      <c r="AZ72">
        <v>-12</v>
      </c>
      <c r="BA72">
        <v>1</v>
      </c>
      <c r="BB72">
        <v>3.598592607441836</v>
      </c>
      <c r="BC72">
        <v>-4.4133025200000002</v>
      </c>
      <c r="BD72">
        <v>0.31346503999999997</v>
      </c>
      <c r="BE72">
        <v>3.2330207040000003</v>
      </c>
      <c r="BF72">
        <v>1.3547345147356484</v>
      </c>
      <c r="CE72">
        <v>3.3734704</v>
      </c>
      <c r="CG72">
        <v>-2.9957322735539909</v>
      </c>
      <c r="CH72">
        <v>1.4175702464460094</v>
      </c>
      <c r="CI72">
        <v>0.4202112597300422</v>
      </c>
      <c r="CJ72">
        <v>0.44794855885624785</v>
      </c>
      <c r="CK72">
        <v>1.4290223843024021</v>
      </c>
      <c r="CT72">
        <v>-0.44926380496194973</v>
      </c>
      <c r="CU72">
        <v>0.63809774313738099</v>
      </c>
      <c r="CV72">
        <v>0.63809774313738099</v>
      </c>
      <c r="CW72">
        <v>1.0000000000000001E-5</v>
      </c>
      <c r="CX72">
        <v>0.57229738456854751</v>
      </c>
      <c r="CY72">
        <v>0.57229738456854751</v>
      </c>
      <c r="CZ72">
        <v>0.01</v>
      </c>
      <c r="DA72">
        <v>0.3</v>
      </c>
      <c r="DB72">
        <v>0.3</v>
      </c>
      <c r="DC72">
        <v>0.3</v>
      </c>
    </row>
    <row r="73" spans="1:107" x14ac:dyDescent="0.25">
      <c r="A73">
        <v>52</v>
      </c>
      <c r="B73">
        <v>175</v>
      </c>
      <c r="C73" t="s">
        <v>123</v>
      </c>
      <c r="D73">
        <v>0.30480000000000002</v>
      </c>
      <c r="E73">
        <v>304.8</v>
      </c>
      <c r="F73">
        <v>7.1399999999999996E-3</v>
      </c>
      <c r="G73">
        <v>7.14</v>
      </c>
      <c r="H73">
        <v>42.689075630252105</v>
      </c>
      <c r="I73">
        <v>30</v>
      </c>
      <c r="R73">
        <v>65</v>
      </c>
      <c r="S73" t="s">
        <v>71</v>
      </c>
      <c r="T73" t="s">
        <v>74</v>
      </c>
      <c r="U73">
        <v>18</v>
      </c>
      <c r="V73">
        <v>0</v>
      </c>
      <c r="W73">
        <v>75</v>
      </c>
      <c r="X73">
        <v>0.72</v>
      </c>
      <c r="Y73">
        <v>0.9</v>
      </c>
      <c r="Z73">
        <v>0</v>
      </c>
      <c r="AB73">
        <v>51.708101803965121</v>
      </c>
      <c r="AJ73">
        <v>3.9456144772440287</v>
      </c>
      <c r="AK73">
        <v>0.1</v>
      </c>
      <c r="AZ73">
        <v>-5</v>
      </c>
      <c r="BA73">
        <v>1</v>
      </c>
      <c r="BB73">
        <v>3.7539430474609983</v>
      </c>
      <c r="BC73">
        <v>-4.0370092800000004</v>
      </c>
      <c r="BD73">
        <v>0.41667756</v>
      </c>
      <c r="BE73">
        <v>2.8294460559999997</v>
      </c>
      <c r="BF73">
        <v>1.238139375053569</v>
      </c>
      <c r="CE73">
        <v>2.7090505999999994</v>
      </c>
      <c r="CG73">
        <v>-2.3025850929940455</v>
      </c>
      <c r="CH73">
        <v>1.7344241870059549</v>
      </c>
      <c r="CI73">
        <v>0.64023321934479749</v>
      </c>
      <c r="CJ73">
        <v>0.75856886381101818</v>
      </c>
      <c r="CK73">
        <v>1.8205176775322822</v>
      </c>
      <c r="CT73">
        <v>0.22921099658585153</v>
      </c>
      <c r="CU73">
        <v>1.257607361877443</v>
      </c>
      <c r="CV73">
        <v>1.257607361877443</v>
      </c>
      <c r="CW73">
        <v>1.0000000000000001E-5</v>
      </c>
      <c r="CX73">
        <v>0.57229738456854751</v>
      </c>
      <c r="CY73">
        <v>0.57229738456854751</v>
      </c>
      <c r="CZ73">
        <v>0.01</v>
      </c>
      <c r="DA73">
        <v>0.3</v>
      </c>
      <c r="DB73">
        <v>0.3</v>
      </c>
      <c r="DC73">
        <v>0.3</v>
      </c>
    </row>
    <row r="74" spans="1:107" x14ac:dyDescent="0.25">
      <c r="A74">
        <v>53</v>
      </c>
      <c r="B74">
        <v>177</v>
      </c>
      <c r="C74" t="s">
        <v>123</v>
      </c>
      <c r="D74">
        <v>0.40639999999999998</v>
      </c>
      <c r="E74">
        <v>406.4</v>
      </c>
      <c r="F74">
        <v>9.5299999999999985E-3</v>
      </c>
      <c r="G74">
        <v>9.5299999999999994</v>
      </c>
      <c r="H74">
        <v>42.644281217208821</v>
      </c>
      <c r="I74">
        <v>50</v>
      </c>
      <c r="R74">
        <v>58</v>
      </c>
      <c r="S74" t="s">
        <v>71</v>
      </c>
      <c r="T74" t="s">
        <v>76</v>
      </c>
      <c r="U74">
        <v>18.5</v>
      </c>
      <c r="V74">
        <v>0</v>
      </c>
      <c r="W74">
        <v>125</v>
      </c>
      <c r="X74">
        <v>0.4</v>
      </c>
      <c r="Y74">
        <v>0.9</v>
      </c>
      <c r="Z74">
        <v>0</v>
      </c>
      <c r="AB74">
        <v>63.837162720944598</v>
      </c>
      <c r="AJ74">
        <v>4.1563355085596809</v>
      </c>
      <c r="AK74">
        <v>0.15</v>
      </c>
      <c r="AZ74">
        <v>0</v>
      </c>
      <c r="BA74">
        <v>1</v>
      </c>
      <c r="BB74">
        <v>3.7528931785981614</v>
      </c>
      <c r="BC74">
        <v>-3.7245790400000001</v>
      </c>
      <c r="BD74">
        <v>0.49883007999999995</v>
      </c>
      <c r="BE74">
        <v>2.538611408</v>
      </c>
      <c r="BF74">
        <v>0.80424378081597592</v>
      </c>
      <c r="CE74">
        <v>2.2234507999999997</v>
      </c>
      <c r="CG74">
        <v>-1.8971199848858813</v>
      </c>
      <c r="CH74">
        <v>1.8274590551141188</v>
      </c>
      <c r="CI74">
        <v>0.82190217796324483</v>
      </c>
      <c r="CJ74">
        <v>1.1626517128318059</v>
      </c>
      <c r="CK74">
        <v>2.3307570241790674</v>
      </c>
      <c r="CT74">
        <v>0.59638939699504334</v>
      </c>
      <c r="CU74">
        <v>1.8155517154769825</v>
      </c>
      <c r="CV74">
        <v>1.8155517154769825</v>
      </c>
      <c r="CW74">
        <v>1.0000000000000001E-5</v>
      </c>
      <c r="CX74">
        <v>0.57229738456854751</v>
      </c>
      <c r="CY74">
        <v>0.57229738456854751</v>
      </c>
      <c r="CZ74">
        <v>0.01</v>
      </c>
      <c r="DA74">
        <v>0.3</v>
      </c>
      <c r="DB74">
        <v>0.3</v>
      </c>
      <c r="DC74">
        <v>0.3</v>
      </c>
    </row>
    <row r="75" spans="1:107" x14ac:dyDescent="0.25">
      <c r="A75">
        <v>54</v>
      </c>
      <c r="B75">
        <v>180</v>
      </c>
      <c r="C75" t="s">
        <v>123</v>
      </c>
      <c r="D75">
        <v>0.50800000000000001</v>
      </c>
      <c r="E75">
        <v>508</v>
      </c>
      <c r="F75">
        <v>1.1130000000000001E-2</v>
      </c>
      <c r="G75">
        <v>11.13</v>
      </c>
      <c r="H75">
        <v>45.642407906558844</v>
      </c>
      <c r="I75">
        <v>100</v>
      </c>
      <c r="R75">
        <v>51</v>
      </c>
      <c r="S75" t="s">
        <v>71</v>
      </c>
      <c r="T75" t="s">
        <v>72</v>
      </c>
      <c r="U75">
        <v>17.5</v>
      </c>
      <c r="V75">
        <v>0</v>
      </c>
      <c r="W75">
        <v>37.5</v>
      </c>
      <c r="X75">
        <v>1.1000000000000001</v>
      </c>
      <c r="Y75">
        <v>0.9</v>
      </c>
      <c r="Z75">
        <v>0</v>
      </c>
      <c r="AB75">
        <v>65.832074055974118</v>
      </c>
      <c r="AJ75">
        <v>4.1871071672264346</v>
      </c>
      <c r="AK75">
        <v>0.2</v>
      </c>
      <c r="AZ75">
        <v>0</v>
      </c>
      <c r="BA75">
        <v>0</v>
      </c>
      <c r="BB75">
        <v>3.8208372822910284</v>
      </c>
      <c r="BC75">
        <v>-3.5227188000000003</v>
      </c>
      <c r="BD75">
        <v>0.53883259999999999</v>
      </c>
      <c r="BE75">
        <v>2.5446767599999998</v>
      </c>
      <c r="BF75">
        <v>8.0474648646334468E-2</v>
      </c>
      <c r="CE75">
        <v>2.1667009999999998</v>
      </c>
      <c r="CG75">
        <v>-1.6094379124341003</v>
      </c>
      <c r="CH75">
        <v>1.9132808875659</v>
      </c>
      <c r="CI75">
        <v>0.88303872457062615</v>
      </c>
      <c r="CJ75">
        <v>1.3893995965142862</v>
      </c>
      <c r="CK75">
        <v>2.5785366299557344</v>
      </c>
      <c r="CT75">
        <v>0.11433451860206911</v>
      </c>
      <c r="CU75">
        <v>1.1211271000328198</v>
      </c>
      <c r="CV75">
        <v>1.1211271000328198</v>
      </c>
      <c r="CW75">
        <v>1.0000000000000001E-5</v>
      </c>
      <c r="CX75">
        <v>0.57229738456854751</v>
      </c>
      <c r="CY75">
        <v>0.57229738456854751</v>
      </c>
      <c r="CZ75">
        <v>0.01</v>
      </c>
      <c r="DA75">
        <v>0.3</v>
      </c>
      <c r="DB75">
        <v>0.3</v>
      </c>
      <c r="DC75">
        <v>0.3</v>
      </c>
    </row>
    <row r="76" spans="1:107" x14ac:dyDescent="0.25">
      <c r="A76">
        <v>55</v>
      </c>
      <c r="B76">
        <v>176</v>
      </c>
      <c r="C76" t="s">
        <v>123</v>
      </c>
      <c r="D76">
        <v>0.60960000000000003</v>
      </c>
      <c r="E76">
        <v>609.6</v>
      </c>
      <c r="F76">
        <v>9.5299999999999985E-3</v>
      </c>
      <c r="G76">
        <v>9.5299999999999994</v>
      </c>
      <c r="H76">
        <v>63.966421825813235</v>
      </c>
      <c r="I76">
        <v>15</v>
      </c>
      <c r="R76">
        <v>44</v>
      </c>
      <c r="S76" t="s">
        <v>71</v>
      </c>
      <c r="T76" t="s">
        <v>74</v>
      </c>
      <c r="U76">
        <v>18</v>
      </c>
      <c r="V76">
        <v>0</v>
      </c>
      <c r="W76">
        <v>75</v>
      </c>
      <c r="X76">
        <v>0.72</v>
      </c>
      <c r="Y76">
        <v>0.9</v>
      </c>
      <c r="Z76">
        <v>0</v>
      </c>
      <c r="AB76">
        <v>103.41620360793024</v>
      </c>
      <c r="AJ76">
        <v>4.6387616578039736</v>
      </c>
      <c r="AK76">
        <v>0.2</v>
      </c>
      <c r="AZ76">
        <v>0</v>
      </c>
      <c r="BA76">
        <v>0</v>
      </c>
      <c r="BB76">
        <v>4.158358286706326</v>
      </c>
      <c r="BC76">
        <v>-3.6995335599999999</v>
      </c>
      <c r="BD76">
        <v>0.49783511999999996</v>
      </c>
      <c r="BE76">
        <v>2.4346421120000001</v>
      </c>
      <c r="BF76">
        <v>0.49777159465007936</v>
      </c>
      <c r="CE76">
        <v>2.2503511999999999</v>
      </c>
      <c r="CG76">
        <v>-1.6094379124341003</v>
      </c>
      <c r="CH76">
        <v>2.0900956475658994</v>
      </c>
      <c r="CI76">
        <v>0.92878642567697856</v>
      </c>
      <c r="CJ76">
        <v>1.6494814191438925</v>
      </c>
      <c r="CK76">
        <v>3.3133086696332161</v>
      </c>
      <c r="CT76">
        <v>1.3764381522832954</v>
      </c>
      <c r="CU76">
        <v>3.9607688176086686</v>
      </c>
      <c r="CV76">
        <v>3.9607688176086686</v>
      </c>
      <c r="CW76">
        <v>1.0000000000000001E-5</v>
      </c>
      <c r="CX76">
        <v>0.57229738456854751</v>
      </c>
      <c r="CY76">
        <v>0.57229738456854751</v>
      </c>
      <c r="CZ76">
        <v>0.01</v>
      </c>
      <c r="DA76">
        <v>0.3</v>
      </c>
      <c r="DB76">
        <v>0.3</v>
      </c>
      <c r="DC76">
        <v>0.3</v>
      </c>
    </row>
    <row r="77" spans="1:107" x14ac:dyDescent="0.25">
      <c r="A77">
        <v>56</v>
      </c>
      <c r="B77">
        <v>179</v>
      </c>
      <c r="C77" t="s">
        <v>123</v>
      </c>
      <c r="D77">
        <v>0.76200000000000001</v>
      </c>
      <c r="E77">
        <v>762</v>
      </c>
      <c r="F77">
        <v>1.2699999999999999E-2</v>
      </c>
      <c r="G77">
        <v>12.7</v>
      </c>
      <c r="H77">
        <v>60</v>
      </c>
      <c r="I77">
        <v>30</v>
      </c>
      <c r="R77">
        <v>37</v>
      </c>
      <c r="S77" t="s">
        <v>71</v>
      </c>
      <c r="T77" t="s">
        <v>76</v>
      </c>
      <c r="U77">
        <v>18.5</v>
      </c>
      <c r="V77">
        <v>0</v>
      </c>
      <c r="W77">
        <v>125</v>
      </c>
      <c r="X77">
        <v>0.4</v>
      </c>
      <c r="Y77">
        <v>0.9</v>
      </c>
      <c r="Z77">
        <v>0</v>
      </c>
      <c r="AB77">
        <v>119.69468010177111</v>
      </c>
      <c r="AJ77">
        <v>4.7849441679820552</v>
      </c>
      <c r="AK77">
        <v>0.25</v>
      </c>
      <c r="AZ77">
        <v>0</v>
      </c>
      <c r="BA77">
        <v>0</v>
      </c>
      <c r="BB77">
        <v>4.0943445622221004</v>
      </c>
      <c r="BC77">
        <v>-3.5650431999999999</v>
      </c>
      <c r="BD77">
        <v>0.52183889999999999</v>
      </c>
      <c r="BE77">
        <v>2.3921401399999995</v>
      </c>
      <c r="BF77">
        <v>0.529226419371848</v>
      </c>
      <c r="CE77">
        <v>2.2276265</v>
      </c>
      <c r="CG77">
        <v>-1.3862943611198906</v>
      </c>
      <c r="CH77">
        <v>2.1787488388801091</v>
      </c>
      <c r="CI77">
        <v>0.97805841279052352</v>
      </c>
      <c r="CJ77">
        <v>2.2507436237850884</v>
      </c>
      <c r="CK77">
        <v>4.3131005062771068</v>
      </c>
      <c r="CT77">
        <v>2.4501867856489552</v>
      </c>
      <c r="CU77">
        <v>11.590511458250456</v>
      </c>
      <c r="CV77">
        <v>11.590511458250456</v>
      </c>
      <c r="CW77">
        <v>1.0000000000000001E-5</v>
      </c>
      <c r="CX77">
        <v>0.57229738456854751</v>
      </c>
      <c r="CY77">
        <v>0.57229738456854751</v>
      </c>
      <c r="CZ77">
        <v>0.01</v>
      </c>
      <c r="DA77">
        <v>0.3</v>
      </c>
      <c r="DB77">
        <v>0.3</v>
      </c>
      <c r="DC77">
        <v>0.3</v>
      </c>
    </row>
    <row r="78" spans="1:107" x14ac:dyDescent="0.25">
      <c r="A78">
        <v>57</v>
      </c>
      <c r="B78">
        <v>177</v>
      </c>
      <c r="C78" t="s">
        <v>123</v>
      </c>
      <c r="D78">
        <v>0.86360000000000003</v>
      </c>
      <c r="E78">
        <v>863.6</v>
      </c>
      <c r="F78">
        <v>1.1130000000000001E-2</v>
      </c>
      <c r="G78">
        <v>11.13</v>
      </c>
      <c r="H78">
        <v>77.592093441150041</v>
      </c>
      <c r="I78">
        <v>50</v>
      </c>
      <c r="R78">
        <v>30</v>
      </c>
      <c r="S78" t="s">
        <v>71</v>
      </c>
      <c r="T78" t="s">
        <v>72</v>
      </c>
      <c r="U78">
        <v>17.5</v>
      </c>
      <c r="V78">
        <v>0</v>
      </c>
      <c r="W78">
        <v>37.5</v>
      </c>
      <c r="X78">
        <v>1.1000000000000001</v>
      </c>
      <c r="Y78">
        <v>0.9</v>
      </c>
      <c r="Z78">
        <v>0</v>
      </c>
      <c r="AB78">
        <v>111.91452589515602</v>
      </c>
      <c r="AJ78">
        <v>4.7177354182886058</v>
      </c>
      <c r="AK78">
        <v>0.28000000000000003</v>
      </c>
      <c r="AZ78">
        <v>0</v>
      </c>
      <c r="BA78">
        <v>0</v>
      </c>
      <c r="BB78">
        <v>4.3514655333531991</v>
      </c>
      <c r="BC78">
        <v>-3.4473329600000002</v>
      </c>
      <c r="BD78">
        <v>0.54384142000000002</v>
      </c>
      <c r="BE78">
        <v>2.3724054919999999</v>
      </c>
      <c r="BF78">
        <v>0.64839201388581147</v>
      </c>
      <c r="CE78">
        <v>2.2020766999999997</v>
      </c>
      <c r="CG78">
        <v>-1.2729656758128873</v>
      </c>
      <c r="CH78">
        <v>2.1743672841871131</v>
      </c>
      <c r="CI78">
        <v>0.98741668906769386</v>
      </c>
      <c r="CJ78">
        <v>2.5311097606942257</v>
      </c>
      <c r="CK78">
        <v>4.6541320090960072</v>
      </c>
      <c r="CT78">
        <v>2.9301185309818187</v>
      </c>
      <c r="CU78">
        <v>18.729850432665824</v>
      </c>
      <c r="CV78">
        <v>18.729850432665824</v>
      </c>
      <c r="CW78">
        <v>1.0000000000000001E-5</v>
      </c>
      <c r="CX78">
        <v>0.57229738456854751</v>
      </c>
      <c r="CY78">
        <v>0.57229738456854751</v>
      </c>
      <c r="CZ78">
        <v>0.01</v>
      </c>
      <c r="DA78">
        <v>0.3</v>
      </c>
      <c r="DB78">
        <v>0.3</v>
      </c>
      <c r="DC78">
        <v>0.3</v>
      </c>
    </row>
    <row r="79" spans="1:107" x14ac:dyDescent="0.25">
      <c r="A79">
        <v>58</v>
      </c>
      <c r="B79">
        <v>179</v>
      </c>
      <c r="C79" t="s">
        <v>123</v>
      </c>
      <c r="D79">
        <v>1.0668</v>
      </c>
      <c r="E79">
        <v>1066.8</v>
      </c>
      <c r="F79">
        <v>1.2699999999999999E-2</v>
      </c>
      <c r="G79">
        <v>12.7</v>
      </c>
      <c r="H79">
        <v>84</v>
      </c>
      <c r="I79">
        <v>100</v>
      </c>
      <c r="R79">
        <v>23</v>
      </c>
      <c r="S79" t="s">
        <v>71</v>
      </c>
      <c r="T79" t="s">
        <v>74</v>
      </c>
      <c r="U79">
        <v>18</v>
      </c>
      <c r="V79">
        <v>0</v>
      </c>
      <c r="W79">
        <v>75</v>
      </c>
      <c r="X79">
        <v>0.72</v>
      </c>
      <c r="Y79">
        <v>0.9</v>
      </c>
      <c r="Z79">
        <v>0</v>
      </c>
      <c r="AB79">
        <v>180.97835631387795</v>
      </c>
      <c r="AJ79">
        <v>5.1983774457393972</v>
      </c>
      <c r="AK79">
        <v>0.18</v>
      </c>
      <c r="AZ79">
        <v>0</v>
      </c>
      <c r="BA79">
        <v>0</v>
      </c>
      <c r="BB79">
        <v>4.4308167988433134</v>
      </c>
      <c r="BC79">
        <v>-3.1838624800000002</v>
      </c>
      <c r="BD79">
        <v>0.59384645999999996</v>
      </c>
      <c r="BE79">
        <v>2.3415361959999998</v>
      </c>
      <c r="BF79">
        <v>0.92075337266705359</v>
      </c>
      <c r="CE79">
        <v>2.1405770999999998</v>
      </c>
      <c r="CG79">
        <v>-1.7147984280919266</v>
      </c>
      <c r="CH79">
        <v>1.4690640519080735</v>
      </c>
      <c r="CI79">
        <v>0.68629345418488952</v>
      </c>
      <c r="CJ79">
        <v>0.8409150977233486</v>
      </c>
      <c r="CK79">
        <v>1.416048009654463</v>
      </c>
      <c r="CT79">
        <v>-4.7348136784832739E-3</v>
      </c>
      <c r="CU79">
        <v>0.99527637788151735</v>
      </c>
      <c r="CV79">
        <v>0.99527637788151735</v>
      </c>
      <c r="CW79">
        <v>1.0000000000000001E-5</v>
      </c>
      <c r="CX79">
        <v>0.57229738456854751</v>
      </c>
      <c r="CY79">
        <v>0.57229738456854751</v>
      </c>
      <c r="CZ79">
        <v>0.01</v>
      </c>
      <c r="DA79">
        <v>0.3</v>
      </c>
      <c r="DB79">
        <v>0.3</v>
      </c>
      <c r="DC79">
        <v>0.3</v>
      </c>
    </row>
    <row r="80" spans="1:107" x14ac:dyDescent="0.25">
      <c r="A80">
        <v>59</v>
      </c>
      <c r="B80">
        <v>175</v>
      </c>
      <c r="C80" t="s">
        <v>123</v>
      </c>
      <c r="D80">
        <v>0.60960000000000003</v>
      </c>
      <c r="E80">
        <v>609.6</v>
      </c>
      <c r="F80">
        <v>1.1130000000000001E-2</v>
      </c>
      <c r="G80">
        <v>11.13</v>
      </c>
      <c r="H80">
        <v>54.770889487870619</v>
      </c>
      <c r="I80">
        <v>150</v>
      </c>
      <c r="R80">
        <v>16</v>
      </c>
      <c r="S80" t="s">
        <v>71</v>
      </c>
      <c r="T80" t="s">
        <v>76</v>
      </c>
      <c r="U80">
        <v>18.5</v>
      </c>
      <c r="V80">
        <v>0</v>
      </c>
      <c r="W80">
        <v>125</v>
      </c>
      <c r="X80">
        <v>0.4</v>
      </c>
      <c r="Y80">
        <v>0.9</v>
      </c>
      <c r="Z80">
        <v>0</v>
      </c>
      <c r="AB80">
        <v>95.755744081416907</v>
      </c>
      <c r="AJ80">
        <v>4.5618006166678455</v>
      </c>
      <c r="AK80">
        <v>0.4</v>
      </c>
      <c r="AZ80">
        <v>0</v>
      </c>
      <c r="BA80">
        <v>0</v>
      </c>
      <c r="BB80">
        <v>4.0031588390849828</v>
      </c>
      <c r="BC80">
        <v>-3.32085856</v>
      </c>
      <c r="BD80">
        <v>0.57883511999999993</v>
      </c>
      <c r="BE80">
        <v>2.550742112</v>
      </c>
      <c r="BF80">
        <v>0.37086793548713748</v>
      </c>
      <c r="CE80">
        <v>2.1099511999999998</v>
      </c>
      <c r="CG80">
        <v>-0.916290731874155</v>
      </c>
      <c r="CH80">
        <v>2.4045678281258449</v>
      </c>
      <c r="CI80">
        <v>1.13963196311168</v>
      </c>
      <c r="CJ80">
        <v>5</v>
      </c>
      <c r="CK80">
        <v>8.6380384106617445</v>
      </c>
      <c r="CT80">
        <v>6.4581642341488816</v>
      </c>
      <c r="CU80">
        <v>100</v>
      </c>
      <c r="CV80">
        <v>100</v>
      </c>
      <c r="CW80">
        <v>1.0000000000000001E-5</v>
      </c>
      <c r="CX80">
        <v>0.57229738456854751</v>
      </c>
      <c r="CY80">
        <v>0.57229738456854751</v>
      </c>
      <c r="CZ80">
        <v>0.01</v>
      </c>
      <c r="DA80">
        <v>0.3</v>
      </c>
      <c r="DB80">
        <v>0.3</v>
      </c>
      <c r="DC80">
        <v>0.3</v>
      </c>
    </row>
    <row r="81" spans="1:107" x14ac:dyDescent="0.25">
      <c r="A81">
        <v>60</v>
      </c>
      <c r="B81">
        <v>180</v>
      </c>
      <c r="C81" t="s">
        <v>123</v>
      </c>
      <c r="D81">
        <v>0.60960000000000003</v>
      </c>
      <c r="E81">
        <v>609.6</v>
      </c>
      <c r="F81">
        <v>1.1130000000000001E-2</v>
      </c>
      <c r="G81">
        <v>11.13</v>
      </c>
      <c r="H81">
        <v>54.770889487870619</v>
      </c>
      <c r="I81">
        <v>200</v>
      </c>
      <c r="R81">
        <v>15</v>
      </c>
      <c r="S81" t="s">
        <v>71</v>
      </c>
      <c r="T81" t="s">
        <v>72</v>
      </c>
      <c r="U81">
        <v>17.5</v>
      </c>
      <c r="V81">
        <v>0</v>
      </c>
      <c r="W81">
        <v>37.5</v>
      </c>
      <c r="X81">
        <v>1.1000000000000001</v>
      </c>
      <c r="Y81">
        <v>0.9</v>
      </c>
      <c r="Z81">
        <v>0</v>
      </c>
      <c r="AB81">
        <v>78.998488867168945</v>
      </c>
      <c r="AJ81">
        <v>4.3694287240203895</v>
      </c>
      <c r="AK81">
        <v>1.2</v>
      </c>
      <c r="AZ81">
        <v>0</v>
      </c>
      <c r="BA81">
        <v>0</v>
      </c>
      <c r="BB81">
        <v>4.0031588390849828</v>
      </c>
      <c r="BC81">
        <v>-3.18060856</v>
      </c>
      <c r="BD81">
        <v>0.60883511999999995</v>
      </c>
      <c r="BE81">
        <v>2.5937421120000002</v>
      </c>
      <c r="BF81">
        <v>0.28025382529312659</v>
      </c>
      <c r="CE81">
        <v>2.0579511999999998</v>
      </c>
      <c r="CG81">
        <v>0.18232155679395459</v>
      </c>
      <c r="CH81">
        <v>3.3629301167939545</v>
      </c>
      <c r="CI81">
        <v>1.6341155790253699</v>
      </c>
      <c r="CJ81">
        <v>5</v>
      </c>
      <c r="CK81">
        <v>8.2124040413437385</v>
      </c>
      <c r="CT81">
        <v>5.8989157546368647</v>
      </c>
      <c r="CU81">
        <v>100</v>
      </c>
      <c r="CV81">
        <v>100</v>
      </c>
      <c r="CW81">
        <v>1.0000000000000001E-5</v>
      </c>
      <c r="CX81">
        <v>0.57229738456854751</v>
      </c>
      <c r="CY81">
        <v>0.57229738456854751</v>
      </c>
      <c r="CZ81">
        <v>0.01</v>
      </c>
      <c r="DA81">
        <v>0.3</v>
      </c>
      <c r="DB81">
        <v>0.3</v>
      </c>
      <c r="DC81">
        <v>0.3</v>
      </c>
    </row>
    <row r="82" spans="1:107" x14ac:dyDescent="0.25">
      <c r="A82">
        <v>61</v>
      </c>
      <c r="B82">
        <v>4</v>
      </c>
      <c r="C82" t="s">
        <v>124</v>
      </c>
      <c r="D82">
        <v>1.0668</v>
      </c>
      <c r="E82">
        <v>1066.8</v>
      </c>
      <c r="F82">
        <v>9.5250000000000005E-3</v>
      </c>
      <c r="G82">
        <v>9.5250000000000004</v>
      </c>
      <c r="H82">
        <v>111.99999999999999</v>
      </c>
      <c r="I82">
        <v>30</v>
      </c>
      <c r="J82" t="s">
        <v>70</v>
      </c>
      <c r="K82">
        <v>8</v>
      </c>
      <c r="L82">
        <v>10</v>
      </c>
      <c r="M82">
        <v>359000</v>
      </c>
      <c r="N82">
        <v>455000</v>
      </c>
      <c r="O82">
        <v>1.9969902892117808</v>
      </c>
      <c r="P82">
        <v>1.9041242414694344</v>
      </c>
      <c r="Q82">
        <v>0.69164119173371341</v>
      </c>
      <c r="R82">
        <v>45</v>
      </c>
      <c r="S82" t="s">
        <v>71</v>
      </c>
      <c r="T82" t="s">
        <v>72</v>
      </c>
      <c r="U82">
        <v>17.5</v>
      </c>
      <c r="V82">
        <v>0</v>
      </c>
      <c r="W82">
        <v>37.5</v>
      </c>
      <c r="X82">
        <v>1.1000000000000001</v>
      </c>
      <c r="Y82">
        <v>0.9</v>
      </c>
      <c r="Z82">
        <v>0.78739999999999999</v>
      </c>
      <c r="AA82">
        <v>1.8</v>
      </c>
      <c r="AB82">
        <v>138.24735551754566</v>
      </c>
      <c r="AE82">
        <v>0</v>
      </c>
      <c r="AF82">
        <v>0</v>
      </c>
      <c r="AG82">
        <v>205.62569999999999</v>
      </c>
      <c r="AH82">
        <v>5.3260575257691611</v>
      </c>
      <c r="AI82">
        <v>4.7184988712950942</v>
      </c>
      <c r="AJ82">
        <v>4.9290445119558122</v>
      </c>
      <c r="AK82">
        <v>2.2496671510000001</v>
      </c>
      <c r="AL82">
        <v>3.7532999999999999</v>
      </c>
      <c r="AM82">
        <v>0.14510000000000001</v>
      </c>
      <c r="AN82">
        <v>1.2497</v>
      </c>
      <c r="AO82">
        <v>-0.46100000000000002</v>
      </c>
      <c r="AP82">
        <v>0.39140000000000003</v>
      </c>
      <c r="AQ82">
        <v>-0.21310000000000001</v>
      </c>
      <c r="AR82">
        <v>-0.34139999999999998</v>
      </c>
      <c r="AY82">
        <v>-0.39465453966325215</v>
      </c>
      <c r="BC82">
        <v>-1.1082000000000001</v>
      </c>
      <c r="BD82">
        <v>0.10630000000000001</v>
      </c>
      <c r="BE82">
        <v>-0.1439</v>
      </c>
      <c r="BF82">
        <v>0.27879999999999999</v>
      </c>
      <c r="BG82">
        <v>-0.31030000000000002</v>
      </c>
      <c r="BH82">
        <v>1.2553000000000001</v>
      </c>
      <c r="BI82">
        <v>2.9999999999999997E-4</v>
      </c>
      <c r="BJ82">
        <v>5.1999999999999998E-3</v>
      </c>
      <c r="BK82">
        <v>-8.5900000000000004E-2</v>
      </c>
      <c r="BL82">
        <v>5.9999999999999995E-4</v>
      </c>
      <c r="BM82">
        <v>-0.21759999999999999</v>
      </c>
      <c r="BN82">
        <v>-2.69E-2</v>
      </c>
      <c r="BO82">
        <v>0.57389999999999997</v>
      </c>
      <c r="BP82">
        <v>0.34460000000000002</v>
      </c>
      <c r="CB82">
        <v>0</v>
      </c>
      <c r="CC82">
        <v>0</v>
      </c>
      <c r="CD82">
        <v>1</v>
      </c>
      <c r="CE82">
        <v>1.9037395546714377</v>
      </c>
      <c r="CG82">
        <v>0.8107822723842909</v>
      </c>
      <c r="CN82">
        <v>1.2054368120475432</v>
      </c>
      <c r="CO82">
        <v>2.2948377397519475</v>
      </c>
      <c r="CP82">
        <v>0.50157643001866858</v>
      </c>
      <c r="CQ82">
        <v>0</v>
      </c>
      <c r="CR82">
        <v>1.4849048381844421</v>
      </c>
      <c r="CS82">
        <v>-2.0065088184971575E-2</v>
      </c>
      <c r="CT82">
        <v>3.1530539197700866</v>
      </c>
      <c r="CU82">
        <v>23.407439981823291</v>
      </c>
      <c r="CV82">
        <v>1.0000000000000001E-5</v>
      </c>
      <c r="CW82">
        <v>23.407439981823291</v>
      </c>
      <c r="CX82">
        <v>0.3997</v>
      </c>
      <c r="CY82">
        <v>0.01</v>
      </c>
      <c r="CZ82">
        <v>0.3997</v>
      </c>
      <c r="DA82">
        <v>0.3</v>
      </c>
      <c r="DB82">
        <v>0.3</v>
      </c>
      <c r="DC82">
        <v>0.3</v>
      </c>
    </row>
    <row r="83" spans="1:107" x14ac:dyDescent="0.25">
      <c r="A83">
        <v>62</v>
      </c>
      <c r="B83">
        <v>3</v>
      </c>
      <c r="C83" t="s">
        <v>124</v>
      </c>
      <c r="D83">
        <v>0.60960000000000003</v>
      </c>
      <c r="E83">
        <v>609.6</v>
      </c>
      <c r="F83">
        <v>9.5250000000000005E-3</v>
      </c>
      <c r="G83">
        <v>9.5250000000000004</v>
      </c>
      <c r="H83">
        <v>64</v>
      </c>
      <c r="I83">
        <v>50</v>
      </c>
      <c r="J83" t="s">
        <v>73</v>
      </c>
      <c r="K83">
        <v>8</v>
      </c>
      <c r="L83">
        <v>12</v>
      </c>
      <c r="M83">
        <v>414000</v>
      </c>
      <c r="N83">
        <v>517000</v>
      </c>
      <c r="O83">
        <v>2.5466769467238102</v>
      </c>
      <c r="P83">
        <v>2.4313344008036557</v>
      </c>
      <c r="Q83">
        <v>0.93478935117382533</v>
      </c>
      <c r="R83">
        <v>60</v>
      </c>
      <c r="S83" t="s">
        <v>71</v>
      </c>
      <c r="T83" t="s">
        <v>74</v>
      </c>
      <c r="U83">
        <v>18</v>
      </c>
      <c r="V83">
        <v>0</v>
      </c>
      <c r="W83">
        <v>75</v>
      </c>
      <c r="X83">
        <v>0.72</v>
      </c>
      <c r="Y83">
        <v>0.9</v>
      </c>
      <c r="Z83">
        <v>1</v>
      </c>
      <c r="AA83">
        <v>1.8</v>
      </c>
      <c r="AB83">
        <v>103.41620360793024</v>
      </c>
      <c r="AE83">
        <v>0</v>
      </c>
      <c r="AF83">
        <v>0</v>
      </c>
      <c r="AG83">
        <v>235.0008</v>
      </c>
      <c r="AH83">
        <v>5.4595889183936839</v>
      </c>
      <c r="AI83">
        <v>4.1588830833596715</v>
      </c>
      <c r="AJ83">
        <v>4.6387616578039736</v>
      </c>
      <c r="AK83">
        <v>2.3997944580000001</v>
      </c>
      <c r="AL83">
        <v>4.3182999999999998</v>
      </c>
      <c r="AM83">
        <v>-2.7900000000000001E-2</v>
      </c>
      <c r="AN83">
        <v>1.0497000000000001</v>
      </c>
      <c r="AO83">
        <v>-0.46910000000000002</v>
      </c>
      <c r="AP83">
        <v>0.29149999999999998</v>
      </c>
      <c r="AQ83">
        <v>-0.28610000000000002</v>
      </c>
      <c r="AR83">
        <v>-0.1348</v>
      </c>
      <c r="AY83">
        <v>-0.17613126407050839</v>
      </c>
      <c r="BC83">
        <v>-2.1276999999999999</v>
      </c>
      <c r="BD83">
        <v>0.14760000000000001</v>
      </c>
      <c r="BE83">
        <v>-0.21829999999999999</v>
      </c>
      <c r="BF83">
        <v>0.42270000000000002</v>
      </c>
      <c r="BG83">
        <v>-0.53720000000000001</v>
      </c>
      <c r="BH83">
        <v>1.252</v>
      </c>
      <c r="BI83">
        <v>-5.9999999999999995E-4</v>
      </c>
      <c r="BJ83">
        <v>5.3E-3</v>
      </c>
      <c r="BK83">
        <v>-4.8500000000000001E-2</v>
      </c>
      <c r="BL83">
        <v>1.2999999999999999E-3</v>
      </c>
      <c r="BM83">
        <v>-0.56599999999999995</v>
      </c>
      <c r="BN83">
        <v>-3.2099999999999997E-2</v>
      </c>
      <c r="BO83">
        <v>0.84970000000000001</v>
      </c>
      <c r="BP83">
        <v>9.01E-2</v>
      </c>
      <c r="CB83">
        <v>0</v>
      </c>
      <c r="CC83">
        <v>0</v>
      </c>
      <c r="CD83">
        <v>1</v>
      </c>
      <c r="CE83">
        <v>1.1232245205407614</v>
      </c>
      <c r="CG83">
        <v>0.8753830911863717</v>
      </c>
      <c r="CN83">
        <v>1.05151435525688</v>
      </c>
      <c r="CO83">
        <v>1.1810867075251368</v>
      </c>
      <c r="CP83">
        <v>0.61385114310388755</v>
      </c>
      <c r="CQ83">
        <v>0</v>
      </c>
      <c r="CR83">
        <v>2.3077682358050104</v>
      </c>
      <c r="CS83">
        <v>0.26588836192033111</v>
      </c>
      <c r="CT83">
        <v>2.240894448354366</v>
      </c>
      <c r="CU83">
        <v>9.4017368957857244</v>
      </c>
      <c r="CV83">
        <v>1.0000000000000001E-5</v>
      </c>
      <c r="CW83">
        <v>9.4017368957857244</v>
      </c>
      <c r="CX83">
        <v>0.50170000000000003</v>
      </c>
      <c r="CY83">
        <v>0.01</v>
      </c>
      <c r="CZ83">
        <v>0.50170000000000003</v>
      </c>
      <c r="DA83">
        <v>0.3</v>
      </c>
      <c r="DB83">
        <v>0.3</v>
      </c>
      <c r="DC83">
        <v>0.3</v>
      </c>
    </row>
    <row r="84" spans="1:107" x14ac:dyDescent="0.25">
      <c r="A84">
        <v>63</v>
      </c>
      <c r="B84">
        <v>1</v>
      </c>
      <c r="C84" t="s">
        <v>124</v>
      </c>
      <c r="D84">
        <v>0.40960000000000002</v>
      </c>
      <c r="E84">
        <v>409.6</v>
      </c>
      <c r="F84">
        <v>9.5250000000000005E-3</v>
      </c>
      <c r="G84">
        <v>9.5250000000000004</v>
      </c>
      <c r="H84">
        <v>43.00262467191601</v>
      </c>
      <c r="I84">
        <v>100</v>
      </c>
      <c r="J84" t="s">
        <v>75</v>
      </c>
      <c r="K84">
        <v>14</v>
      </c>
      <c r="L84">
        <v>15</v>
      </c>
      <c r="M84">
        <v>483000</v>
      </c>
      <c r="N84">
        <v>565000</v>
      </c>
      <c r="O84">
        <v>2.8799444073326219</v>
      </c>
      <c r="P84">
        <v>2.7690517990613435</v>
      </c>
      <c r="Q84">
        <v>1.0577709909520427</v>
      </c>
      <c r="R84">
        <v>75</v>
      </c>
      <c r="S84" t="s">
        <v>71</v>
      </c>
      <c r="T84" t="s">
        <v>76</v>
      </c>
      <c r="U84">
        <v>18.5</v>
      </c>
      <c r="V84">
        <v>0</v>
      </c>
      <c r="W84">
        <v>125</v>
      </c>
      <c r="X84">
        <v>0.4</v>
      </c>
      <c r="Y84">
        <v>0.9</v>
      </c>
      <c r="Z84">
        <v>1.2</v>
      </c>
      <c r="AA84">
        <v>2.9296874999999996</v>
      </c>
      <c r="AB84">
        <v>64.339817545518969</v>
      </c>
      <c r="AE84">
        <v>0</v>
      </c>
      <c r="AF84">
        <v>0</v>
      </c>
      <c r="AG84">
        <v>263.16800000000001</v>
      </c>
      <c r="AH84">
        <v>5.5727926115125355</v>
      </c>
      <c r="AI84">
        <v>3.7612611527125335</v>
      </c>
      <c r="AJ84">
        <v>4.1641786860207075</v>
      </c>
      <c r="AK84">
        <v>2.5498958799999998</v>
      </c>
      <c r="AL84">
        <v>5.5951000000000004</v>
      </c>
      <c r="AM84">
        <v>1.6E-2</v>
      </c>
      <c r="AN84">
        <v>1.2641</v>
      </c>
      <c r="AO84">
        <v>-0.52429999999999999</v>
      </c>
      <c r="AP84">
        <v>0.35830000000000001</v>
      </c>
      <c r="AQ84">
        <v>-0.35920000000000002</v>
      </c>
      <c r="AR84">
        <v>-0.2482</v>
      </c>
      <c r="AY84">
        <v>-8.7846462124065994E-2</v>
      </c>
      <c r="BC84">
        <v>-2.3450000000000002</v>
      </c>
      <c r="BD84">
        <v>0.19470000000000001</v>
      </c>
      <c r="BE84">
        <v>-0.2044</v>
      </c>
      <c r="BF84">
        <v>0.4143</v>
      </c>
      <c r="BG84">
        <v>-0.55710000000000004</v>
      </c>
      <c r="BH84">
        <v>1.0931</v>
      </c>
      <c r="BI84">
        <v>1E-4</v>
      </c>
      <c r="BJ84">
        <v>3.5000000000000001E-3</v>
      </c>
      <c r="BK84">
        <v>-4.07E-2</v>
      </c>
      <c r="BL84">
        <v>1.6000000000000001E-3</v>
      </c>
      <c r="BM84">
        <v>-0.65949999999999998</v>
      </c>
      <c r="BN84">
        <v>-3.0099999999999998E-2</v>
      </c>
      <c r="BO84">
        <v>0.84219999999999995</v>
      </c>
      <c r="BP84">
        <v>0.50680000000000003</v>
      </c>
      <c r="CB84">
        <v>0</v>
      </c>
      <c r="CC84">
        <v>0</v>
      </c>
      <c r="CD84">
        <v>0</v>
      </c>
      <c r="CE84">
        <v>0.71877833821449522</v>
      </c>
      <c r="CG84">
        <v>0.93605252696416252</v>
      </c>
      <c r="CN84">
        <v>1.0238989890882286</v>
      </c>
      <c r="CO84">
        <v>0.73595641387633859</v>
      </c>
      <c r="CP84">
        <v>0.7323175464331303</v>
      </c>
      <c r="CQ84">
        <v>0</v>
      </c>
      <c r="CR84">
        <v>2.3088079789496434</v>
      </c>
      <c r="CS84">
        <v>0.49725308974858501</v>
      </c>
      <c r="CT84">
        <v>1.9293350290076969</v>
      </c>
      <c r="CU84">
        <v>6.8849304400058262</v>
      </c>
      <c r="CV84">
        <v>1.0000000000000001E-5</v>
      </c>
      <c r="CW84">
        <v>6.8849304400058262</v>
      </c>
      <c r="CX84">
        <v>0.43780000000000002</v>
      </c>
      <c r="CY84">
        <v>0.01</v>
      </c>
      <c r="CZ84">
        <v>0.43780000000000002</v>
      </c>
      <c r="DA84">
        <v>0.3</v>
      </c>
      <c r="DB84">
        <v>0.3</v>
      </c>
      <c r="DC84">
        <v>0.3</v>
      </c>
    </row>
    <row r="85" spans="1:107" x14ac:dyDescent="0.25">
      <c r="A85">
        <v>64</v>
      </c>
      <c r="B85">
        <v>2</v>
      </c>
      <c r="C85" t="s">
        <v>124</v>
      </c>
      <c r="D85">
        <v>0.89600000000000002</v>
      </c>
      <c r="E85">
        <v>896</v>
      </c>
      <c r="F85">
        <v>9.5250000000000005E-3</v>
      </c>
      <c r="G85">
        <v>9.5250000000000004</v>
      </c>
      <c r="H85">
        <v>94.068241469816272</v>
      </c>
      <c r="I85">
        <v>300</v>
      </c>
      <c r="J85" t="s">
        <v>70</v>
      </c>
      <c r="K85">
        <v>8</v>
      </c>
      <c r="L85">
        <v>10</v>
      </c>
      <c r="M85">
        <v>359000</v>
      </c>
      <c r="N85">
        <v>455000</v>
      </c>
      <c r="O85">
        <v>1.9969902892117808</v>
      </c>
      <c r="P85">
        <v>1.9041242414694344</v>
      </c>
      <c r="Q85">
        <v>0.69164119173371341</v>
      </c>
      <c r="R85">
        <v>90</v>
      </c>
      <c r="S85" t="s">
        <v>71</v>
      </c>
      <c r="T85" t="s">
        <v>72</v>
      </c>
      <c r="U85">
        <v>17.5</v>
      </c>
      <c r="V85">
        <v>0</v>
      </c>
      <c r="W85">
        <v>37.5</v>
      </c>
      <c r="X85">
        <v>1.1000000000000001</v>
      </c>
      <c r="Y85">
        <v>0.9</v>
      </c>
      <c r="Z85">
        <v>2.5</v>
      </c>
      <c r="AA85">
        <v>2.7901785714285712</v>
      </c>
      <c r="AB85">
        <v>116.11326447667876</v>
      </c>
      <c r="AE85">
        <v>0</v>
      </c>
      <c r="AF85">
        <v>0</v>
      </c>
      <c r="AG85">
        <v>172.70400000000001</v>
      </c>
      <c r="AH85">
        <v>5.1515791464362319</v>
      </c>
      <c r="AI85">
        <v>4.5440204919621658</v>
      </c>
      <c r="AJ85">
        <v>4.7545661326228839</v>
      </c>
      <c r="AK85">
        <v>2.699997304</v>
      </c>
      <c r="AL85">
        <v>14.575100000000001</v>
      </c>
      <c r="AM85">
        <v>0.1356</v>
      </c>
      <c r="AN85">
        <v>2.9990000000000001</v>
      </c>
      <c r="AO85">
        <v>-0.94710000000000005</v>
      </c>
      <c r="AP85">
        <v>0.6603</v>
      </c>
      <c r="AQ85">
        <v>-1.2488999999999999</v>
      </c>
      <c r="AR85">
        <v>-0.44140000000000001</v>
      </c>
      <c r="AY85">
        <v>2.6397743044482214</v>
      </c>
      <c r="BC85">
        <v>5.1353999999999997</v>
      </c>
      <c r="BD85">
        <v>-4.9599999999999998E-2</v>
      </c>
      <c r="BE85">
        <v>0.44590000000000002</v>
      </c>
      <c r="BF85">
        <v>-0.83709999999999996</v>
      </c>
      <c r="BG85">
        <v>0.63090000000000002</v>
      </c>
      <c r="BH85">
        <v>0.91390000000000005</v>
      </c>
      <c r="BI85">
        <v>2.5000000000000001E-3</v>
      </c>
      <c r="BJ85">
        <v>1.6000000000000001E-3</v>
      </c>
      <c r="BK85">
        <v>-9.7500000000000003E-2</v>
      </c>
      <c r="BL85">
        <v>1.1999999999999999E-3</v>
      </c>
      <c r="BM85">
        <v>0.46479999999999999</v>
      </c>
      <c r="BN85">
        <v>8.0000000000000004E-4</v>
      </c>
      <c r="BO85">
        <v>6.7900000000000002E-2</v>
      </c>
      <c r="BP85">
        <v>0.58979999999999999</v>
      </c>
      <c r="CB85">
        <v>0</v>
      </c>
      <c r="CC85">
        <v>1</v>
      </c>
      <c r="CD85">
        <v>0</v>
      </c>
      <c r="CE85">
        <v>1.2195650509554765</v>
      </c>
      <c r="CG85">
        <v>0.99325077449126642</v>
      </c>
      <c r="CN85">
        <v>-1.6465235299569549</v>
      </c>
      <c r="CO85">
        <v>-2.0080425527113448</v>
      </c>
      <c r="CP85">
        <v>-0.22538341640132342</v>
      </c>
      <c r="CQ85">
        <v>0</v>
      </c>
      <c r="CR85">
        <v>-4.3123869034817695</v>
      </c>
      <c r="CS85">
        <v>-6.928219896394662E-2</v>
      </c>
      <c r="CT85">
        <v>-1.4796950715583848</v>
      </c>
      <c r="CU85">
        <v>0.22770711217349057</v>
      </c>
      <c r="CV85">
        <v>1.0000000000000001E-5</v>
      </c>
      <c r="CW85">
        <v>0.22770711217349057</v>
      </c>
      <c r="CX85">
        <v>0.34749999999999998</v>
      </c>
      <c r="CY85">
        <v>0.01</v>
      </c>
      <c r="CZ85">
        <v>0.34749999999999998</v>
      </c>
      <c r="DA85">
        <v>0.3</v>
      </c>
      <c r="DB85">
        <v>0.3</v>
      </c>
      <c r="DC85">
        <v>0.3</v>
      </c>
    </row>
    <row r="86" spans="1:107" x14ac:dyDescent="0.25">
      <c r="A86">
        <v>65</v>
      </c>
      <c r="B86">
        <v>1</v>
      </c>
      <c r="C86" t="s">
        <v>124</v>
      </c>
      <c r="D86">
        <v>0.5</v>
      </c>
      <c r="E86">
        <v>500</v>
      </c>
      <c r="F86">
        <v>9.5250000000000005E-3</v>
      </c>
      <c r="G86">
        <v>9.5250000000000004</v>
      </c>
      <c r="H86">
        <v>52.493438320209975</v>
      </c>
      <c r="I86">
        <v>30</v>
      </c>
      <c r="J86" t="s">
        <v>75</v>
      </c>
      <c r="K86">
        <v>14</v>
      </c>
      <c r="L86">
        <v>15</v>
      </c>
      <c r="M86">
        <v>483000</v>
      </c>
      <c r="N86">
        <v>565000</v>
      </c>
      <c r="O86">
        <v>2.8799444073326219</v>
      </c>
      <c r="P86">
        <v>2.7690517990613435</v>
      </c>
      <c r="Q86">
        <v>1.0577709909520427</v>
      </c>
      <c r="R86">
        <v>45</v>
      </c>
      <c r="S86" t="s">
        <v>71</v>
      </c>
      <c r="T86" t="s">
        <v>74</v>
      </c>
      <c r="U86">
        <v>18</v>
      </c>
      <c r="V86">
        <v>0</v>
      </c>
      <c r="W86">
        <v>75</v>
      </c>
      <c r="X86">
        <v>0.72</v>
      </c>
      <c r="Y86">
        <v>0.9</v>
      </c>
      <c r="Z86">
        <v>1</v>
      </c>
      <c r="AA86">
        <v>2</v>
      </c>
      <c r="AB86">
        <v>84.823001646924411</v>
      </c>
      <c r="AE86">
        <v>0</v>
      </c>
      <c r="AF86">
        <v>0</v>
      </c>
      <c r="AG86">
        <v>192.75</v>
      </c>
      <c r="AH86">
        <v>5.2613940124434393</v>
      </c>
      <c r="AI86">
        <v>3.9606881774094269</v>
      </c>
      <c r="AJ86">
        <v>4.4405667518537291</v>
      </c>
      <c r="AK86">
        <v>2.8500987279999999</v>
      </c>
      <c r="AL86">
        <v>3.7532999999999999</v>
      </c>
      <c r="AM86">
        <v>0.14510000000000001</v>
      </c>
      <c r="AN86">
        <v>1.2497</v>
      </c>
      <c r="AO86">
        <v>-0.46100000000000002</v>
      </c>
      <c r="AP86">
        <v>0.39140000000000003</v>
      </c>
      <c r="AQ86">
        <v>-0.21310000000000001</v>
      </c>
      <c r="AR86">
        <v>-0.34139999999999998</v>
      </c>
      <c r="AY86">
        <v>-0.66849052852826096</v>
      </c>
      <c r="BC86">
        <v>-1.1082000000000001</v>
      </c>
      <c r="BD86">
        <v>0.10630000000000001</v>
      </c>
      <c r="BE86">
        <v>-0.1439</v>
      </c>
      <c r="BF86">
        <v>0.27879999999999999</v>
      </c>
      <c r="BG86">
        <v>-0.31030000000000002</v>
      </c>
      <c r="BH86">
        <v>1.2553000000000001</v>
      </c>
      <c r="BI86">
        <v>2.9999999999999997E-4</v>
      </c>
      <c r="BJ86">
        <v>5.1999999999999998E-3</v>
      </c>
      <c r="BK86">
        <v>-8.5900000000000004E-2</v>
      </c>
      <c r="BL86">
        <v>5.9999999999999995E-4</v>
      </c>
      <c r="BM86">
        <v>-0.21759999999999999</v>
      </c>
      <c r="BN86">
        <v>-2.69E-2</v>
      </c>
      <c r="BO86">
        <v>0.57389999999999997</v>
      </c>
      <c r="BP86">
        <v>0.34460000000000002</v>
      </c>
      <c r="CB86">
        <v>0</v>
      </c>
      <c r="CC86">
        <v>0</v>
      </c>
      <c r="CD86">
        <v>1</v>
      </c>
      <c r="CE86">
        <v>2.0299078834820738</v>
      </c>
      <c r="CG86">
        <v>1.0473536350840684</v>
      </c>
      <c r="CN86">
        <v>1.7158441636123294</v>
      </c>
      <c r="CO86">
        <v>3.4830055945433727</v>
      </c>
      <c r="CP86">
        <v>0.42102115325862211</v>
      </c>
      <c r="CQ86">
        <v>0</v>
      </c>
      <c r="CR86">
        <v>1.4668766506692308</v>
      </c>
      <c r="CS86">
        <v>0.21508357012775103</v>
      </c>
      <c r="CT86">
        <v>4.4777869685989762</v>
      </c>
      <c r="CU86">
        <v>88.03962248006998</v>
      </c>
      <c r="CV86">
        <v>1.0000000000000001E-5</v>
      </c>
      <c r="CW86">
        <v>88.03962248006998</v>
      </c>
      <c r="CX86">
        <v>0.3997</v>
      </c>
      <c r="CY86">
        <v>0.01</v>
      </c>
      <c r="CZ86">
        <v>0.3997</v>
      </c>
      <c r="DA86">
        <v>0.3</v>
      </c>
      <c r="DB86">
        <v>0.3</v>
      </c>
      <c r="DC86">
        <v>0.3</v>
      </c>
    </row>
    <row r="87" spans="1:107" x14ac:dyDescent="0.25">
      <c r="A87">
        <v>66</v>
      </c>
      <c r="B87">
        <v>1</v>
      </c>
      <c r="C87" t="s">
        <v>124</v>
      </c>
      <c r="D87">
        <v>1.0668</v>
      </c>
      <c r="E87">
        <v>1066.8</v>
      </c>
      <c r="F87">
        <v>9.5250000000000005E-3</v>
      </c>
      <c r="G87">
        <v>9.5250000000000004</v>
      </c>
      <c r="H87">
        <v>111.99999999999999</v>
      </c>
      <c r="I87">
        <v>50</v>
      </c>
      <c r="J87" t="s">
        <v>77</v>
      </c>
      <c r="K87">
        <v>15</v>
      </c>
      <c r="L87">
        <v>20</v>
      </c>
      <c r="M87">
        <v>552000</v>
      </c>
      <c r="N87">
        <v>625000</v>
      </c>
      <c r="O87">
        <v>2.9888368774026359</v>
      </c>
      <c r="P87">
        <v>2.8464933991254466</v>
      </c>
      <c r="Q87">
        <v>1.0948843075076633</v>
      </c>
      <c r="R87">
        <v>60</v>
      </c>
      <c r="S87" t="s">
        <v>71</v>
      </c>
      <c r="T87" t="s">
        <v>76</v>
      </c>
      <c r="U87">
        <v>18.5</v>
      </c>
      <c r="V87">
        <v>0</v>
      </c>
      <c r="W87">
        <v>125</v>
      </c>
      <c r="X87">
        <v>0.4</v>
      </c>
      <c r="Y87">
        <v>0.9</v>
      </c>
      <c r="Z87">
        <v>1.2</v>
      </c>
      <c r="AA87">
        <v>1.8</v>
      </c>
      <c r="AB87">
        <v>167.57255214247957</v>
      </c>
      <c r="AE87">
        <v>0</v>
      </c>
      <c r="AF87">
        <v>0</v>
      </c>
      <c r="AG87">
        <v>685.41899999999998</v>
      </c>
      <c r="AH87">
        <v>6.530030330095097</v>
      </c>
      <c r="AI87">
        <v>4.7184988712950942</v>
      </c>
      <c r="AJ87">
        <v>5.1214164046032682</v>
      </c>
      <c r="AK87">
        <v>3.0002260330000001</v>
      </c>
      <c r="AL87">
        <v>4.3182999999999998</v>
      </c>
      <c r="AM87">
        <v>-2.7900000000000001E-2</v>
      </c>
      <c r="AN87">
        <v>1.0497000000000001</v>
      </c>
      <c r="AO87">
        <v>-0.46910000000000002</v>
      </c>
      <c r="AP87">
        <v>0.29149999999999998</v>
      </c>
      <c r="AQ87">
        <v>-0.28610000000000002</v>
      </c>
      <c r="AR87">
        <v>-0.1348</v>
      </c>
      <c r="AY87">
        <v>-0.17586580558020715</v>
      </c>
      <c r="BC87">
        <v>-2.1276999999999999</v>
      </c>
      <c r="BD87">
        <v>0.14760000000000001</v>
      </c>
      <c r="BE87">
        <v>-0.21829999999999999</v>
      </c>
      <c r="BF87">
        <v>0.42270000000000002</v>
      </c>
      <c r="BG87">
        <v>-0.53720000000000001</v>
      </c>
      <c r="BH87">
        <v>1.252</v>
      </c>
      <c r="BI87">
        <v>-5.9999999999999995E-4</v>
      </c>
      <c r="BJ87">
        <v>5.3E-3</v>
      </c>
      <c r="BK87">
        <v>-4.8500000000000001E-2</v>
      </c>
      <c r="BL87">
        <v>1.2999999999999999E-3</v>
      </c>
      <c r="BM87">
        <v>-0.56599999999999995</v>
      </c>
      <c r="BN87">
        <v>-3.2099999999999997E-2</v>
      </c>
      <c r="BO87">
        <v>0.84970000000000001</v>
      </c>
      <c r="BP87">
        <v>9.01E-2</v>
      </c>
      <c r="CB87">
        <v>0</v>
      </c>
      <c r="CC87">
        <v>0</v>
      </c>
      <c r="CD87">
        <v>1</v>
      </c>
      <c r="CE87">
        <v>1.1376490761064402</v>
      </c>
      <c r="CG87">
        <v>1.0986876301632014</v>
      </c>
      <c r="CN87">
        <v>1.2745534357434085</v>
      </c>
      <c r="CO87">
        <v>1.4499945386217779</v>
      </c>
      <c r="CP87">
        <v>0.69645043340315593</v>
      </c>
      <c r="CQ87">
        <v>0</v>
      </c>
      <c r="CR87">
        <v>2.7602438205311977</v>
      </c>
      <c r="CS87">
        <v>-3.4737239358577927E-2</v>
      </c>
      <c r="CT87">
        <v>2.7442515531975533</v>
      </c>
      <c r="CU87">
        <v>15.552969005003565</v>
      </c>
      <c r="CV87">
        <v>1.0000000000000001E-5</v>
      </c>
      <c r="CW87">
        <v>15.552969005003565</v>
      </c>
      <c r="CX87">
        <v>0.50170000000000003</v>
      </c>
      <c r="CY87">
        <v>0.01</v>
      </c>
      <c r="CZ87">
        <v>0.50170000000000003</v>
      </c>
      <c r="DA87">
        <v>0.3</v>
      </c>
      <c r="DB87">
        <v>0.3</v>
      </c>
      <c r="DC87">
        <v>0.3</v>
      </c>
    </row>
    <row r="88" spans="1:107" x14ac:dyDescent="0.25">
      <c r="A88">
        <v>67</v>
      </c>
      <c r="B88">
        <v>0</v>
      </c>
      <c r="C88" t="s">
        <v>124</v>
      </c>
      <c r="D88">
        <v>0.60960000000000003</v>
      </c>
      <c r="E88">
        <v>609.6</v>
      </c>
      <c r="F88">
        <v>9.5250000000000005E-3</v>
      </c>
      <c r="G88">
        <v>9.5250000000000004</v>
      </c>
      <c r="H88">
        <v>64</v>
      </c>
      <c r="I88">
        <v>100</v>
      </c>
      <c r="J88" t="s">
        <v>70</v>
      </c>
      <c r="K88">
        <v>8</v>
      </c>
      <c r="L88">
        <v>10</v>
      </c>
      <c r="M88">
        <v>359000</v>
      </c>
      <c r="N88">
        <v>455000</v>
      </c>
      <c r="O88">
        <v>1.9969902892117808</v>
      </c>
      <c r="P88">
        <v>1.9041242414694344</v>
      </c>
      <c r="Q88">
        <v>0.69164119173371341</v>
      </c>
      <c r="R88">
        <v>75</v>
      </c>
      <c r="S88" t="s">
        <v>71</v>
      </c>
      <c r="T88" t="s">
        <v>72</v>
      </c>
      <c r="U88">
        <v>17.5</v>
      </c>
      <c r="V88">
        <v>0</v>
      </c>
      <c r="W88">
        <v>37.5</v>
      </c>
      <c r="X88">
        <v>1.1000000000000001</v>
      </c>
      <c r="Y88">
        <v>0.9</v>
      </c>
      <c r="Z88">
        <v>0.78739999999999999</v>
      </c>
      <c r="AA88">
        <v>1.8</v>
      </c>
      <c r="AB88">
        <v>78.998488867168945</v>
      </c>
      <c r="AE88">
        <v>0</v>
      </c>
      <c r="AF88">
        <v>0</v>
      </c>
      <c r="AG88">
        <v>117.5004</v>
      </c>
      <c r="AH88">
        <v>4.7664417378337385</v>
      </c>
      <c r="AI88">
        <v>4.1588830833596715</v>
      </c>
      <c r="AJ88">
        <v>4.3694287240203895</v>
      </c>
      <c r="AK88">
        <v>0.14999670000000001</v>
      </c>
      <c r="AL88">
        <v>5.5951000000000004</v>
      </c>
      <c r="AM88">
        <v>1.6E-2</v>
      </c>
      <c r="AN88">
        <v>1.2641</v>
      </c>
      <c r="AO88">
        <v>-0.52429999999999999</v>
      </c>
      <c r="AP88">
        <v>0.35830000000000001</v>
      </c>
      <c r="AQ88">
        <v>-0.35920000000000002</v>
      </c>
      <c r="AR88">
        <v>-0.2482</v>
      </c>
      <c r="AY88">
        <v>0.31382810950266227</v>
      </c>
      <c r="BC88">
        <v>-2.3450000000000002</v>
      </c>
      <c r="BD88">
        <v>0.19470000000000001</v>
      </c>
      <c r="BE88">
        <v>-0.2044</v>
      </c>
      <c r="BF88">
        <v>0.4143</v>
      </c>
      <c r="BG88">
        <v>-0.55710000000000004</v>
      </c>
      <c r="BH88">
        <v>1.0931</v>
      </c>
      <c r="BI88">
        <v>1E-4</v>
      </c>
      <c r="BJ88">
        <v>3.5000000000000001E-3</v>
      </c>
      <c r="BK88">
        <v>-4.07E-2</v>
      </c>
      <c r="BL88">
        <v>1.6000000000000001E-3</v>
      </c>
      <c r="BM88">
        <v>-0.65949999999999998</v>
      </c>
      <c r="BN88">
        <v>-3.0099999999999998E-2</v>
      </c>
      <c r="BO88">
        <v>0.84219999999999995</v>
      </c>
      <c r="BP88">
        <v>0.50680000000000003</v>
      </c>
      <c r="CB88">
        <v>0</v>
      </c>
      <c r="CC88">
        <v>1</v>
      </c>
      <c r="CD88">
        <v>0</v>
      </c>
      <c r="CE88">
        <v>1.1626998488867168</v>
      </c>
      <c r="CG88">
        <v>-1.8971419851278848</v>
      </c>
      <c r="CN88">
        <v>-2.2109700946305471</v>
      </c>
      <c r="CO88">
        <v>-2.5706945949199871</v>
      </c>
      <c r="CP88">
        <v>0.80973453633012804</v>
      </c>
      <c r="CQ88">
        <v>0</v>
      </c>
      <c r="CR88">
        <v>1.9747368119845179</v>
      </c>
      <c r="CS88">
        <v>0.27573791218506416</v>
      </c>
      <c r="CT88">
        <v>-1.8554853344202775</v>
      </c>
      <c r="CU88">
        <v>0.15637702909994644</v>
      </c>
      <c r="CV88">
        <v>1.0000000000000001E-5</v>
      </c>
      <c r="CW88">
        <v>0.15637702909994644</v>
      </c>
      <c r="CX88">
        <v>0.43780000000000002</v>
      </c>
      <c r="CY88">
        <v>0.01</v>
      </c>
      <c r="CZ88">
        <v>0.43780000000000002</v>
      </c>
      <c r="DA88">
        <v>0.3</v>
      </c>
      <c r="DB88">
        <v>0.3</v>
      </c>
      <c r="DC88">
        <v>0.3</v>
      </c>
    </row>
    <row r="89" spans="1:107" x14ac:dyDescent="0.25">
      <c r="A89">
        <v>68</v>
      </c>
      <c r="B89">
        <v>2</v>
      </c>
      <c r="C89" t="s">
        <v>124</v>
      </c>
      <c r="D89">
        <v>0.40960000000000002</v>
      </c>
      <c r="E89">
        <v>409.6</v>
      </c>
      <c r="F89">
        <v>9.5250000000000005E-3</v>
      </c>
      <c r="G89">
        <v>9.5250000000000004</v>
      </c>
      <c r="H89">
        <v>43.00262467191601</v>
      </c>
      <c r="I89">
        <v>300</v>
      </c>
      <c r="J89" t="s">
        <v>73</v>
      </c>
      <c r="K89">
        <v>8</v>
      </c>
      <c r="L89">
        <v>12</v>
      </c>
      <c r="M89">
        <v>414000</v>
      </c>
      <c r="N89">
        <v>517000</v>
      </c>
      <c r="O89">
        <v>2.5466769467238102</v>
      </c>
      <c r="P89">
        <v>2.4313344008036557</v>
      </c>
      <c r="Q89">
        <v>0.93478935117382533</v>
      </c>
      <c r="R89">
        <v>90</v>
      </c>
      <c r="S89" t="s">
        <v>71</v>
      </c>
      <c r="T89" t="s">
        <v>74</v>
      </c>
      <c r="U89">
        <v>18</v>
      </c>
      <c r="V89">
        <v>0</v>
      </c>
      <c r="W89">
        <v>75</v>
      </c>
      <c r="X89">
        <v>0.72</v>
      </c>
      <c r="Y89">
        <v>0.9</v>
      </c>
      <c r="Z89">
        <v>1</v>
      </c>
      <c r="AA89">
        <v>2.44140625</v>
      </c>
      <c r="AB89">
        <v>69.487002949160484</v>
      </c>
      <c r="AE89">
        <v>0</v>
      </c>
      <c r="AF89">
        <v>0</v>
      </c>
      <c r="AG89">
        <v>157.9008</v>
      </c>
      <c r="AH89">
        <v>5.061966987746545</v>
      </c>
      <c r="AI89">
        <v>3.7612611527125335</v>
      </c>
      <c r="AJ89">
        <v>4.2411397271568356</v>
      </c>
      <c r="AK89">
        <v>0.29999340000000002</v>
      </c>
      <c r="AL89">
        <v>14.575100000000001</v>
      </c>
      <c r="AM89">
        <v>0.1356</v>
      </c>
      <c r="AN89">
        <v>2.9990000000000001</v>
      </c>
      <c r="AO89">
        <v>-0.94710000000000005</v>
      </c>
      <c r="AP89">
        <v>0.6603</v>
      </c>
      <c r="AQ89">
        <v>-1.2488999999999999</v>
      </c>
      <c r="AR89">
        <v>-0.44140000000000001</v>
      </c>
      <c r="AY89">
        <v>1.5327241862804701</v>
      </c>
      <c r="BC89">
        <v>5.1353999999999997</v>
      </c>
      <c r="BD89">
        <v>-4.9599999999999998E-2</v>
      </c>
      <c r="BE89">
        <v>0.44590000000000002</v>
      </c>
      <c r="BF89">
        <v>-0.83709999999999996</v>
      </c>
      <c r="BG89">
        <v>0.63090000000000002</v>
      </c>
      <c r="BH89">
        <v>0.91390000000000005</v>
      </c>
      <c r="BI89">
        <v>2.5000000000000001E-3</v>
      </c>
      <c r="BJ89">
        <v>1.6000000000000001E-3</v>
      </c>
      <c r="BK89">
        <v>-9.7500000000000003E-2</v>
      </c>
      <c r="BL89">
        <v>1.1999999999999999E-3</v>
      </c>
      <c r="BM89">
        <v>0.46479999999999999</v>
      </c>
      <c r="BN89">
        <v>8.0000000000000004E-4</v>
      </c>
      <c r="BO89">
        <v>6.7900000000000002E-2</v>
      </c>
      <c r="BP89">
        <v>0.58979999999999999</v>
      </c>
      <c r="CB89">
        <v>0</v>
      </c>
      <c r="CC89">
        <v>1</v>
      </c>
      <c r="CD89">
        <v>0</v>
      </c>
      <c r="CE89">
        <v>1.0417206569792006</v>
      </c>
      <c r="CG89">
        <v>-1.2039948045679394</v>
      </c>
      <c r="CN89">
        <v>-2.7367189908484093</v>
      </c>
      <c r="CO89">
        <v>-2.8508967051140597</v>
      </c>
      <c r="CP89">
        <v>-0.18655855317454165</v>
      </c>
      <c r="CQ89">
        <v>0</v>
      </c>
      <c r="CR89">
        <v>-4.2373725654426329</v>
      </c>
      <c r="CS89">
        <v>-0.56312506609653967</v>
      </c>
      <c r="CT89">
        <v>-2.702552889827774</v>
      </c>
      <c r="CU89">
        <v>6.7034163281111642E-2</v>
      </c>
      <c r="CV89">
        <v>1.0000000000000001E-5</v>
      </c>
      <c r="CW89">
        <v>6.7034163281111642E-2</v>
      </c>
      <c r="CX89">
        <v>0.34749999999999998</v>
      </c>
      <c r="CY89">
        <v>0.01</v>
      </c>
      <c r="CZ89">
        <v>0.34749999999999998</v>
      </c>
      <c r="DA89">
        <v>0.3</v>
      </c>
      <c r="DB89">
        <v>0.3</v>
      </c>
      <c r="DC89">
        <v>0.3</v>
      </c>
    </row>
    <row r="90" spans="1:107" x14ac:dyDescent="0.25">
      <c r="A90">
        <v>69</v>
      </c>
      <c r="B90">
        <v>1</v>
      </c>
      <c r="C90" t="s">
        <v>124</v>
      </c>
      <c r="D90">
        <v>0.89600000000000002</v>
      </c>
      <c r="E90">
        <v>896</v>
      </c>
      <c r="F90">
        <v>9.5250000000000005E-3</v>
      </c>
      <c r="G90">
        <v>9.5250000000000004</v>
      </c>
      <c r="H90">
        <v>94.068241469816272</v>
      </c>
      <c r="I90">
        <v>30</v>
      </c>
      <c r="J90" t="s">
        <v>75</v>
      </c>
      <c r="K90">
        <v>14</v>
      </c>
      <c r="L90">
        <v>15</v>
      </c>
      <c r="M90">
        <v>483000</v>
      </c>
      <c r="N90">
        <v>565000</v>
      </c>
      <c r="O90">
        <v>2.8799444073326219</v>
      </c>
      <c r="P90">
        <v>2.7690517990613435</v>
      </c>
      <c r="Q90">
        <v>1.0577709909520427</v>
      </c>
      <c r="R90">
        <v>45</v>
      </c>
      <c r="S90" t="s">
        <v>71</v>
      </c>
      <c r="T90" t="s">
        <v>76</v>
      </c>
      <c r="U90">
        <v>18.5</v>
      </c>
      <c r="V90">
        <v>0</v>
      </c>
      <c r="W90">
        <v>125</v>
      </c>
      <c r="X90">
        <v>0.4</v>
      </c>
      <c r="Y90">
        <v>0.9</v>
      </c>
      <c r="Z90">
        <v>1.2</v>
      </c>
      <c r="AA90">
        <v>1.8</v>
      </c>
      <c r="AB90">
        <v>140.74335088082273</v>
      </c>
      <c r="AE90">
        <v>0</v>
      </c>
      <c r="AF90">
        <v>0</v>
      </c>
      <c r="AG90">
        <v>575.68000000000006</v>
      </c>
      <c r="AH90">
        <v>6.3555519507621687</v>
      </c>
      <c r="AI90">
        <v>4.5440204919621658</v>
      </c>
      <c r="AJ90">
        <v>4.9469380252703399</v>
      </c>
      <c r="AK90">
        <v>0.4499901</v>
      </c>
      <c r="AL90">
        <v>3.7532999999999999</v>
      </c>
      <c r="AM90">
        <v>0.14510000000000001</v>
      </c>
      <c r="AN90">
        <v>1.2497</v>
      </c>
      <c r="AO90">
        <v>-0.46100000000000002</v>
      </c>
      <c r="AP90">
        <v>0.39140000000000003</v>
      </c>
      <c r="AQ90">
        <v>-0.21310000000000001</v>
      </c>
      <c r="AR90">
        <v>-0.34139999999999998</v>
      </c>
      <c r="AY90">
        <v>-0.61445654144066819</v>
      </c>
      <c r="BC90">
        <v>-1.1082000000000001</v>
      </c>
      <c r="BD90">
        <v>0.10630000000000001</v>
      </c>
      <c r="BE90">
        <v>-0.1439</v>
      </c>
      <c r="BF90">
        <v>0.27879999999999999</v>
      </c>
      <c r="BG90">
        <v>-0.31030000000000002</v>
      </c>
      <c r="BH90">
        <v>1.2553000000000001</v>
      </c>
      <c r="BI90">
        <v>2.9999999999999997E-4</v>
      </c>
      <c r="BJ90">
        <v>5.1999999999999998E-3</v>
      </c>
      <c r="BK90">
        <v>-8.5900000000000004E-2</v>
      </c>
      <c r="BL90">
        <v>5.9999999999999995E-4</v>
      </c>
      <c r="BM90">
        <v>-0.21759999999999999</v>
      </c>
      <c r="BN90">
        <v>-2.69E-2</v>
      </c>
      <c r="BO90">
        <v>0.57389999999999997</v>
      </c>
      <c r="BP90">
        <v>0.34460000000000002</v>
      </c>
      <c r="CB90">
        <v>0</v>
      </c>
      <c r="CC90">
        <v>1</v>
      </c>
      <c r="CD90">
        <v>1</v>
      </c>
      <c r="CE90">
        <v>0.98996395014613658</v>
      </c>
      <c r="CG90">
        <v>-0.79852969645977512</v>
      </c>
      <c r="CN90">
        <v>-0.18407315501910693</v>
      </c>
      <c r="CO90">
        <v>-0.18222578765857725</v>
      </c>
      <c r="CP90">
        <v>0.48302937829557824</v>
      </c>
      <c r="CQ90">
        <v>0</v>
      </c>
      <c r="CR90">
        <v>1.7719278838724926</v>
      </c>
      <c r="CS90">
        <v>3.4075552922036199E-2</v>
      </c>
      <c r="CT90">
        <v>0.99860702743152963</v>
      </c>
      <c r="CU90">
        <v>2.7144979724542799</v>
      </c>
      <c r="CV90">
        <v>1.0000000000000001E-5</v>
      </c>
      <c r="CW90">
        <v>2.7144979724542799</v>
      </c>
      <c r="CX90">
        <v>0.3997</v>
      </c>
      <c r="CY90">
        <v>0.01</v>
      </c>
      <c r="CZ90">
        <v>0.3997</v>
      </c>
      <c r="DA90">
        <v>0.3</v>
      </c>
      <c r="DB90">
        <v>0.3</v>
      </c>
      <c r="DC90">
        <v>0.3</v>
      </c>
    </row>
    <row r="91" spans="1:107" x14ac:dyDescent="0.25">
      <c r="A91">
        <v>70</v>
      </c>
      <c r="B91">
        <v>5</v>
      </c>
      <c r="C91" t="s">
        <v>124</v>
      </c>
      <c r="D91">
        <v>0.5</v>
      </c>
      <c r="E91">
        <v>500</v>
      </c>
      <c r="F91">
        <v>9.5250000000000005E-3</v>
      </c>
      <c r="G91">
        <v>9.5250000000000004</v>
      </c>
      <c r="H91">
        <v>52.493438320209975</v>
      </c>
      <c r="I91">
        <v>50</v>
      </c>
      <c r="J91" t="s">
        <v>70</v>
      </c>
      <c r="K91">
        <v>8</v>
      </c>
      <c r="L91">
        <v>10</v>
      </c>
      <c r="M91">
        <v>359000</v>
      </c>
      <c r="N91">
        <v>455000</v>
      </c>
      <c r="O91">
        <v>1.9969902892117808</v>
      </c>
      <c r="P91">
        <v>1.9041242414694344</v>
      </c>
      <c r="Q91">
        <v>0.69164119173371341</v>
      </c>
      <c r="R91">
        <v>60</v>
      </c>
      <c r="S91" t="s">
        <v>71</v>
      </c>
      <c r="T91" t="s">
        <v>72</v>
      </c>
      <c r="U91">
        <v>17.5</v>
      </c>
      <c r="V91">
        <v>0</v>
      </c>
      <c r="W91">
        <v>37.5</v>
      </c>
      <c r="X91">
        <v>1.1000000000000001</v>
      </c>
      <c r="Y91">
        <v>0.9</v>
      </c>
      <c r="Z91">
        <v>2.5</v>
      </c>
      <c r="AA91">
        <v>5</v>
      </c>
      <c r="AB91">
        <v>64.795348480289491</v>
      </c>
      <c r="AE91">
        <v>0</v>
      </c>
      <c r="AF91">
        <v>0</v>
      </c>
      <c r="AG91">
        <v>96.375</v>
      </c>
      <c r="AH91">
        <v>4.5682468318834939</v>
      </c>
      <c r="AI91">
        <v>3.9606881774094269</v>
      </c>
      <c r="AJ91">
        <v>4.1712338180701449</v>
      </c>
      <c r="AK91">
        <v>0.59998680000000004</v>
      </c>
      <c r="AL91">
        <v>4.3182999999999998</v>
      </c>
      <c r="AM91">
        <v>-2.7900000000000001E-2</v>
      </c>
      <c r="AN91">
        <v>1.0497000000000001</v>
      </c>
      <c r="AO91">
        <v>-0.46910000000000002</v>
      </c>
      <c r="AP91">
        <v>0.29149999999999998</v>
      </c>
      <c r="AQ91">
        <v>-0.28610000000000002</v>
      </c>
      <c r="AR91">
        <v>-0.1348</v>
      </c>
      <c r="AY91">
        <v>-4.4045191195327571E-2</v>
      </c>
      <c r="BC91">
        <v>-2.1276999999999999</v>
      </c>
      <c r="BD91">
        <v>0.14760000000000001</v>
      </c>
      <c r="BE91">
        <v>-0.21829999999999999</v>
      </c>
      <c r="BF91">
        <v>0.42270000000000002</v>
      </c>
      <c r="BG91">
        <v>-0.53720000000000001</v>
      </c>
      <c r="BH91">
        <v>1.252</v>
      </c>
      <c r="BI91">
        <v>-5.9999999999999995E-4</v>
      </c>
      <c r="BJ91">
        <v>5.3E-3</v>
      </c>
      <c r="BK91">
        <v>-4.8500000000000001E-2</v>
      </c>
      <c r="BL91">
        <v>1.2999999999999999E-3</v>
      </c>
      <c r="BM91">
        <v>-0.56599999999999995</v>
      </c>
      <c r="BN91">
        <v>-3.2099999999999997E-2</v>
      </c>
      <c r="BO91">
        <v>0.84970000000000001</v>
      </c>
      <c r="BP91">
        <v>9.01E-2</v>
      </c>
      <c r="CB91">
        <v>0</v>
      </c>
      <c r="CC91">
        <v>1</v>
      </c>
      <c r="CD91">
        <v>1</v>
      </c>
      <c r="CE91">
        <v>1.0163642607280992</v>
      </c>
      <c r="CG91">
        <v>-0.51084762400799422</v>
      </c>
      <c r="CN91">
        <v>-0.46680243281266665</v>
      </c>
      <c r="CO91">
        <v>-0.47444130953172409</v>
      </c>
      <c r="CP91">
        <v>0.58459757498563147</v>
      </c>
      <c r="CQ91">
        <v>0</v>
      </c>
      <c r="CR91">
        <v>1.930997935837153</v>
      </c>
      <c r="CS91">
        <v>0.37235866539680262</v>
      </c>
      <c r="CT91">
        <v>0.28581286668786332</v>
      </c>
      <c r="CU91">
        <v>1.3308433868176077</v>
      </c>
      <c r="CV91">
        <v>1.0000000000000001E-5</v>
      </c>
      <c r="CW91">
        <v>1.3308433868176077</v>
      </c>
      <c r="CX91">
        <v>0.50170000000000003</v>
      </c>
      <c r="CY91">
        <v>0.01</v>
      </c>
      <c r="CZ91">
        <v>0.50170000000000003</v>
      </c>
      <c r="DA91">
        <v>0.3</v>
      </c>
      <c r="DB91">
        <v>0.3</v>
      </c>
      <c r="DC91">
        <v>0.3</v>
      </c>
    </row>
    <row r="92" spans="1:107" x14ac:dyDescent="0.25">
      <c r="A92">
        <v>71</v>
      </c>
      <c r="B92">
        <v>0</v>
      </c>
      <c r="C92" t="s">
        <v>124</v>
      </c>
      <c r="D92">
        <v>1.0668</v>
      </c>
      <c r="E92">
        <v>1066.8</v>
      </c>
      <c r="F92">
        <v>9.5250000000000005E-3</v>
      </c>
      <c r="G92">
        <v>9.5250000000000004</v>
      </c>
      <c r="H92">
        <v>111.99999999999999</v>
      </c>
      <c r="I92">
        <v>100</v>
      </c>
      <c r="J92" t="s">
        <v>75</v>
      </c>
      <c r="K92">
        <v>14</v>
      </c>
      <c r="L92">
        <v>15</v>
      </c>
      <c r="M92">
        <v>483000</v>
      </c>
      <c r="N92">
        <v>565000</v>
      </c>
      <c r="O92">
        <v>2.8799444073326219</v>
      </c>
      <c r="P92">
        <v>2.7690517990613435</v>
      </c>
      <c r="Q92">
        <v>1.0577709909520427</v>
      </c>
      <c r="R92">
        <v>75</v>
      </c>
      <c r="S92" t="s">
        <v>78</v>
      </c>
      <c r="T92" t="s">
        <v>79</v>
      </c>
      <c r="U92">
        <v>18</v>
      </c>
      <c r="V92">
        <v>37</v>
      </c>
      <c r="W92">
        <v>0</v>
      </c>
      <c r="X92">
        <v>0</v>
      </c>
      <c r="Y92">
        <v>0.9</v>
      </c>
      <c r="Z92">
        <v>1</v>
      </c>
      <c r="AA92">
        <v>1.8</v>
      </c>
      <c r="AB92">
        <v>39.626853336736396</v>
      </c>
      <c r="AE92">
        <v>12.698394373823998</v>
      </c>
      <c r="AF92">
        <v>64.071522599936642</v>
      </c>
      <c r="AG92">
        <v>900.09607289656856</v>
      </c>
      <c r="AH92">
        <v>6.8025015052900386</v>
      </c>
      <c r="AI92">
        <v>4.7184988712950942</v>
      </c>
      <c r="AJ92">
        <v>3.6795070030086925</v>
      </c>
      <c r="AK92">
        <v>0.74998350000000003</v>
      </c>
      <c r="AL92">
        <v>5.5951000000000004</v>
      </c>
      <c r="AM92">
        <v>1.6E-2</v>
      </c>
      <c r="AN92">
        <v>1.2641</v>
      </c>
      <c r="AO92">
        <v>-0.52429999999999999</v>
      </c>
      <c r="AP92">
        <v>0.35830000000000001</v>
      </c>
      <c r="AQ92">
        <v>-0.35920000000000002</v>
      </c>
      <c r="AR92">
        <v>-0.2482</v>
      </c>
      <c r="AY92">
        <v>0.29890207916201494</v>
      </c>
      <c r="BC92">
        <v>-2.3450000000000002</v>
      </c>
      <c r="BD92">
        <v>0.19470000000000001</v>
      </c>
      <c r="BE92">
        <v>-0.2044</v>
      </c>
      <c r="BF92">
        <v>0.4143</v>
      </c>
      <c r="BG92">
        <v>-0.55710000000000004</v>
      </c>
      <c r="BH92">
        <v>1.0931</v>
      </c>
      <c r="BI92">
        <v>1E-4</v>
      </c>
      <c r="BJ92">
        <v>3.5000000000000001E-3</v>
      </c>
      <c r="BK92">
        <v>-4.07E-2</v>
      </c>
      <c r="BL92">
        <v>1.6000000000000001E-3</v>
      </c>
      <c r="BM92">
        <v>-0.65949999999999998</v>
      </c>
      <c r="BN92">
        <v>-3.0099999999999998E-2</v>
      </c>
      <c r="BO92">
        <v>0.84219999999999995</v>
      </c>
      <c r="BP92">
        <v>0.50680000000000003</v>
      </c>
      <c r="CB92">
        <v>1</v>
      </c>
      <c r="CC92">
        <v>1</v>
      </c>
      <c r="CD92">
        <v>0</v>
      </c>
      <c r="CE92">
        <v>1.2355626853336736</v>
      </c>
      <c r="CG92">
        <v>-0.28770407269378445</v>
      </c>
      <c r="CN92">
        <v>-0.58660615185579945</v>
      </c>
      <c r="CO92">
        <v>-0.72478867222020427</v>
      </c>
      <c r="CP92">
        <v>0.91869173024115491</v>
      </c>
      <c r="CQ92">
        <v>-0.75209123141497669</v>
      </c>
      <c r="CR92">
        <v>2.8182763736416629</v>
      </c>
      <c r="CS92">
        <v>-3.6024043273759798E-2</v>
      </c>
      <c r="CT92">
        <v>-0.12093584302612276</v>
      </c>
      <c r="CU92">
        <v>0.8860908066740244</v>
      </c>
      <c r="CV92">
        <v>1.0000000000000001E-5</v>
      </c>
      <c r="CW92">
        <v>0.8860908066740244</v>
      </c>
      <c r="CX92">
        <v>0.43780000000000002</v>
      </c>
      <c r="CY92">
        <v>0.01</v>
      </c>
      <c r="CZ92">
        <v>0.43780000000000002</v>
      </c>
      <c r="DA92">
        <v>0.3</v>
      </c>
      <c r="DB92">
        <v>0.3</v>
      </c>
      <c r="DC92">
        <v>0.3</v>
      </c>
    </row>
    <row r="93" spans="1:107" x14ac:dyDescent="0.25">
      <c r="A93">
        <v>72</v>
      </c>
      <c r="B93">
        <v>4</v>
      </c>
      <c r="C93" t="s">
        <v>124</v>
      </c>
      <c r="D93">
        <v>0.60960000000000003</v>
      </c>
      <c r="E93">
        <v>609.6</v>
      </c>
      <c r="F93">
        <v>9.5250000000000005E-3</v>
      </c>
      <c r="G93">
        <v>9.5250000000000004</v>
      </c>
      <c r="H93">
        <v>64</v>
      </c>
      <c r="I93">
        <v>300</v>
      </c>
      <c r="J93" t="s">
        <v>77</v>
      </c>
      <c r="K93">
        <v>15</v>
      </c>
      <c r="L93">
        <v>20</v>
      </c>
      <c r="M93">
        <v>552000</v>
      </c>
      <c r="N93">
        <v>625000</v>
      </c>
      <c r="O93">
        <v>2.9888368774026359</v>
      </c>
      <c r="P93">
        <v>2.8464933991254466</v>
      </c>
      <c r="Q93">
        <v>1.0948843075076633</v>
      </c>
      <c r="R93">
        <v>90</v>
      </c>
      <c r="S93" t="s">
        <v>78</v>
      </c>
      <c r="T93" t="s">
        <v>80</v>
      </c>
      <c r="U93">
        <v>18.5</v>
      </c>
      <c r="V93">
        <v>40</v>
      </c>
      <c r="W93">
        <v>0</v>
      </c>
      <c r="X93">
        <v>0</v>
      </c>
      <c r="Y93">
        <v>0.9</v>
      </c>
      <c r="Z93">
        <v>1.2</v>
      </c>
      <c r="AA93">
        <v>1.9685039370078738</v>
      </c>
      <c r="AB93">
        <v>30.889355446920469</v>
      </c>
      <c r="AE93">
        <v>15.896480151009957</v>
      </c>
      <c r="AF93">
        <v>80</v>
      </c>
      <c r="AG93">
        <v>490.12197186123592</v>
      </c>
      <c r="AH93">
        <v>6.1946542822944775</v>
      </c>
      <c r="AI93">
        <v>4.1588830833596715</v>
      </c>
      <c r="AJ93">
        <v>3.4304116406370531</v>
      </c>
      <c r="AK93">
        <v>2.75</v>
      </c>
      <c r="AL93">
        <v>14.575100000000001</v>
      </c>
      <c r="AM93">
        <v>0.1356</v>
      </c>
      <c r="AN93">
        <v>2.9990000000000001</v>
      </c>
      <c r="AO93">
        <v>-0.94710000000000005</v>
      </c>
      <c r="AP93">
        <v>0.6603</v>
      </c>
      <c r="AQ93">
        <v>-1.2488999999999999</v>
      </c>
      <c r="AR93">
        <v>-0.44140000000000001</v>
      </c>
      <c r="AY93">
        <v>1.3975575406714862</v>
      </c>
      <c r="BC93">
        <v>5.1353999999999997</v>
      </c>
      <c r="BD93">
        <v>-4.9599999999999998E-2</v>
      </c>
      <c r="BE93">
        <v>0.44590000000000002</v>
      </c>
      <c r="BF93">
        <v>-0.83709999999999996</v>
      </c>
      <c r="BG93">
        <v>0.63090000000000002</v>
      </c>
      <c r="BH93">
        <v>0.91390000000000005</v>
      </c>
      <c r="BI93">
        <v>2.5000000000000001E-3</v>
      </c>
      <c r="BJ93">
        <v>1.6000000000000001E-3</v>
      </c>
      <c r="BK93">
        <v>-9.7500000000000003E-2</v>
      </c>
      <c r="BL93">
        <v>1.1999999999999999E-3</v>
      </c>
      <c r="BM93">
        <v>0.46479999999999999</v>
      </c>
      <c r="BN93">
        <v>8.0000000000000004E-4</v>
      </c>
      <c r="BO93">
        <v>6.7900000000000002E-2</v>
      </c>
      <c r="BP93">
        <v>0.58979999999999999</v>
      </c>
      <c r="CB93">
        <v>1</v>
      </c>
      <c r="CC93">
        <v>1</v>
      </c>
      <c r="CD93">
        <v>0</v>
      </c>
      <c r="CE93">
        <v>0.97042338861730115</v>
      </c>
      <c r="CG93">
        <v>1.0116009116784799</v>
      </c>
      <c r="CN93">
        <v>-0.38595662899300631</v>
      </c>
      <c r="CO93">
        <v>-0.37454133976670367</v>
      </c>
      <c r="CP93">
        <v>-0.20628060093463971</v>
      </c>
      <c r="CQ93">
        <v>1.529620550560062</v>
      </c>
      <c r="CR93">
        <v>-5.1855450997087065</v>
      </c>
      <c r="CS93">
        <v>-0.31226539005126003</v>
      </c>
      <c r="CT93">
        <v>0.58638812009875241</v>
      </c>
      <c r="CU93">
        <v>1.7974843788684016</v>
      </c>
      <c r="CV93">
        <v>1.0000000000000001E-5</v>
      </c>
      <c r="CW93">
        <v>1.7974843788684016</v>
      </c>
      <c r="CX93">
        <v>0.34749999999999998</v>
      </c>
      <c r="CY93">
        <v>0.01</v>
      </c>
      <c r="CZ93">
        <v>0.34749999999999998</v>
      </c>
      <c r="DA93">
        <v>0.3</v>
      </c>
      <c r="DB93">
        <v>0.3</v>
      </c>
      <c r="DC93">
        <v>0.3</v>
      </c>
    </row>
    <row r="94" spans="1:107" x14ac:dyDescent="0.25">
      <c r="A94">
        <v>73</v>
      </c>
      <c r="B94">
        <v>2</v>
      </c>
      <c r="C94" t="s">
        <v>124</v>
      </c>
      <c r="D94">
        <v>0.40960000000000002</v>
      </c>
      <c r="E94">
        <v>409.6</v>
      </c>
      <c r="F94">
        <v>9.5250000000000005E-3</v>
      </c>
      <c r="G94">
        <v>9.5250000000000004</v>
      </c>
      <c r="H94">
        <v>43.00262467191601</v>
      </c>
      <c r="I94">
        <v>30</v>
      </c>
      <c r="J94" t="s">
        <v>70</v>
      </c>
      <c r="K94">
        <v>8</v>
      </c>
      <c r="L94">
        <v>10</v>
      </c>
      <c r="M94">
        <v>359000</v>
      </c>
      <c r="N94">
        <v>455000</v>
      </c>
      <c r="O94">
        <v>1.9969902892117808</v>
      </c>
      <c r="P94">
        <v>1.9041242414694344</v>
      </c>
      <c r="Q94">
        <v>0.69164119173371341</v>
      </c>
      <c r="R94">
        <v>45</v>
      </c>
      <c r="S94" t="s">
        <v>78</v>
      </c>
      <c r="T94" t="s">
        <v>81</v>
      </c>
      <c r="U94">
        <v>19</v>
      </c>
      <c r="V94">
        <v>43</v>
      </c>
      <c r="W94">
        <v>0</v>
      </c>
      <c r="X94">
        <v>0</v>
      </c>
      <c r="Y94">
        <v>0.9</v>
      </c>
      <c r="Z94">
        <v>0.78739999999999999</v>
      </c>
      <c r="AA94">
        <v>1.9223632812499998</v>
      </c>
      <c r="AB94">
        <v>15.423155931843731</v>
      </c>
      <c r="AE94">
        <v>18.720510313797256</v>
      </c>
      <c r="AF94">
        <v>80</v>
      </c>
      <c r="AG94">
        <v>242.22354087960383</v>
      </c>
      <c r="AH94">
        <v>5.4898610224304614</v>
      </c>
      <c r="AI94">
        <v>3.7612611527125335</v>
      </c>
      <c r="AJ94">
        <v>2.7358700120349009</v>
      </c>
      <c r="AK94">
        <v>3</v>
      </c>
      <c r="AL94">
        <v>3.7532999999999999</v>
      </c>
      <c r="AM94">
        <v>0.14510000000000001</v>
      </c>
      <c r="AN94">
        <v>1.2497</v>
      </c>
      <c r="AO94">
        <v>-0.46100000000000002</v>
      </c>
      <c r="AP94">
        <v>0.39140000000000003</v>
      </c>
      <c r="AQ94">
        <v>-0.21310000000000001</v>
      </c>
      <c r="AR94">
        <v>-0.34139999999999998</v>
      </c>
      <c r="AY94">
        <v>-0.43578467917484187</v>
      </c>
      <c r="BC94">
        <v>-1.1082000000000001</v>
      </c>
      <c r="BD94">
        <v>0.10630000000000001</v>
      </c>
      <c r="BE94">
        <v>-0.1439</v>
      </c>
      <c r="BF94">
        <v>0.27879999999999999</v>
      </c>
      <c r="BG94">
        <v>-0.31030000000000002</v>
      </c>
      <c r="BH94">
        <v>1.2553000000000001</v>
      </c>
      <c r="BI94">
        <v>2.9999999999999997E-4</v>
      </c>
      <c r="BJ94">
        <v>5.1999999999999998E-3</v>
      </c>
      <c r="BK94">
        <v>-8.5900000000000004E-2</v>
      </c>
      <c r="BL94">
        <v>5.9999999999999995E-4</v>
      </c>
      <c r="BM94">
        <v>-0.21759999999999999</v>
      </c>
      <c r="BN94">
        <v>-2.69E-2</v>
      </c>
      <c r="BO94">
        <v>0.57389999999999997</v>
      </c>
      <c r="BP94">
        <v>0.34460000000000002</v>
      </c>
      <c r="CB94">
        <v>1</v>
      </c>
      <c r="CC94">
        <v>0</v>
      </c>
      <c r="CD94">
        <v>1</v>
      </c>
      <c r="CE94">
        <v>1.9037395546714377</v>
      </c>
      <c r="CG94">
        <v>1.0986122886681098</v>
      </c>
      <c r="CN94">
        <v>1.5343969678429517</v>
      </c>
      <c r="CO94">
        <v>2.9210922002505453</v>
      </c>
      <c r="CP94">
        <v>0.39982206053334235</v>
      </c>
      <c r="CQ94">
        <v>-0.39369169473182225</v>
      </c>
      <c r="CR94">
        <v>1.5305732530536127</v>
      </c>
      <c r="CS94">
        <v>0.27696577589119714</v>
      </c>
      <c r="CT94">
        <v>3.626561594996875</v>
      </c>
      <c r="CU94">
        <v>37.583367356871307</v>
      </c>
      <c r="CV94">
        <v>1.0000000000000001E-5</v>
      </c>
      <c r="CW94">
        <v>37.583367356871307</v>
      </c>
      <c r="CX94">
        <v>0.3997</v>
      </c>
      <c r="CY94">
        <v>0.01</v>
      </c>
      <c r="CZ94">
        <v>0.3997</v>
      </c>
      <c r="DA94">
        <v>0.3</v>
      </c>
      <c r="DB94">
        <v>0.3</v>
      </c>
      <c r="DC94">
        <v>0.3</v>
      </c>
    </row>
    <row r="95" spans="1:107" x14ac:dyDescent="0.25">
      <c r="A95">
        <v>74</v>
      </c>
      <c r="B95">
        <v>0</v>
      </c>
      <c r="C95" t="s">
        <v>124</v>
      </c>
      <c r="D95">
        <v>0.89600000000000002</v>
      </c>
      <c r="E95">
        <v>896</v>
      </c>
      <c r="F95">
        <v>9.5250000000000005E-3</v>
      </c>
      <c r="G95">
        <v>9.5250000000000004</v>
      </c>
      <c r="H95">
        <v>94.068241469816272</v>
      </c>
      <c r="I95">
        <v>50</v>
      </c>
      <c r="J95" t="s">
        <v>73</v>
      </c>
      <c r="K95">
        <v>8</v>
      </c>
      <c r="L95">
        <v>12</v>
      </c>
      <c r="M95">
        <v>414000</v>
      </c>
      <c r="N95">
        <v>517000</v>
      </c>
      <c r="O95">
        <v>2.5466769467238102</v>
      </c>
      <c r="P95">
        <v>2.4313344008036557</v>
      </c>
      <c r="Q95">
        <v>0.93478935117382533</v>
      </c>
      <c r="R95">
        <v>60</v>
      </c>
      <c r="S95" t="s">
        <v>78</v>
      </c>
      <c r="T95" t="s">
        <v>79</v>
      </c>
      <c r="U95">
        <v>18</v>
      </c>
      <c r="V95">
        <v>37</v>
      </c>
      <c r="W95">
        <v>0</v>
      </c>
      <c r="X95">
        <v>0</v>
      </c>
      <c r="Y95">
        <v>0.9</v>
      </c>
      <c r="Z95">
        <v>1</v>
      </c>
      <c r="AA95">
        <v>1.8</v>
      </c>
      <c r="AB95">
        <v>33.282396503295658</v>
      </c>
      <c r="AE95">
        <v>12.698394373823998</v>
      </c>
      <c r="AF95">
        <v>64.071522599936642</v>
      </c>
      <c r="AG95">
        <v>667.7384958493501</v>
      </c>
      <c r="AH95">
        <v>6.5038966236115616</v>
      </c>
      <c r="AI95">
        <v>4.5440204919621658</v>
      </c>
      <c r="AJ95">
        <v>3.5050286236757637</v>
      </c>
      <c r="AK95">
        <v>0.2</v>
      </c>
      <c r="AL95">
        <v>4.3182999999999998</v>
      </c>
      <c r="AM95">
        <v>-2.7900000000000001E-2</v>
      </c>
      <c r="AN95">
        <v>1.0497000000000001</v>
      </c>
      <c r="AO95">
        <v>-0.46910000000000002</v>
      </c>
      <c r="AP95">
        <v>0.29149999999999998</v>
      </c>
      <c r="AQ95">
        <v>-0.28610000000000002</v>
      </c>
      <c r="AR95">
        <v>-0.1348</v>
      </c>
      <c r="AY95">
        <v>-9.8469706098252174E-2</v>
      </c>
      <c r="BC95">
        <v>-2.1276999999999999</v>
      </c>
      <c r="BD95">
        <v>0.14760000000000001</v>
      </c>
      <c r="BE95">
        <v>-0.21829999999999999</v>
      </c>
      <c r="BF95">
        <v>0.42270000000000002</v>
      </c>
      <c r="BG95">
        <v>-0.53720000000000001</v>
      </c>
      <c r="BH95">
        <v>1.252</v>
      </c>
      <c r="BI95">
        <v>-5.9999999999999995E-4</v>
      </c>
      <c r="BJ95">
        <v>5.3E-3</v>
      </c>
      <c r="BK95">
        <v>-4.8500000000000001E-2</v>
      </c>
      <c r="BL95">
        <v>1.2999999999999999E-3</v>
      </c>
      <c r="BM95">
        <v>-0.56599999999999995</v>
      </c>
      <c r="BN95">
        <v>-3.2099999999999997E-2</v>
      </c>
      <c r="BO95">
        <v>0.84970000000000001</v>
      </c>
      <c r="BP95">
        <v>9.01E-2</v>
      </c>
      <c r="CB95">
        <v>1</v>
      </c>
      <c r="CC95">
        <v>1</v>
      </c>
      <c r="CD95">
        <v>1</v>
      </c>
      <c r="CE95">
        <v>1.0893192760087838</v>
      </c>
      <c r="CG95">
        <v>-1.6094379124341003</v>
      </c>
      <c r="CN95">
        <v>-1.5109682063358481</v>
      </c>
      <c r="CO95">
        <v>-1.6459267925980565</v>
      </c>
      <c r="CP95">
        <v>0.6706974246136157</v>
      </c>
      <c r="CQ95">
        <v>-0.76514774854841916</v>
      </c>
      <c r="CR95">
        <v>2.7491971028006073</v>
      </c>
      <c r="CS95">
        <v>5.8992546019071369E-2</v>
      </c>
      <c r="CT95">
        <v>-1.0598874677131811</v>
      </c>
      <c r="CU95">
        <v>0.34649479998843213</v>
      </c>
      <c r="CV95">
        <v>1.0000000000000001E-5</v>
      </c>
      <c r="CW95">
        <v>0.34649479998843213</v>
      </c>
      <c r="CX95">
        <v>0.50170000000000003</v>
      </c>
      <c r="CY95">
        <v>0.01</v>
      </c>
      <c r="CZ95">
        <v>0.50170000000000003</v>
      </c>
      <c r="DA95">
        <v>0.3</v>
      </c>
      <c r="DB95">
        <v>0.3</v>
      </c>
      <c r="DC95">
        <v>0.3</v>
      </c>
    </row>
    <row r="96" spans="1:107" x14ac:dyDescent="0.25">
      <c r="A96">
        <v>75</v>
      </c>
      <c r="B96">
        <v>3</v>
      </c>
      <c r="C96" t="s">
        <v>124</v>
      </c>
      <c r="D96">
        <v>0.5</v>
      </c>
      <c r="E96">
        <v>500</v>
      </c>
      <c r="F96">
        <v>9.5250000000000005E-3</v>
      </c>
      <c r="G96">
        <v>9.5250000000000004</v>
      </c>
      <c r="H96">
        <v>52.493438320209975</v>
      </c>
      <c r="I96">
        <v>100</v>
      </c>
      <c r="J96" t="s">
        <v>75</v>
      </c>
      <c r="K96">
        <v>14</v>
      </c>
      <c r="L96">
        <v>15</v>
      </c>
      <c r="M96">
        <v>483000</v>
      </c>
      <c r="N96">
        <v>565000</v>
      </c>
      <c r="O96">
        <v>2.8799444073326219</v>
      </c>
      <c r="P96">
        <v>2.7690517990613435</v>
      </c>
      <c r="Q96">
        <v>1.0577709909520427</v>
      </c>
      <c r="R96">
        <v>75</v>
      </c>
      <c r="S96" t="s">
        <v>78</v>
      </c>
      <c r="T96" t="s">
        <v>80</v>
      </c>
      <c r="U96">
        <v>18.5</v>
      </c>
      <c r="V96">
        <v>40</v>
      </c>
      <c r="W96">
        <v>0</v>
      </c>
      <c r="X96">
        <v>0</v>
      </c>
      <c r="Y96">
        <v>0.9</v>
      </c>
      <c r="Z96">
        <v>1.2</v>
      </c>
      <c r="AA96">
        <v>2.4</v>
      </c>
      <c r="AB96">
        <v>25.335757420374399</v>
      </c>
      <c r="AE96">
        <v>15.970859354576</v>
      </c>
      <c r="AF96">
        <v>80</v>
      </c>
      <c r="AG96">
        <v>362.27653883579364</v>
      </c>
      <c r="AH96">
        <v>5.8924078396237283</v>
      </c>
      <c r="AI96">
        <v>3.9606881774094269</v>
      </c>
      <c r="AJ96">
        <v>3.2322167346868085</v>
      </c>
      <c r="AK96">
        <v>0.2</v>
      </c>
      <c r="AL96">
        <v>5.5951000000000004</v>
      </c>
      <c r="AM96">
        <v>1.6E-2</v>
      </c>
      <c r="AN96">
        <v>1.2641</v>
      </c>
      <c r="AO96">
        <v>-0.52429999999999999</v>
      </c>
      <c r="AP96">
        <v>0.35830000000000001</v>
      </c>
      <c r="AQ96">
        <v>-0.35920000000000002</v>
      </c>
      <c r="AR96">
        <v>-0.2482</v>
      </c>
      <c r="AY96">
        <v>0.17619681713022817</v>
      </c>
      <c r="BC96">
        <v>-2.3450000000000002</v>
      </c>
      <c r="BD96">
        <v>0.19470000000000001</v>
      </c>
      <c r="BE96">
        <v>-0.2044</v>
      </c>
      <c r="BF96">
        <v>0.4143</v>
      </c>
      <c r="BG96">
        <v>-0.55710000000000004</v>
      </c>
      <c r="BH96">
        <v>1.0931</v>
      </c>
      <c r="BI96">
        <v>1E-4</v>
      </c>
      <c r="BJ96">
        <v>3.5000000000000001E-3</v>
      </c>
      <c r="BK96">
        <v>-4.07E-2</v>
      </c>
      <c r="BL96">
        <v>1.6000000000000001E-3</v>
      </c>
      <c r="BM96">
        <v>-0.65949999999999998</v>
      </c>
      <c r="BN96">
        <v>-3.0099999999999998E-2</v>
      </c>
      <c r="BO96">
        <v>0.84219999999999995</v>
      </c>
      <c r="BP96">
        <v>0.50680000000000003</v>
      </c>
      <c r="CB96">
        <v>1</v>
      </c>
      <c r="CC96">
        <v>1</v>
      </c>
      <c r="CD96">
        <v>0</v>
      </c>
      <c r="CE96">
        <v>1.1389230770543735</v>
      </c>
      <c r="CG96">
        <v>-1.6094379124341003</v>
      </c>
      <c r="CN96">
        <v>-1.7856347295643284</v>
      </c>
      <c r="CO96">
        <v>-2.0337006006905591</v>
      </c>
      <c r="CP96">
        <v>0.7711459881416155</v>
      </c>
      <c r="CQ96">
        <v>-0.66066510056998362</v>
      </c>
      <c r="CR96">
        <v>2.4412245679561106</v>
      </c>
      <c r="CS96">
        <v>0.38615229428994552</v>
      </c>
      <c r="CT96">
        <v>-1.4408428508728706</v>
      </c>
      <c r="CU96">
        <v>0.23672814804672532</v>
      </c>
      <c r="CV96">
        <v>1.0000000000000001E-5</v>
      </c>
      <c r="CW96">
        <v>0.23672814804672532</v>
      </c>
      <c r="CX96">
        <v>0.43780000000000002</v>
      </c>
      <c r="CY96">
        <v>0.01</v>
      </c>
      <c r="CZ96">
        <v>0.43780000000000002</v>
      </c>
      <c r="DA96">
        <v>0.3</v>
      </c>
      <c r="DB96">
        <v>0.3</v>
      </c>
      <c r="DC96">
        <v>0.3</v>
      </c>
    </row>
    <row r="97" spans="1:107" x14ac:dyDescent="0.25">
      <c r="A97">
        <v>76</v>
      </c>
      <c r="B97">
        <v>2</v>
      </c>
      <c r="C97" t="s">
        <v>124</v>
      </c>
      <c r="D97">
        <v>1.0668</v>
      </c>
      <c r="E97">
        <v>1066.8</v>
      </c>
      <c r="F97">
        <v>9.5250000000000005E-3</v>
      </c>
      <c r="G97">
        <v>9.5250000000000004</v>
      </c>
      <c r="H97">
        <v>111.99999999999999</v>
      </c>
      <c r="I97">
        <v>300</v>
      </c>
      <c r="J97" t="s">
        <v>70</v>
      </c>
      <c r="K97">
        <v>8</v>
      </c>
      <c r="L97">
        <v>10</v>
      </c>
      <c r="M97">
        <v>359000</v>
      </c>
      <c r="N97">
        <v>455000</v>
      </c>
      <c r="O97">
        <v>1.9969902892117808</v>
      </c>
      <c r="P97">
        <v>1.9041242414694344</v>
      </c>
      <c r="Q97">
        <v>0.69164119173371341</v>
      </c>
      <c r="R97">
        <v>90</v>
      </c>
      <c r="S97" t="s">
        <v>78</v>
      </c>
      <c r="T97" t="s">
        <v>81</v>
      </c>
      <c r="U97">
        <v>19</v>
      </c>
      <c r="V97">
        <v>43</v>
      </c>
      <c r="W97">
        <v>0</v>
      </c>
      <c r="X97">
        <v>0</v>
      </c>
      <c r="Y97">
        <v>0.9</v>
      </c>
      <c r="Z97">
        <v>2.5</v>
      </c>
      <c r="AA97">
        <v>2.3434570678665168</v>
      </c>
      <c r="AB97">
        <v>127.53838306794918</v>
      </c>
      <c r="AE97">
        <v>18.621858727008274</v>
      </c>
      <c r="AF97">
        <v>80</v>
      </c>
      <c r="AG97">
        <v>1808.5527496736904</v>
      </c>
      <c r="AH97">
        <v>7.5002822186049887</v>
      </c>
      <c r="AI97">
        <v>4.7184988712950942</v>
      </c>
      <c r="AJ97">
        <v>4.848417362964117</v>
      </c>
      <c r="AK97">
        <v>0.25</v>
      </c>
      <c r="AL97">
        <v>14.575100000000001</v>
      </c>
      <c r="AM97">
        <v>0.1356</v>
      </c>
      <c r="AN97">
        <v>2.9990000000000001</v>
      </c>
      <c r="AO97">
        <v>-0.94710000000000005</v>
      </c>
      <c r="AP97">
        <v>0.6603</v>
      </c>
      <c r="AQ97">
        <v>-1.2488999999999999</v>
      </c>
      <c r="AR97">
        <v>-0.44140000000000001</v>
      </c>
      <c r="AY97">
        <v>2.3065291097276841E-2</v>
      </c>
      <c r="BC97">
        <v>5.1353999999999997</v>
      </c>
      <c r="BD97">
        <v>-4.9599999999999998E-2</v>
      </c>
      <c r="BE97">
        <v>0.44590000000000002</v>
      </c>
      <c r="BF97">
        <v>-0.83709999999999996</v>
      </c>
      <c r="BG97">
        <v>0.63090000000000002</v>
      </c>
      <c r="BH97">
        <v>0.91390000000000005</v>
      </c>
      <c r="BI97">
        <v>2.5000000000000001E-3</v>
      </c>
      <c r="BJ97">
        <v>1.6000000000000001E-3</v>
      </c>
      <c r="BK97">
        <v>-9.7500000000000003E-2</v>
      </c>
      <c r="BL97">
        <v>1.1999999999999999E-3</v>
      </c>
      <c r="BM97">
        <v>0.46479999999999999</v>
      </c>
      <c r="BN97">
        <v>8.0000000000000004E-4</v>
      </c>
      <c r="BO97">
        <v>6.7900000000000002E-2</v>
      </c>
      <c r="BP97">
        <v>0.58979999999999999</v>
      </c>
      <c r="CB97">
        <v>1</v>
      </c>
      <c r="CC97">
        <v>1</v>
      </c>
      <c r="CD97">
        <v>0</v>
      </c>
      <c r="CE97">
        <v>1.2696459576698729</v>
      </c>
      <c r="CG97">
        <v>-1.3862943611198906</v>
      </c>
      <c r="CN97">
        <v>-1.4093596522171674</v>
      </c>
      <c r="CO97">
        <v>-1.7893877853405444</v>
      </c>
      <c r="CP97">
        <v>-0.23403754401623666</v>
      </c>
      <c r="CQ97">
        <v>2.1619093021456997</v>
      </c>
      <c r="CR97">
        <v>-6.2784862451942356</v>
      </c>
      <c r="CS97">
        <v>4.0796210557198086E-2</v>
      </c>
      <c r="CT97">
        <v>-0.96380606184811912</v>
      </c>
      <c r="CU97">
        <v>0.38143834176838154</v>
      </c>
      <c r="CV97">
        <v>1.0000000000000001E-5</v>
      </c>
      <c r="CW97">
        <v>0.38143834176838154</v>
      </c>
      <c r="CX97">
        <v>0.34749999999999998</v>
      </c>
      <c r="CY97">
        <v>0.01</v>
      </c>
      <c r="CZ97">
        <v>0.34749999999999998</v>
      </c>
      <c r="DA97">
        <v>0.3</v>
      </c>
      <c r="DB97">
        <v>0.3</v>
      </c>
      <c r="DC97">
        <v>0.3</v>
      </c>
    </row>
    <row r="98" spans="1:107" x14ac:dyDescent="0.25">
      <c r="A98">
        <v>77</v>
      </c>
      <c r="B98">
        <v>5</v>
      </c>
      <c r="C98" t="s">
        <v>124</v>
      </c>
      <c r="D98">
        <v>0.60960000000000003</v>
      </c>
      <c r="E98">
        <v>609.6</v>
      </c>
      <c r="F98">
        <v>9.5250000000000005E-3</v>
      </c>
      <c r="G98">
        <v>9.5250000000000004</v>
      </c>
      <c r="H98">
        <v>64</v>
      </c>
      <c r="I98">
        <v>30</v>
      </c>
      <c r="J98" t="s">
        <v>75</v>
      </c>
      <c r="K98">
        <v>14</v>
      </c>
      <c r="L98">
        <v>15</v>
      </c>
      <c r="M98">
        <v>483000</v>
      </c>
      <c r="N98">
        <v>565000</v>
      </c>
      <c r="O98">
        <v>2.8799444073326219</v>
      </c>
      <c r="P98">
        <v>2.7690517990613435</v>
      </c>
      <c r="Q98">
        <v>1.0577709909520427</v>
      </c>
      <c r="R98">
        <v>45</v>
      </c>
      <c r="S98" t="s">
        <v>78</v>
      </c>
      <c r="T98" t="s">
        <v>79</v>
      </c>
      <c r="U98">
        <v>18</v>
      </c>
      <c r="V98">
        <v>37</v>
      </c>
      <c r="W98">
        <v>0</v>
      </c>
      <c r="X98">
        <v>0</v>
      </c>
      <c r="Y98">
        <v>0.9</v>
      </c>
      <c r="Z98">
        <v>1</v>
      </c>
      <c r="AA98">
        <v>1.8</v>
      </c>
      <c r="AB98">
        <v>22.643916192420797</v>
      </c>
      <c r="AE98">
        <v>12.698394373823998</v>
      </c>
      <c r="AF98">
        <v>64.071522599936642</v>
      </c>
      <c r="AG98">
        <v>353.62475395575746</v>
      </c>
      <c r="AH98">
        <v>5.8682363338442034</v>
      </c>
      <c r="AI98">
        <v>4.1588830833596715</v>
      </c>
      <c r="AJ98">
        <v>3.1198912150732698</v>
      </c>
      <c r="AK98">
        <v>0.28000000000000003</v>
      </c>
      <c r="AL98">
        <v>3.7532999999999999</v>
      </c>
      <c r="AM98">
        <v>0.14510000000000001</v>
      </c>
      <c r="AN98">
        <v>1.2497</v>
      </c>
      <c r="AO98">
        <v>-0.46100000000000002</v>
      </c>
      <c r="AP98">
        <v>0.39140000000000003</v>
      </c>
      <c r="AQ98">
        <v>-0.21310000000000001</v>
      </c>
      <c r="AR98">
        <v>-0.34139999999999998</v>
      </c>
      <c r="AY98">
        <v>-0.19061367663895701</v>
      </c>
      <c r="BC98">
        <v>-1.1082000000000001</v>
      </c>
      <c r="BD98">
        <v>0.10630000000000001</v>
      </c>
      <c r="BE98">
        <v>-0.1439</v>
      </c>
      <c r="BF98">
        <v>0.27879999999999999</v>
      </c>
      <c r="BG98">
        <v>-0.31030000000000002</v>
      </c>
      <c r="BH98">
        <v>1.2553000000000001</v>
      </c>
      <c r="BI98">
        <v>2.9999999999999997E-4</v>
      </c>
      <c r="BJ98">
        <v>5.1999999999999998E-3</v>
      </c>
      <c r="BK98">
        <v>-8.5900000000000004E-2</v>
      </c>
      <c r="BL98">
        <v>5.9999999999999995E-4</v>
      </c>
      <c r="BM98">
        <v>-0.21759999999999999</v>
      </c>
      <c r="BN98">
        <v>-2.69E-2</v>
      </c>
      <c r="BO98">
        <v>0.57389999999999997</v>
      </c>
      <c r="BP98">
        <v>0.34460000000000002</v>
      </c>
      <c r="CB98">
        <v>1</v>
      </c>
      <c r="CC98">
        <v>1</v>
      </c>
      <c r="CD98">
        <v>1</v>
      </c>
      <c r="CE98">
        <v>0.93649317485772643</v>
      </c>
      <c r="CG98">
        <v>-1.2729656758128873</v>
      </c>
      <c r="CN98">
        <v>-1.0823519991739303</v>
      </c>
      <c r="CO98">
        <v>-1.0136152600200012</v>
      </c>
      <c r="CP98">
        <v>0.44208927176113311</v>
      </c>
      <c r="CQ98">
        <v>-0.44895234584904353</v>
      </c>
      <c r="CR98">
        <v>1.6360642898757638</v>
      </c>
      <c r="CS98">
        <v>0.15358369081139006</v>
      </c>
      <c r="CT98">
        <v>-0.33903035342075799</v>
      </c>
      <c r="CU98">
        <v>0.71246082313784431</v>
      </c>
      <c r="CV98">
        <v>1.0000000000000001E-5</v>
      </c>
      <c r="CW98">
        <v>0.71246082313784431</v>
      </c>
      <c r="CX98">
        <v>0.3997</v>
      </c>
      <c r="CY98">
        <v>0.01</v>
      </c>
      <c r="CZ98">
        <v>0.3997</v>
      </c>
      <c r="DA98">
        <v>0.3</v>
      </c>
      <c r="DB98">
        <v>0.3</v>
      </c>
      <c r="DC98">
        <v>0.3</v>
      </c>
    </row>
    <row r="99" spans="1:107" x14ac:dyDescent="0.25">
      <c r="A99">
        <v>78</v>
      </c>
      <c r="B99">
        <v>2</v>
      </c>
      <c r="C99" t="s">
        <v>124</v>
      </c>
      <c r="D99">
        <v>0.40960000000000002</v>
      </c>
      <c r="E99">
        <v>409.6</v>
      </c>
      <c r="F99">
        <v>9.5250000000000005E-3</v>
      </c>
      <c r="G99">
        <v>9.5250000000000004</v>
      </c>
      <c r="H99">
        <v>43.00262467191601</v>
      </c>
      <c r="I99">
        <v>50</v>
      </c>
      <c r="J99" t="s">
        <v>77</v>
      </c>
      <c r="K99">
        <v>15</v>
      </c>
      <c r="L99">
        <v>20</v>
      </c>
      <c r="M99">
        <v>552000</v>
      </c>
      <c r="N99">
        <v>625000</v>
      </c>
      <c r="O99">
        <v>2.9888368774026359</v>
      </c>
      <c r="P99">
        <v>2.8464933991254466</v>
      </c>
      <c r="Q99">
        <v>1.0948843075076633</v>
      </c>
      <c r="R99">
        <v>60</v>
      </c>
      <c r="S99" t="s">
        <v>78</v>
      </c>
      <c r="T99" t="s">
        <v>80</v>
      </c>
      <c r="U99">
        <v>18.5</v>
      </c>
      <c r="V99">
        <v>40</v>
      </c>
      <c r="W99">
        <v>0</v>
      </c>
      <c r="X99">
        <v>0</v>
      </c>
      <c r="Y99">
        <v>0.9</v>
      </c>
      <c r="Z99">
        <v>1.2</v>
      </c>
      <c r="AA99">
        <v>2.9296874999999996</v>
      </c>
      <c r="AB99">
        <v>20.755052478770708</v>
      </c>
      <c r="AE99">
        <v>16.165411783848704</v>
      </c>
      <c r="AF99">
        <v>80</v>
      </c>
      <c r="AG99">
        <v>271.14542759995038</v>
      </c>
      <c r="AH99">
        <v>5.6026553101537404</v>
      </c>
      <c r="AI99">
        <v>3.7612611527125335</v>
      </c>
      <c r="AJ99">
        <v>3.0327897099899146</v>
      </c>
      <c r="AK99">
        <v>0.18</v>
      </c>
      <c r="AL99">
        <v>4.3182999999999998</v>
      </c>
      <c r="AM99">
        <v>-2.7900000000000001E-2</v>
      </c>
      <c r="AN99">
        <v>1.0497000000000001</v>
      </c>
      <c r="AO99">
        <v>-0.46910000000000002</v>
      </c>
      <c r="AP99">
        <v>0.29149999999999998</v>
      </c>
      <c r="AQ99">
        <v>-0.28610000000000002</v>
      </c>
      <c r="AR99">
        <v>-0.1348</v>
      </c>
      <c r="AY99">
        <v>-0.18476915335014066</v>
      </c>
      <c r="BC99">
        <v>-2.1276999999999999</v>
      </c>
      <c r="BD99">
        <v>0.14760000000000001</v>
      </c>
      <c r="BE99">
        <v>-0.21829999999999999</v>
      </c>
      <c r="BF99">
        <v>0.42270000000000002</v>
      </c>
      <c r="BG99">
        <v>-0.53720000000000001</v>
      </c>
      <c r="BH99">
        <v>1.252</v>
      </c>
      <c r="BI99">
        <v>-5.9999999999999995E-4</v>
      </c>
      <c r="BJ99">
        <v>5.3E-3</v>
      </c>
      <c r="BK99">
        <v>-4.8500000000000001E-2</v>
      </c>
      <c r="BL99">
        <v>1.2999999999999999E-3</v>
      </c>
      <c r="BM99">
        <v>-0.56599999999999995</v>
      </c>
      <c r="BN99">
        <v>-3.2099999999999997E-2</v>
      </c>
      <c r="BO99">
        <v>0.84970000000000001</v>
      </c>
      <c r="BP99">
        <v>9.01E-2</v>
      </c>
      <c r="CB99">
        <v>1</v>
      </c>
      <c r="CC99">
        <v>1</v>
      </c>
      <c r="CD99">
        <v>1</v>
      </c>
      <c r="CE99">
        <v>1.0304503805862284</v>
      </c>
      <c r="CG99">
        <v>-1.7147984280919266</v>
      </c>
      <c r="CN99">
        <v>-1.5300292747417861</v>
      </c>
      <c r="CO99">
        <v>-1.5766192484657444</v>
      </c>
      <c r="CP99">
        <v>0.55516214614036996</v>
      </c>
      <c r="CQ99">
        <v>-0.66205799369079832</v>
      </c>
      <c r="CR99">
        <v>2.3682423996019861</v>
      </c>
      <c r="CS99">
        <v>0.47949086306397387</v>
      </c>
      <c r="CT99">
        <v>-0.96348183335021309</v>
      </c>
      <c r="CU99">
        <v>0.3815620350003287</v>
      </c>
      <c r="CV99">
        <v>1.0000000000000001E-5</v>
      </c>
      <c r="CW99">
        <v>0.3815620350003287</v>
      </c>
      <c r="CX99">
        <v>0.50170000000000003</v>
      </c>
      <c r="CY99">
        <v>0.01</v>
      </c>
      <c r="CZ99">
        <v>0.50170000000000003</v>
      </c>
      <c r="DA99">
        <v>0.3</v>
      </c>
      <c r="DB99">
        <v>0.3</v>
      </c>
      <c r="DC99">
        <v>0.3</v>
      </c>
    </row>
    <row r="100" spans="1:107" x14ac:dyDescent="0.25">
      <c r="A100">
        <v>79</v>
      </c>
      <c r="B100">
        <v>4</v>
      </c>
      <c r="C100" t="s">
        <v>124</v>
      </c>
      <c r="D100">
        <v>0.89600000000000002</v>
      </c>
      <c r="E100">
        <v>896</v>
      </c>
      <c r="F100">
        <v>9.5250000000000005E-3</v>
      </c>
      <c r="G100">
        <v>9.5250000000000004</v>
      </c>
      <c r="H100">
        <v>94.068241469816272</v>
      </c>
      <c r="I100">
        <v>100</v>
      </c>
      <c r="J100" t="s">
        <v>70</v>
      </c>
      <c r="K100">
        <v>8</v>
      </c>
      <c r="L100">
        <v>10</v>
      </c>
      <c r="M100">
        <v>359000</v>
      </c>
      <c r="N100">
        <v>455000</v>
      </c>
      <c r="O100">
        <v>1.9969902892117808</v>
      </c>
      <c r="P100">
        <v>1.9041242414694344</v>
      </c>
      <c r="Q100">
        <v>0.69164119173371341</v>
      </c>
      <c r="R100">
        <v>75</v>
      </c>
      <c r="S100" t="s">
        <v>78</v>
      </c>
      <c r="T100" t="s">
        <v>81</v>
      </c>
      <c r="U100">
        <v>19</v>
      </c>
      <c r="V100">
        <v>43</v>
      </c>
      <c r="W100">
        <v>0</v>
      </c>
      <c r="X100">
        <v>0</v>
      </c>
      <c r="Y100">
        <v>0.9</v>
      </c>
      <c r="Z100">
        <v>0.8</v>
      </c>
      <c r="AA100">
        <v>1.8</v>
      </c>
      <c r="AB100">
        <v>34.278032614587922</v>
      </c>
      <c r="AE100">
        <v>18.784824717152006</v>
      </c>
      <c r="AF100">
        <v>80</v>
      </c>
      <c r="AG100">
        <v>865.97444478783666</v>
      </c>
      <c r="AH100">
        <v>6.7638553986441545</v>
      </c>
      <c r="AI100">
        <v>4.5440204919621658</v>
      </c>
      <c r="AJ100">
        <v>3.5345047004428238</v>
      </c>
      <c r="AK100">
        <v>0.4</v>
      </c>
      <c r="AL100">
        <v>5.5951000000000004</v>
      </c>
      <c r="AM100">
        <v>1.6E-2</v>
      </c>
      <c r="AN100">
        <v>1.2641</v>
      </c>
      <c r="AO100">
        <v>-0.52429999999999999</v>
      </c>
      <c r="AP100">
        <v>0.35830000000000001</v>
      </c>
      <c r="AQ100">
        <v>-0.35920000000000002</v>
      </c>
      <c r="AR100">
        <v>-0.2482</v>
      </c>
      <c r="AY100">
        <v>8.8509920075637738E-2</v>
      </c>
      <c r="BC100">
        <v>-2.3450000000000002</v>
      </c>
      <c r="BD100">
        <v>0.19470000000000001</v>
      </c>
      <c r="BE100">
        <v>-0.2044</v>
      </c>
      <c r="BF100">
        <v>0.4143</v>
      </c>
      <c r="BG100">
        <v>-0.55710000000000004</v>
      </c>
      <c r="BH100">
        <v>1.0931</v>
      </c>
      <c r="BI100">
        <v>1E-4</v>
      </c>
      <c r="BJ100">
        <v>3.5000000000000001E-3</v>
      </c>
      <c r="BK100">
        <v>-4.07E-2</v>
      </c>
      <c r="BL100">
        <v>1.6000000000000001E-3</v>
      </c>
      <c r="BM100">
        <v>-0.65949999999999998</v>
      </c>
      <c r="BN100">
        <v>-3.0099999999999998E-2</v>
      </c>
      <c r="BO100">
        <v>0.84219999999999995</v>
      </c>
      <c r="BP100">
        <v>0.50680000000000003</v>
      </c>
      <c r="CB100">
        <v>1</v>
      </c>
      <c r="CC100">
        <v>1</v>
      </c>
      <c r="CD100">
        <v>0</v>
      </c>
      <c r="CE100">
        <v>1.2063369896131648</v>
      </c>
      <c r="CG100">
        <v>-0.916290731874155</v>
      </c>
      <c r="CN100">
        <v>-1.0048006519497927</v>
      </c>
      <c r="CO100">
        <v>-1.2121281936344583</v>
      </c>
      <c r="CP100">
        <v>0.88472078978503377</v>
      </c>
      <c r="CQ100">
        <v>-0.72245276077051324</v>
      </c>
      <c r="CR100">
        <v>2.8022652916582733</v>
      </c>
      <c r="CS100">
        <v>6.1177861852614784E-2</v>
      </c>
      <c r="CT100">
        <v>-0.53141701110905004</v>
      </c>
      <c r="CU100">
        <v>0.58777150055444438</v>
      </c>
      <c r="CV100">
        <v>1.0000000000000001E-5</v>
      </c>
      <c r="CW100">
        <v>0.58777150055444438</v>
      </c>
      <c r="CX100">
        <v>0.43780000000000002</v>
      </c>
      <c r="CY100">
        <v>0.01</v>
      </c>
      <c r="CZ100">
        <v>0.43780000000000002</v>
      </c>
      <c r="DA100">
        <v>0.3</v>
      </c>
      <c r="DB100">
        <v>0.3</v>
      </c>
      <c r="DC100">
        <v>0.3</v>
      </c>
    </row>
    <row r="101" spans="1:107" x14ac:dyDescent="0.25">
      <c r="A101">
        <v>80</v>
      </c>
      <c r="B101">
        <v>1</v>
      </c>
      <c r="C101" t="s">
        <v>124</v>
      </c>
      <c r="D101">
        <v>0.5</v>
      </c>
      <c r="E101">
        <v>500</v>
      </c>
      <c r="F101">
        <v>9.5250000000000005E-3</v>
      </c>
      <c r="G101">
        <v>9.5250000000000004</v>
      </c>
      <c r="H101">
        <v>52.493438320209975</v>
      </c>
      <c r="I101">
        <v>300</v>
      </c>
      <c r="J101" t="s">
        <v>70</v>
      </c>
      <c r="K101">
        <v>8</v>
      </c>
      <c r="L101">
        <v>10</v>
      </c>
      <c r="M101">
        <v>359000</v>
      </c>
      <c r="N101">
        <v>455000</v>
      </c>
      <c r="O101">
        <v>1.9969902892117808</v>
      </c>
      <c r="P101">
        <v>1.9041242414694344</v>
      </c>
      <c r="Q101">
        <v>0.69164119173371341</v>
      </c>
      <c r="R101">
        <v>90</v>
      </c>
      <c r="S101" t="s">
        <v>78</v>
      </c>
      <c r="T101" t="s">
        <v>79</v>
      </c>
      <c r="U101">
        <v>18</v>
      </c>
      <c r="V101">
        <v>37</v>
      </c>
      <c r="W101">
        <v>0</v>
      </c>
      <c r="X101">
        <v>0</v>
      </c>
      <c r="Y101">
        <v>0.9</v>
      </c>
      <c r="Z101">
        <v>2</v>
      </c>
      <c r="AA101">
        <v>4</v>
      </c>
      <c r="AB101">
        <v>37.145531811713909</v>
      </c>
      <c r="AE101">
        <v>14.286272930000003</v>
      </c>
      <c r="AF101">
        <v>64.071522599936642</v>
      </c>
      <c r="AG101">
        <v>401.31383858985748</v>
      </c>
      <c r="AH101">
        <v>5.9947437610786407</v>
      </c>
      <c r="AI101">
        <v>3.9606881774094269</v>
      </c>
      <c r="AJ101">
        <v>3.6148434896829706</v>
      </c>
      <c r="AK101">
        <v>1.2</v>
      </c>
      <c r="AL101">
        <v>14.575100000000001</v>
      </c>
      <c r="AM101">
        <v>0.1356</v>
      </c>
      <c r="AN101">
        <v>2.9990000000000001</v>
      </c>
      <c r="AO101">
        <v>-0.94710000000000005</v>
      </c>
      <c r="AP101">
        <v>0.6603</v>
      </c>
      <c r="AQ101">
        <v>-1.2488999999999999</v>
      </c>
      <c r="AR101">
        <v>-0.44140000000000001</v>
      </c>
      <c r="AY101">
        <v>0.89288001558423113</v>
      </c>
      <c r="BC101">
        <v>5.1353999999999997</v>
      </c>
      <c r="BD101">
        <v>-4.9599999999999998E-2</v>
      </c>
      <c r="BE101">
        <v>0.44590000000000002</v>
      </c>
      <c r="BF101">
        <v>-0.83709999999999996</v>
      </c>
      <c r="BG101">
        <v>0.63090000000000002</v>
      </c>
      <c r="BH101">
        <v>0.91390000000000005</v>
      </c>
      <c r="BI101">
        <v>2.5000000000000001E-3</v>
      </c>
      <c r="BJ101">
        <v>1.6000000000000001E-3</v>
      </c>
      <c r="BK101">
        <v>-9.7500000000000003E-2</v>
      </c>
      <c r="BL101">
        <v>1.1999999999999999E-3</v>
      </c>
      <c r="BM101">
        <v>0.46479999999999999</v>
      </c>
      <c r="BN101">
        <v>8.0000000000000004E-4</v>
      </c>
      <c r="BO101">
        <v>6.7900000000000002E-2</v>
      </c>
      <c r="BP101">
        <v>0.58979999999999999</v>
      </c>
      <c r="CB101">
        <v>1</v>
      </c>
      <c r="CC101">
        <v>1</v>
      </c>
      <c r="CD101">
        <v>0</v>
      </c>
      <c r="CE101">
        <v>0.97225595551353683</v>
      </c>
      <c r="CG101">
        <v>0.18232155679395459</v>
      </c>
      <c r="CN101">
        <v>-0.71055845879027657</v>
      </c>
      <c r="CO101">
        <v>-0.69084469329936637</v>
      </c>
      <c r="CP101">
        <v>-0.19645013359950758</v>
      </c>
      <c r="CQ101">
        <v>1.6118587120496366</v>
      </c>
      <c r="CR101">
        <v>-5.0182000023989302</v>
      </c>
      <c r="CS101">
        <v>-0.43730655621526948</v>
      </c>
      <c r="CT101">
        <v>0.40445732653656241</v>
      </c>
      <c r="CU101">
        <v>1.4984890891045519</v>
      </c>
      <c r="CV101">
        <v>1.0000000000000001E-5</v>
      </c>
      <c r="CW101">
        <v>1.4984890891045519</v>
      </c>
      <c r="CX101">
        <v>0.34749999999999998</v>
      </c>
      <c r="CY101">
        <v>0.01</v>
      </c>
      <c r="CZ101">
        <v>0.34749999999999998</v>
      </c>
      <c r="DA101">
        <v>0.3</v>
      </c>
      <c r="DB101">
        <v>0.3</v>
      </c>
      <c r="DC101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backup</vt:lpstr>
      <vt:lpstr>cleaned</vt:lpstr>
      <vt:lpstr>to_csv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2022-08-24T04:14:30Z</dcterms:created>
  <dcterms:modified xsi:type="dcterms:W3CDTF">2022-09-06T17:24:02Z</dcterms:modified>
</cp:coreProperties>
</file>