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pipe_strain_surface_fault_rupture/"/>
    </mc:Choice>
  </mc:AlternateContent>
  <xr:revisionPtr revIDLastSave="353" documentId="13_ncr:40009_{21AD2E0B-D792-4D17-BCD5-430697596433}" xr6:coauthVersionLast="47" xr6:coauthVersionMax="47" xr10:uidLastSave="{87694312-E9C9-4F2A-B6D7-560814CEFEFF}"/>
  <bookViews>
    <workbookView minimized="1" xWindow="4020" yWindow="1215" windowWidth="18240" windowHeight="10995" xr2:uid="{00000000-000D-0000-FFFF-FFFF00000000}"/>
    <workbookView xWindow="1275" yWindow="-120" windowWidth="27645" windowHeight="16440" activeTab="2" xr2:uid="{76A37501-055D-432E-91F8-B266AF5DA37C}"/>
  </bookViews>
  <sheets>
    <sheet name="backup (2)" sheetId="6" r:id="rId1"/>
    <sheet name="backup" sheetId="1" r:id="rId2"/>
    <sheet name="cleaned" sheetId="3" r:id="rId3"/>
    <sheet name="to_csv" sheetId="4" r:id="rId4"/>
  </sheets>
  <externalReferences>
    <externalReference r:id="rId5"/>
  </externalReferences>
  <calcPr calcId="191029" iterate="1" iterateCount="1000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24" i="6" l="1"/>
  <c r="K46" i="6"/>
  <c r="M46" i="6"/>
  <c r="N46" i="6"/>
  <c r="Q46" i="6"/>
  <c r="R46" i="6"/>
  <c r="S46" i="6"/>
  <c r="U46" i="6" s="1"/>
  <c r="W46" i="6" s="1"/>
  <c r="AX46" i="6" s="1"/>
  <c r="T46" i="6"/>
  <c r="V46" i="6"/>
  <c r="AA46" i="6"/>
  <c r="AB46" i="6"/>
  <c r="AC46" i="6"/>
  <c r="AK46" i="6" s="1"/>
  <c r="AL46" i="6" s="1"/>
  <c r="AD46" i="6"/>
  <c r="AH46" i="6" s="1"/>
  <c r="AN46" i="6" s="1"/>
  <c r="AG46" i="6"/>
  <c r="AI46" i="6"/>
  <c r="AJ46" i="6"/>
  <c r="AM46" i="6"/>
  <c r="AP46" i="6"/>
  <c r="AQ46" i="6"/>
  <c r="AR46" i="6"/>
  <c r="AS46" i="6"/>
  <c r="AT46" i="6"/>
  <c r="AU46" i="6"/>
  <c r="AV46" i="6"/>
  <c r="K47" i="6"/>
  <c r="M47" i="6"/>
  <c r="N47" i="6" s="1"/>
  <c r="AM47" i="6" s="1"/>
  <c r="Q47" i="6"/>
  <c r="R47" i="6"/>
  <c r="S47" i="6"/>
  <c r="T47" i="6"/>
  <c r="U47" i="6"/>
  <c r="W47" i="6" s="1"/>
  <c r="V47" i="6"/>
  <c r="AA47" i="6"/>
  <c r="AB47" i="6"/>
  <c r="AC47" i="6"/>
  <c r="AD47" i="6"/>
  <c r="AG47" i="6"/>
  <c r="AH47" i="6"/>
  <c r="AN47" i="6" s="1"/>
  <c r="AI47" i="6"/>
  <c r="AJ47" i="6"/>
  <c r="AK47" i="6"/>
  <c r="AL47" i="6" s="1"/>
  <c r="AP47" i="6"/>
  <c r="AQ47" i="6"/>
  <c r="AR47" i="6"/>
  <c r="AS47" i="6"/>
  <c r="AT47" i="6"/>
  <c r="AU47" i="6"/>
  <c r="AV47" i="6"/>
  <c r="K48" i="6"/>
  <c r="N48" i="6" s="1"/>
  <c r="AM48" i="6" s="1"/>
  <c r="M48" i="6"/>
  <c r="Q48" i="6"/>
  <c r="R48" i="6"/>
  <c r="S48" i="6"/>
  <c r="T48" i="6"/>
  <c r="U48" i="6" s="1"/>
  <c r="W48" i="6" s="1"/>
  <c r="V48" i="6"/>
  <c r="AA48" i="6"/>
  <c r="AB48" i="6"/>
  <c r="AC48" i="6"/>
  <c r="AH48" i="6" s="1"/>
  <c r="AN48" i="6" s="1"/>
  <c r="AD48" i="6"/>
  <c r="AG48" i="6"/>
  <c r="AI48" i="6"/>
  <c r="AJ48" i="6"/>
  <c r="AK48" i="6"/>
  <c r="AL48" i="6"/>
  <c r="AP48" i="6"/>
  <c r="AX48" i="6" s="1"/>
  <c r="AQ48" i="6"/>
  <c r="AR48" i="6"/>
  <c r="AS48" i="6"/>
  <c r="AT48" i="6"/>
  <c r="AU48" i="6"/>
  <c r="AV48" i="6"/>
  <c r="K49" i="6"/>
  <c r="M49" i="6"/>
  <c r="N49" i="6"/>
  <c r="AM49" i="6" s="1"/>
  <c r="AX49" i="6" s="1"/>
  <c r="Q49" i="6"/>
  <c r="R49" i="6"/>
  <c r="S49" i="6"/>
  <c r="T49" i="6"/>
  <c r="U49" i="6" s="1"/>
  <c r="W49" i="6" s="1"/>
  <c r="V49" i="6"/>
  <c r="AA49" i="6"/>
  <c r="AB49" i="6"/>
  <c r="AC49" i="6"/>
  <c r="AD49" i="6"/>
  <c r="AH49" i="6" s="1"/>
  <c r="AN49" i="6" s="1"/>
  <c r="AG49" i="6"/>
  <c r="AI49" i="6"/>
  <c r="AJ49" i="6"/>
  <c r="AK49" i="6"/>
  <c r="AL49" i="6"/>
  <c r="AP49" i="6"/>
  <c r="AQ49" i="6"/>
  <c r="AR49" i="6"/>
  <c r="AS49" i="6"/>
  <c r="AT49" i="6"/>
  <c r="AU49" i="6"/>
  <c r="AV49" i="6"/>
  <c r="K50" i="6"/>
  <c r="M50" i="6"/>
  <c r="N50" i="6"/>
  <c r="Q50" i="6"/>
  <c r="R50" i="6"/>
  <c r="S50" i="6"/>
  <c r="U50" i="6" s="1"/>
  <c r="W50" i="6" s="1"/>
  <c r="T50" i="6"/>
  <c r="V50" i="6"/>
  <c r="AA50" i="6"/>
  <c r="AB50" i="6"/>
  <c r="AC50" i="6"/>
  <c r="AK50" i="6" s="1"/>
  <c r="AL50" i="6" s="1"/>
  <c r="AD50" i="6"/>
  <c r="AH50" i="6" s="1"/>
  <c r="AN50" i="6" s="1"/>
  <c r="AG50" i="6"/>
  <c r="AI50" i="6"/>
  <c r="AJ50" i="6"/>
  <c r="AM50" i="6"/>
  <c r="AP50" i="6"/>
  <c r="AQ50" i="6"/>
  <c r="AR50" i="6"/>
  <c r="AS50" i="6"/>
  <c r="AT50" i="6"/>
  <c r="AU50" i="6"/>
  <c r="AV50" i="6"/>
  <c r="K51" i="6"/>
  <c r="M51" i="6"/>
  <c r="N51" i="6" s="1"/>
  <c r="AM51" i="6" s="1"/>
  <c r="Q51" i="6"/>
  <c r="R51" i="6"/>
  <c r="S51" i="6"/>
  <c r="T51" i="6"/>
  <c r="U51" i="6"/>
  <c r="W51" i="6" s="1"/>
  <c r="V51" i="6"/>
  <c r="AA51" i="6"/>
  <c r="AB51" i="6"/>
  <c r="AC51" i="6"/>
  <c r="AD51" i="6"/>
  <c r="AG51" i="6"/>
  <c r="AH51" i="6"/>
  <c r="AN51" i="6" s="1"/>
  <c r="AI51" i="6"/>
  <c r="AJ51" i="6"/>
  <c r="AK51" i="6"/>
  <c r="AL51" i="6" s="1"/>
  <c r="AP51" i="6"/>
  <c r="AQ51" i="6"/>
  <c r="AR51" i="6"/>
  <c r="AS51" i="6"/>
  <c r="AT51" i="6"/>
  <c r="AU51" i="6"/>
  <c r="AV51" i="6"/>
  <c r="K52" i="6"/>
  <c r="N52" i="6" s="1"/>
  <c r="AM52" i="6" s="1"/>
  <c r="M52" i="6"/>
  <c r="Q52" i="6"/>
  <c r="R52" i="6"/>
  <c r="S52" i="6"/>
  <c r="T52" i="6"/>
  <c r="U52" i="6" s="1"/>
  <c r="W52" i="6" s="1"/>
  <c r="V52" i="6"/>
  <c r="AA52" i="6"/>
  <c r="AB52" i="6"/>
  <c r="AC52" i="6"/>
  <c r="AH52" i="6" s="1"/>
  <c r="AN52" i="6" s="1"/>
  <c r="AD52" i="6"/>
  <c r="AG52" i="6"/>
  <c r="AI52" i="6"/>
  <c r="AJ52" i="6"/>
  <c r="AK52" i="6"/>
  <c r="AL52" i="6"/>
  <c r="AP52" i="6"/>
  <c r="AX52" i="6" s="1"/>
  <c r="AQ52" i="6"/>
  <c r="AR52" i="6"/>
  <c r="AS52" i="6"/>
  <c r="AT52" i="6"/>
  <c r="AU52" i="6"/>
  <c r="AV52" i="6"/>
  <c r="K53" i="6"/>
  <c r="M53" i="6"/>
  <c r="N53" i="6"/>
  <c r="AM53" i="6" s="1"/>
  <c r="Q53" i="6"/>
  <c r="R53" i="6"/>
  <c r="S53" i="6"/>
  <c r="T53" i="6"/>
  <c r="U53" i="6" s="1"/>
  <c r="W53" i="6" s="1"/>
  <c r="V53" i="6"/>
  <c r="AA53" i="6"/>
  <c r="AB53" i="6"/>
  <c r="AC53" i="6"/>
  <c r="AD53" i="6"/>
  <c r="AH53" i="6" s="1"/>
  <c r="AN53" i="6" s="1"/>
  <c r="AG53" i="6"/>
  <c r="AI53" i="6"/>
  <c r="AJ53" i="6"/>
  <c r="AK53" i="6"/>
  <c r="AL53" i="6"/>
  <c r="AP53" i="6"/>
  <c r="AQ53" i="6"/>
  <c r="AR53" i="6"/>
  <c r="AS53" i="6"/>
  <c r="AT53" i="6"/>
  <c r="AU53" i="6"/>
  <c r="AV53" i="6"/>
  <c r="K54" i="6"/>
  <c r="M54" i="6"/>
  <c r="N54" i="6"/>
  <c r="Q54" i="6"/>
  <c r="R54" i="6"/>
  <c r="S54" i="6"/>
  <c r="U54" i="6" s="1"/>
  <c r="W54" i="6" s="1"/>
  <c r="T54" i="6"/>
  <c r="V54" i="6"/>
  <c r="AA54" i="6"/>
  <c r="AB54" i="6"/>
  <c r="AC54" i="6"/>
  <c r="AK54" i="6" s="1"/>
  <c r="AL54" i="6" s="1"/>
  <c r="AD54" i="6"/>
  <c r="AH54" i="6" s="1"/>
  <c r="AN54" i="6" s="1"/>
  <c r="AG54" i="6"/>
  <c r="AI54" i="6"/>
  <c r="AJ54" i="6"/>
  <c r="AM54" i="6"/>
  <c r="AP54" i="6"/>
  <c r="AQ54" i="6"/>
  <c r="AR54" i="6"/>
  <c r="AS54" i="6"/>
  <c r="AT54" i="6"/>
  <c r="AU54" i="6"/>
  <c r="AV54" i="6"/>
  <c r="K55" i="6"/>
  <c r="M55" i="6"/>
  <c r="N55" i="6" s="1"/>
  <c r="AM55" i="6" s="1"/>
  <c r="Q55" i="6"/>
  <c r="R55" i="6"/>
  <c r="S55" i="6"/>
  <c r="T55" i="6"/>
  <c r="U55" i="6"/>
  <c r="W55" i="6" s="1"/>
  <c r="V55" i="6"/>
  <c r="AA55" i="6"/>
  <c r="AB55" i="6"/>
  <c r="AC55" i="6"/>
  <c r="AD55" i="6"/>
  <c r="AG55" i="6"/>
  <c r="AH55" i="6"/>
  <c r="AN55" i="6" s="1"/>
  <c r="AI55" i="6"/>
  <c r="AJ55" i="6"/>
  <c r="AK55" i="6"/>
  <c r="AL55" i="6" s="1"/>
  <c r="AP55" i="6"/>
  <c r="AQ55" i="6"/>
  <c r="AR55" i="6"/>
  <c r="AS55" i="6"/>
  <c r="AT55" i="6"/>
  <c r="AU55" i="6"/>
  <c r="AV55" i="6"/>
  <c r="K56" i="6"/>
  <c r="N56" i="6" s="1"/>
  <c r="AM56" i="6" s="1"/>
  <c r="M56" i="6"/>
  <c r="Q56" i="6"/>
  <c r="R56" i="6"/>
  <c r="S56" i="6"/>
  <c r="T56" i="6"/>
  <c r="U56" i="6" s="1"/>
  <c r="W56" i="6" s="1"/>
  <c r="V56" i="6"/>
  <c r="AA56" i="6"/>
  <c r="AH56" i="6" s="1"/>
  <c r="AN56" i="6" s="1"/>
  <c r="AB56" i="6"/>
  <c r="AJ56" i="6" s="1"/>
  <c r="AC56" i="6"/>
  <c r="AD56" i="6"/>
  <c r="AG56" i="6"/>
  <c r="AI56" i="6"/>
  <c r="AK56" i="6" s="1"/>
  <c r="AL56" i="6" s="1"/>
  <c r="AP56" i="6"/>
  <c r="AX56" i="6" s="1"/>
  <c r="AQ56" i="6"/>
  <c r="AR56" i="6"/>
  <c r="AS56" i="6"/>
  <c r="AT56" i="6"/>
  <c r="AU56" i="6"/>
  <c r="AV56" i="6"/>
  <c r="K57" i="6"/>
  <c r="M57" i="6"/>
  <c r="N57" i="6"/>
  <c r="AM57" i="6" s="1"/>
  <c r="Q57" i="6"/>
  <c r="R57" i="6"/>
  <c r="S57" i="6"/>
  <c r="T57" i="6"/>
  <c r="U57" i="6" s="1"/>
  <c r="W57" i="6" s="1"/>
  <c r="V57" i="6"/>
  <c r="AA57" i="6"/>
  <c r="AH57" i="6" s="1"/>
  <c r="AN57" i="6" s="1"/>
  <c r="AB57" i="6"/>
  <c r="AJ57" i="6" s="1"/>
  <c r="AC57" i="6"/>
  <c r="AD57" i="6"/>
  <c r="AG57" i="6"/>
  <c r="AI57" i="6"/>
  <c r="AP57" i="6"/>
  <c r="AQ57" i="6"/>
  <c r="AR57" i="6"/>
  <c r="AS57" i="6"/>
  <c r="AT57" i="6"/>
  <c r="AU57" i="6"/>
  <c r="AV57" i="6"/>
  <c r="K58" i="6"/>
  <c r="M58" i="6"/>
  <c r="N58" i="6"/>
  <c r="Q58" i="6"/>
  <c r="R58" i="6"/>
  <c r="S58" i="6"/>
  <c r="T58" i="6"/>
  <c r="U58" i="6"/>
  <c r="W58" i="6" s="1"/>
  <c r="V58" i="6"/>
  <c r="AA58" i="6"/>
  <c r="AB58" i="6"/>
  <c r="AJ58" i="6" s="1"/>
  <c r="AC58" i="6"/>
  <c r="AD58" i="6"/>
  <c r="AG58" i="6"/>
  <c r="AI58" i="6" s="1"/>
  <c r="AK58" i="6" s="1"/>
  <c r="AL58" i="6" s="1"/>
  <c r="AH58" i="6"/>
  <c r="AN58" i="6" s="1"/>
  <c r="AM58" i="6"/>
  <c r="AP58" i="6"/>
  <c r="AQ58" i="6"/>
  <c r="AX58" i="6" s="1"/>
  <c r="AR58" i="6"/>
  <c r="AS58" i="6"/>
  <c r="AT58" i="6"/>
  <c r="AU58" i="6"/>
  <c r="AV58" i="6"/>
  <c r="K59" i="6"/>
  <c r="M59" i="6"/>
  <c r="N59" i="6" s="1"/>
  <c r="AM59" i="6" s="1"/>
  <c r="Q59" i="6"/>
  <c r="R59" i="6"/>
  <c r="S59" i="6"/>
  <c r="T59" i="6"/>
  <c r="U59" i="6"/>
  <c r="V59" i="6"/>
  <c r="W59" i="6"/>
  <c r="AA59" i="6"/>
  <c r="AB59" i="6"/>
  <c r="AC59" i="6"/>
  <c r="AD59" i="6"/>
  <c r="AG59" i="6"/>
  <c r="AI59" i="6" s="1"/>
  <c r="AK59" i="6" s="1"/>
  <c r="AL59" i="6" s="1"/>
  <c r="AH59" i="6"/>
  <c r="AN59" i="6" s="1"/>
  <c r="AJ59" i="6"/>
  <c r="AP59" i="6"/>
  <c r="AQ59" i="6"/>
  <c r="AR59" i="6"/>
  <c r="AS59" i="6"/>
  <c r="AT59" i="6"/>
  <c r="AU59" i="6"/>
  <c r="AV59" i="6"/>
  <c r="K60" i="6"/>
  <c r="N60" i="6" s="1"/>
  <c r="AM60" i="6" s="1"/>
  <c r="M60" i="6"/>
  <c r="Q60" i="6"/>
  <c r="R60" i="6"/>
  <c r="S60" i="6"/>
  <c r="T60" i="6"/>
  <c r="U60" i="6" s="1"/>
  <c r="W60" i="6" s="1"/>
  <c r="V60" i="6"/>
  <c r="AA60" i="6"/>
  <c r="AH60" i="6" s="1"/>
  <c r="AN60" i="6" s="1"/>
  <c r="AB60" i="6"/>
  <c r="AJ60" i="6" s="1"/>
  <c r="AC60" i="6"/>
  <c r="AD60" i="6"/>
  <c r="AG60" i="6"/>
  <c r="AI60" i="6"/>
  <c r="AK60" i="6" s="1"/>
  <c r="AL60" i="6" s="1"/>
  <c r="AP60" i="6"/>
  <c r="AX60" i="6" s="1"/>
  <c r="AQ60" i="6"/>
  <c r="AR60" i="6"/>
  <c r="AS60" i="6"/>
  <c r="AT60" i="6"/>
  <c r="AU60" i="6"/>
  <c r="AV60" i="6"/>
  <c r="K61" i="6"/>
  <c r="M61" i="6"/>
  <c r="N61" i="6"/>
  <c r="AM61" i="6" s="1"/>
  <c r="Q61" i="6"/>
  <c r="R61" i="6"/>
  <c r="S61" i="6"/>
  <c r="T61" i="6"/>
  <c r="U61" i="6" s="1"/>
  <c r="W61" i="6" s="1"/>
  <c r="V61" i="6"/>
  <c r="AA61" i="6"/>
  <c r="AH61" i="6" s="1"/>
  <c r="AN61" i="6" s="1"/>
  <c r="AB61" i="6"/>
  <c r="AJ61" i="6" s="1"/>
  <c r="AC61" i="6"/>
  <c r="AD61" i="6"/>
  <c r="AG61" i="6"/>
  <c r="AI61" i="6"/>
  <c r="AP61" i="6"/>
  <c r="AQ61" i="6"/>
  <c r="AR61" i="6"/>
  <c r="AS61" i="6"/>
  <c r="AT61" i="6"/>
  <c r="AU61" i="6"/>
  <c r="AV61" i="6"/>
  <c r="K62" i="6"/>
  <c r="M62" i="6"/>
  <c r="N62" i="6"/>
  <c r="Q62" i="6"/>
  <c r="R62" i="6"/>
  <c r="S62" i="6"/>
  <c r="T62" i="6"/>
  <c r="U62" i="6"/>
  <c r="W62" i="6" s="1"/>
  <c r="V62" i="6"/>
  <c r="AA62" i="6"/>
  <c r="AB62" i="6"/>
  <c r="AJ62" i="6" s="1"/>
  <c r="AC62" i="6"/>
  <c r="AD62" i="6"/>
  <c r="AG62" i="6"/>
  <c r="AI62" i="6" s="1"/>
  <c r="AK62" i="6" s="1"/>
  <c r="AL62" i="6" s="1"/>
  <c r="AH62" i="6"/>
  <c r="AN62" i="6" s="1"/>
  <c r="AM62" i="6"/>
  <c r="AP62" i="6"/>
  <c r="AQ62" i="6"/>
  <c r="AR62" i="6"/>
  <c r="AS62" i="6"/>
  <c r="AT62" i="6"/>
  <c r="AU62" i="6"/>
  <c r="AV62" i="6"/>
  <c r="K63" i="6"/>
  <c r="N63" i="6" s="1"/>
  <c r="AM63" i="6" s="1"/>
  <c r="M63" i="6"/>
  <c r="Q63" i="6"/>
  <c r="R63" i="6"/>
  <c r="S63" i="6"/>
  <c r="T63" i="6"/>
  <c r="U63" i="6"/>
  <c r="V63" i="6"/>
  <c r="W63" i="6"/>
  <c r="AA63" i="6"/>
  <c r="AB63" i="6"/>
  <c r="AC63" i="6"/>
  <c r="AD63" i="6"/>
  <c r="AG63" i="6"/>
  <c r="AI63" i="6" s="1"/>
  <c r="AK63" i="6" s="1"/>
  <c r="AL63" i="6" s="1"/>
  <c r="AH63" i="6"/>
  <c r="AN63" i="6" s="1"/>
  <c r="AJ63" i="6"/>
  <c r="AP63" i="6"/>
  <c r="AQ63" i="6"/>
  <c r="AR63" i="6"/>
  <c r="AS63" i="6"/>
  <c r="AT63" i="6"/>
  <c r="AU63" i="6"/>
  <c r="AV63" i="6"/>
  <c r="K64" i="6"/>
  <c r="N64" i="6" s="1"/>
  <c r="AM64" i="6" s="1"/>
  <c r="M64" i="6"/>
  <c r="Q64" i="6"/>
  <c r="R64" i="6"/>
  <c r="S64" i="6"/>
  <c r="T64" i="6"/>
  <c r="U64" i="6" s="1"/>
  <c r="W64" i="6" s="1"/>
  <c r="V64" i="6"/>
  <c r="AA64" i="6"/>
  <c r="AH64" i="6" s="1"/>
  <c r="AN64" i="6" s="1"/>
  <c r="AB64" i="6"/>
  <c r="AJ64" i="6" s="1"/>
  <c r="AC64" i="6"/>
  <c r="AD64" i="6"/>
  <c r="AG64" i="6"/>
  <c r="AI64" i="6"/>
  <c r="AK64" i="6" s="1"/>
  <c r="AL64" i="6" s="1"/>
  <c r="AP64" i="6"/>
  <c r="AQ64" i="6"/>
  <c r="AR64" i="6"/>
  <c r="AS64" i="6"/>
  <c r="AT64" i="6"/>
  <c r="AU64" i="6"/>
  <c r="AV64" i="6"/>
  <c r="K65" i="6"/>
  <c r="M65" i="6"/>
  <c r="N65" i="6"/>
  <c r="AM65" i="6" s="1"/>
  <c r="Q65" i="6"/>
  <c r="R65" i="6"/>
  <c r="S65" i="6"/>
  <c r="T65" i="6"/>
  <c r="U65" i="6" s="1"/>
  <c r="W65" i="6" s="1"/>
  <c r="V65" i="6"/>
  <c r="AA65" i="6"/>
  <c r="AH65" i="6" s="1"/>
  <c r="AN65" i="6" s="1"/>
  <c r="AB65" i="6"/>
  <c r="AJ65" i="6" s="1"/>
  <c r="AC65" i="6"/>
  <c r="AD65" i="6"/>
  <c r="AG65" i="6"/>
  <c r="AI65" i="6"/>
  <c r="AP65" i="6"/>
  <c r="AQ65" i="6"/>
  <c r="AR65" i="6"/>
  <c r="AS65" i="6"/>
  <c r="AT65" i="6"/>
  <c r="AU65" i="6"/>
  <c r="AV65" i="6"/>
  <c r="CP25" i="6"/>
  <c r="CP26" i="6"/>
  <c r="CP27" i="6"/>
  <c r="CP28" i="6"/>
  <c r="CP29" i="6"/>
  <c r="CP30" i="6"/>
  <c r="CP31" i="6"/>
  <c r="CP32" i="6"/>
  <c r="CP33" i="6"/>
  <c r="CP34" i="6"/>
  <c r="CP35" i="6"/>
  <c r="CP36" i="6"/>
  <c r="CP37" i="6"/>
  <c r="CP38" i="6"/>
  <c r="CP39" i="6"/>
  <c r="CP40" i="6"/>
  <c r="CP41" i="6"/>
  <c r="CP42" i="6"/>
  <c r="CP43" i="6"/>
  <c r="CP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38" i="6"/>
  <c r="CK39" i="6"/>
  <c r="CK40" i="6"/>
  <c r="CK41" i="6"/>
  <c r="CK42" i="6"/>
  <c r="CK43" i="6"/>
  <c r="CK24" i="6"/>
  <c r="AV43" i="6"/>
  <c r="AU43" i="6"/>
  <c r="AT43" i="6"/>
  <c r="AS43" i="6"/>
  <c r="AR43" i="6"/>
  <c r="AQ43" i="6"/>
  <c r="AP43" i="6"/>
  <c r="AV42" i="6"/>
  <c r="AU42" i="6"/>
  <c r="AT42" i="6"/>
  <c r="AS42" i="6"/>
  <c r="AR42" i="6"/>
  <c r="AQ42" i="6"/>
  <c r="AP42" i="6"/>
  <c r="AV41" i="6"/>
  <c r="AU41" i="6"/>
  <c r="AT41" i="6"/>
  <c r="AS41" i="6"/>
  <c r="AR41" i="6"/>
  <c r="AQ41" i="6"/>
  <c r="AP41" i="6"/>
  <c r="AV40" i="6"/>
  <c r="AU40" i="6"/>
  <c r="AT40" i="6"/>
  <c r="AS40" i="6"/>
  <c r="AR40" i="6"/>
  <c r="AQ40" i="6"/>
  <c r="AP40" i="6"/>
  <c r="AV39" i="6"/>
  <c r="AU39" i="6"/>
  <c r="AT39" i="6"/>
  <c r="AS39" i="6"/>
  <c r="AR39" i="6"/>
  <c r="AQ39" i="6"/>
  <c r="AP39" i="6"/>
  <c r="AV38" i="6"/>
  <c r="AU38" i="6"/>
  <c r="AT38" i="6"/>
  <c r="AS38" i="6"/>
  <c r="AR38" i="6"/>
  <c r="AQ38" i="6"/>
  <c r="AP38" i="6"/>
  <c r="AV37" i="6"/>
  <c r="AU37" i="6"/>
  <c r="AT37" i="6"/>
  <c r="AS37" i="6"/>
  <c r="AR37" i="6"/>
  <c r="AQ37" i="6"/>
  <c r="AP37" i="6"/>
  <c r="AV36" i="6"/>
  <c r="AU36" i="6"/>
  <c r="AT36" i="6"/>
  <c r="AS36" i="6"/>
  <c r="AR36" i="6"/>
  <c r="AQ36" i="6"/>
  <c r="AP36" i="6"/>
  <c r="AV35" i="6"/>
  <c r="AU35" i="6"/>
  <c r="AT35" i="6"/>
  <c r="AS35" i="6"/>
  <c r="AR35" i="6"/>
  <c r="AQ35" i="6"/>
  <c r="AP35" i="6"/>
  <c r="AV34" i="6"/>
  <c r="AU34" i="6"/>
  <c r="AT34" i="6"/>
  <c r="AS34" i="6"/>
  <c r="AR34" i="6"/>
  <c r="AQ34" i="6"/>
  <c r="AP34" i="6"/>
  <c r="AV33" i="6"/>
  <c r="AU33" i="6"/>
  <c r="AT33" i="6"/>
  <c r="AS33" i="6"/>
  <c r="AR33" i="6"/>
  <c r="AQ33" i="6"/>
  <c r="AP33" i="6"/>
  <c r="AV32" i="6"/>
  <c r="AU32" i="6"/>
  <c r="AT32" i="6"/>
  <c r="AS32" i="6"/>
  <c r="AR32" i="6"/>
  <c r="AQ32" i="6"/>
  <c r="AP32" i="6"/>
  <c r="AV31" i="6"/>
  <c r="AU31" i="6"/>
  <c r="AT31" i="6"/>
  <c r="AS31" i="6"/>
  <c r="AR31" i="6"/>
  <c r="AQ31" i="6"/>
  <c r="AP31" i="6"/>
  <c r="AV30" i="6"/>
  <c r="AU30" i="6"/>
  <c r="AT30" i="6"/>
  <c r="AS30" i="6"/>
  <c r="AR30" i="6"/>
  <c r="AQ30" i="6"/>
  <c r="AP30" i="6"/>
  <c r="AV29" i="6"/>
  <c r="AU29" i="6"/>
  <c r="AT29" i="6"/>
  <c r="AS29" i="6"/>
  <c r="AR29" i="6"/>
  <c r="AQ29" i="6"/>
  <c r="AP29" i="6"/>
  <c r="AV28" i="6"/>
  <c r="AU28" i="6"/>
  <c r="AT28" i="6"/>
  <c r="AS28" i="6"/>
  <c r="AR28" i="6"/>
  <c r="AQ28" i="6"/>
  <c r="AP28" i="6"/>
  <c r="AV27" i="6"/>
  <c r="AU27" i="6"/>
  <c r="AT27" i="6"/>
  <c r="AS27" i="6"/>
  <c r="AR27" i="6"/>
  <c r="AQ27" i="6"/>
  <c r="AP27" i="6"/>
  <c r="AV26" i="6"/>
  <c r="AU26" i="6"/>
  <c r="AT26" i="6"/>
  <c r="AS26" i="6"/>
  <c r="AR26" i="6"/>
  <c r="AQ26" i="6"/>
  <c r="AP26" i="6"/>
  <c r="AV25" i="6"/>
  <c r="AU25" i="6"/>
  <c r="AT25" i="6"/>
  <c r="AS25" i="6"/>
  <c r="AR25" i="6"/>
  <c r="AQ25" i="6"/>
  <c r="AP25" i="6"/>
  <c r="AV24" i="6"/>
  <c r="AU24" i="6"/>
  <c r="AT24" i="6"/>
  <c r="AS24" i="6"/>
  <c r="AR24" i="6"/>
  <c r="AQ24" i="6"/>
  <c r="AP24" i="6"/>
  <c r="AX64" i="6" l="1"/>
  <c r="AX53" i="6"/>
  <c r="AX51" i="6"/>
  <c r="AX55" i="6"/>
  <c r="AX59" i="6"/>
  <c r="AX50" i="6"/>
  <c r="AX62" i="6"/>
  <c r="AX63" i="6"/>
  <c r="AX65" i="6"/>
  <c r="AX54" i="6"/>
  <c r="AX47" i="6"/>
  <c r="AK57" i="6"/>
  <c r="AL57" i="6" s="1"/>
  <c r="AX57" i="6" s="1"/>
  <c r="AK65" i="6"/>
  <c r="AL65" i="6" s="1"/>
  <c r="AK61" i="6"/>
  <c r="AL61" i="6" s="1"/>
  <c r="AX61" i="6" s="1"/>
  <c r="AG43" i="6" l="1"/>
  <c r="AI43" i="6" s="1"/>
  <c r="AD43" i="6"/>
  <c r="AC43" i="6"/>
  <c r="AB43" i="6"/>
  <c r="AJ43" i="6" s="1"/>
  <c r="AA43" i="6"/>
  <c r="T43" i="6"/>
  <c r="S43" i="6"/>
  <c r="R43" i="6"/>
  <c r="Q43" i="6"/>
  <c r="AG42" i="6"/>
  <c r="AI42" i="6" s="1"/>
  <c r="AD42" i="6"/>
  <c r="AC42" i="6"/>
  <c r="AB42" i="6"/>
  <c r="AJ42" i="6" s="1"/>
  <c r="AA42" i="6"/>
  <c r="T42" i="6"/>
  <c r="S42" i="6"/>
  <c r="R42" i="6"/>
  <c r="Q42" i="6"/>
  <c r="AG41" i="6"/>
  <c r="AI41" i="6" s="1"/>
  <c r="AD41" i="6"/>
  <c r="AC41" i="6"/>
  <c r="AB41" i="6"/>
  <c r="AJ41" i="6" s="1"/>
  <c r="AA41" i="6"/>
  <c r="T41" i="6"/>
  <c r="S41" i="6"/>
  <c r="R41" i="6"/>
  <c r="Q41" i="6"/>
  <c r="AG40" i="6"/>
  <c r="AI40" i="6" s="1"/>
  <c r="AD40" i="6"/>
  <c r="AC40" i="6"/>
  <c r="AB40" i="6"/>
  <c r="AJ40" i="6" s="1"/>
  <c r="AA40" i="6"/>
  <c r="T40" i="6"/>
  <c r="S40" i="6"/>
  <c r="R40" i="6"/>
  <c r="Q40" i="6"/>
  <c r="AG39" i="6"/>
  <c r="AI39" i="6" s="1"/>
  <c r="AD39" i="6"/>
  <c r="AC39" i="6"/>
  <c r="AB39" i="6"/>
  <c r="AJ39" i="6" s="1"/>
  <c r="AA39" i="6"/>
  <c r="T39" i="6"/>
  <c r="S39" i="6"/>
  <c r="R39" i="6"/>
  <c r="Q39" i="6"/>
  <c r="AG38" i="6"/>
  <c r="AI38" i="6" s="1"/>
  <c r="AK38" i="6" s="1"/>
  <c r="AL38" i="6" s="1"/>
  <c r="AD38" i="6"/>
  <c r="AC38" i="6"/>
  <c r="AB38" i="6"/>
  <c r="AJ38" i="6" s="1"/>
  <c r="AA38" i="6"/>
  <c r="T38" i="6"/>
  <c r="S38" i="6"/>
  <c r="R38" i="6"/>
  <c r="Q38" i="6"/>
  <c r="AG37" i="6"/>
  <c r="AI37" i="6" s="1"/>
  <c r="AD37" i="6"/>
  <c r="AC37" i="6"/>
  <c r="AB37" i="6"/>
  <c r="AJ37" i="6" s="1"/>
  <c r="AA37" i="6"/>
  <c r="AH37" i="6" s="1"/>
  <c r="AN37" i="6" s="1"/>
  <c r="T37" i="6"/>
  <c r="S37" i="6"/>
  <c r="R37" i="6"/>
  <c r="Q37" i="6"/>
  <c r="AG36" i="6"/>
  <c r="AI36" i="6" s="1"/>
  <c r="AD36" i="6"/>
  <c r="AC36" i="6"/>
  <c r="AB36" i="6"/>
  <c r="AJ36" i="6" s="1"/>
  <c r="AA36" i="6"/>
  <c r="T36" i="6"/>
  <c r="S36" i="6"/>
  <c r="R36" i="6"/>
  <c r="Q36" i="6"/>
  <c r="AG35" i="6"/>
  <c r="AI35" i="6" s="1"/>
  <c r="AD35" i="6"/>
  <c r="AC35" i="6"/>
  <c r="AB35" i="6"/>
  <c r="AJ35" i="6" s="1"/>
  <c r="AA35" i="6"/>
  <c r="T35" i="6"/>
  <c r="S35" i="6"/>
  <c r="R35" i="6"/>
  <c r="Q35" i="6"/>
  <c r="AG34" i="6"/>
  <c r="AI34" i="6" s="1"/>
  <c r="AD34" i="6"/>
  <c r="AC34" i="6"/>
  <c r="AB34" i="6"/>
  <c r="AJ34" i="6" s="1"/>
  <c r="AA34" i="6"/>
  <c r="T34" i="6"/>
  <c r="S34" i="6"/>
  <c r="R34" i="6"/>
  <c r="Q34" i="6"/>
  <c r="AJ33" i="6"/>
  <c r="AI33" i="6"/>
  <c r="AG33" i="6"/>
  <c r="AD33" i="6"/>
  <c r="AC33" i="6"/>
  <c r="AK33" i="6" s="1"/>
  <c r="AL33" i="6" s="1"/>
  <c r="AB33" i="6"/>
  <c r="AA33" i="6"/>
  <c r="T33" i="6"/>
  <c r="S33" i="6"/>
  <c r="R33" i="6"/>
  <c r="Q33" i="6"/>
  <c r="AJ32" i="6"/>
  <c r="AI32" i="6"/>
  <c r="AG32" i="6"/>
  <c r="AD32" i="6"/>
  <c r="AC32" i="6"/>
  <c r="AK32" i="6" s="1"/>
  <c r="AL32" i="6" s="1"/>
  <c r="AB32" i="6"/>
  <c r="AA32" i="6"/>
  <c r="T32" i="6"/>
  <c r="S32" i="6"/>
  <c r="R32" i="6"/>
  <c r="Q32" i="6"/>
  <c r="AJ31" i="6"/>
  <c r="AI31" i="6"/>
  <c r="AG31" i="6"/>
  <c r="AD31" i="6"/>
  <c r="AC31" i="6"/>
  <c r="AB31" i="6"/>
  <c r="AA31" i="6"/>
  <c r="T31" i="6"/>
  <c r="S31" i="6"/>
  <c r="R31" i="6"/>
  <c r="Q31" i="6"/>
  <c r="AJ30" i="6"/>
  <c r="AI30" i="6"/>
  <c r="AG30" i="6"/>
  <c r="AD30" i="6"/>
  <c r="AC30" i="6"/>
  <c r="AK30" i="6" s="1"/>
  <c r="AL30" i="6" s="1"/>
  <c r="AB30" i="6"/>
  <c r="AA30" i="6"/>
  <c r="T30" i="6"/>
  <c r="S30" i="6"/>
  <c r="R30" i="6"/>
  <c r="Q30" i="6"/>
  <c r="AJ29" i="6"/>
  <c r="AI29" i="6"/>
  <c r="AG29" i="6"/>
  <c r="AD29" i="6"/>
  <c r="AC29" i="6"/>
  <c r="AK29" i="6" s="1"/>
  <c r="AL29" i="6" s="1"/>
  <c r="AB29" i="6"/>
  <c r="AA29" i="6"/>
  <c r="T29" i="6"/>
  <c r="S29" i="6"/>
  <c r="R29" i="6"/>
  <c r="Q29" i="6"/>
  <c r="AJ28" i="6"/>
  <c r="AI28" i="6"/>
  <c r="AG28" i="6"/>
  <c r="AD28" i="6"/>
  <c r="AC28" i="6"/>
  <c r="AK28" i="6" s="1"/>
  <c r="AL28" i="6" s="1"/>
  <c r="AB28" i="6"/>
  <c r="AA28" i="6"/>
  <c r="T28" i="6"/>
  <c r="S28" i="6"/>
  <c r="R28" i="6"/>
  <c r="Q28" i="6"/>
  <c r="AJ27" i="6"/>
  <c r="AI27" i="6"/>
  <c r="AG27" i="6"/>
  <c r="AD27" i="6"/>
  <c r="AC27" i="6"/>
  <c r="AK27" i="6" s="1"/>
  <c r="AL27" i="6" s="1"/>
  <c r="AB27" i="6"/>
  <c r="AA27" i="6"/>
  <c r="T27" i="6"/>
  <c r="S27" i="6"/>
  <c r="R27" i="6"/>
  <c r="Q27" i="6"/>
  <c r="AJ26" i="6"/>
  <c r="AI26" i="6"/>
  <c r="AG26" i="6"/>
  <c r="AD26" i="6"/>
  <c r="AC26" i="6"/>
  <c r="AK26" i="6" s="1"/>
  <c r="AL26" i="6" s="1"/>
  <c r="AB26" i="6"/>
  <c r="AA26" i="6"/>
  <c r="T26" i="6"/>
  <c r="S26" i="6"/>
  <c r="R26" i="6"/>
  <c r="Q26" i="6"/>
  <c r="AJ25" i="6"/>
  <c r="AI25" i="6"/>
  <c r="AG25" i="6"/>
  <c r="AD25" i="6"/>
  <c r="AC25" i="6"/>
  <c r="AK25" i="6" s="1"/>
  <c r="AL25" i="6" s="1"/>
  <c r="AB25" i="6"/>
  <c r="AA25" i="6"/>
  <c r="T25" i="6"/>
  <c r="S25" i="6"/>
  <c r="R25" i="6"/>
  <c r="Q25" i="6"/>
  <c r="AJ24" i="6"/>
  <c r="AI24" i="6"/>
  <c r="AG24" i="6"/>
  <c r="AD24" i="6"/>
  <c r="AH24" i="6" s="1"/>
  <c r="AN24" i="6" s="1"/>
  <c r="AC24" i="6"/>
  <c r="AK24" i="6" s="1"/>
  <c r="AL24" i="6" s="1"/>
  <c r="AB24" i="6"/>
  <c r="AA24" i="6"/>
  <c r="T24" i="6"/>
  <c r="S24" i="6"/>
  <c r="R24" i="6"/>
  <c r="Q2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CG43" i="6"/>
  <c r="CE43" i="6"/>
  <c r="BQ43" i="6"/>
  <c r="BP43" i="6"/>
  <c r="BO43" i="6"/>
  <c r="BN43" i="6"/>
  <c r="BM43" i="6"/>
  <c r="BL43" i="6"/>
  <c r="BK43" i="6"/>
  <c r="BJ43" i="6"/>
  <c r="BI43" i="6"/>
  <c r="BH43" i="6"/>
  <c r="CU43" i="6" s="1"/>
  <c r="BG43" i="6"/>
  <c r="CT43" i="6" s="1"/>
  <c r="BF43" i="6"/>
  <c r="BE43" i="6"/>
  <c r="CR43" i="6" s="1"/>
  <c r="BD43" i="6"/>
  <c r="CG42" i="6"/>
  <c r="CE42" i="6"/>
  <c r="BQ42" i="6"/>
  <c r="BP42" i="6"/>
  <c r="BO42" i="6"/>
  <c r="BN42" i="6"/>
  <c r="BM42" i="6"/>
  <c r="BL42" i="6"/>
  <c r="BK42" i="6"/>
  <c r="BJ42" i="6"/>
  <c r="BI42" i="6"/>
  <c r="BH42" i="6"/>
  <c r="CU42" i="6" s="1"/>
  <c r="BG42" i="6"/>
  <c r="CT42" i="6" s="1"/>
  <c r="BF42" i="6"/>
  <c r="BE42" i="6"/>
  <c r="CR42" i="6" s="1"/>
  <c r="BD42" i="6"/>
  <c r="CG41" i="6"/>
  <c r="CE41" i="6"/>
  <c r="BQ41" i="6"/>
  <c r="BP41" i="6"/>
  <c r="BO41" i="6"/>
  <c r="BN41" i="6"/>
  <c r="BM41" i="6"/>
  <c r="BL41" i="6"/>
  <c r="BK41" i="6"/>
  <c r="BJ41" i="6"/>
  <c r="BI41" i="6"/>
  <c r="BH41" i="6"/>
  <c r="CU41" i="6" s="1"/>
  <c r="BG41" i="6"/>
  <c r="CT41" i="6" s="1"/>
  <c r="BF41" i="6"/>
  <c r="BE41" i="6"/>
  <c r="CR41" i="6" s="1"/>
  <c r="BD41" i="6"/>
  <c r="CG40" i="6"/>
  <c r="CE40" i="6"/>
  <c r="BQ40" i="6"/>
  <c r="BP40" i="6"/>
  <c r="BO40" i="6"/>
  <c r="BN40" i="6"/>
  <c r="BM40" i="6"/>
  <c r="BL40" i="6"/>
  <c r="BK40" i="6"/>
  <c r="BJ40" i="6"/>
  <c r="BI40" i="6"/>
  <c r="BH40" i="6"/>
  <c r="CU40" i="6" s="1"/>
  <c r="BG40" i="6"/>
  <c r="CT40" i="6" s="1"/>
  <c r="BF40" i="6"/>
  <c r="CS40" i="6" s="1"/>
  <c r="BE40" i="6"/>
  <c r="CR40" i="6" s="1"/>
  <c r="BD40" i="6"/>
  <c r="CG39" i="6"/>
  <c r="CE39" i="6"/>
  <c r="BQ39" i="6"/>
  <c r="BP39" i="6"/>
  <c r="BO39" i="6"/>
  <c r="BN39" i="6"/>
  <c r="BM39" i="6"/>
  <c r="BL39" i="6"/>
  <c r="BK39" i="6"/>
  <c r="BJ39" i="6"/>
  <c r="BI39" i="6"/>
  <c r="BH39" i="6"/>
  <c r="CU39" i="6" s="1"/>
  <c r="BG39" i="6"/>
  <c r="CT39" i="6" s="1"/>
  <c r="BF39" i="6"/>
  <c r="CS39" i="6" s="1"/>
  <c r="BE39" i="6"/>
  <c r="CR39" i="6" s="1"/>
  <c r="BD39" i="6"/>
  <c r="CG38" i="6"/>
  <c r="CE38" i="6"/>
  <c r="BQ38" i="6"/>
  <c r="BP38" i="6"/>
  <c r="BO38" i="6"/>
  <c r="BN38" i="6"/>
  <c r="BM38" i="6"/>
  <c r="BL38" i="6"/>
  <c r="BK38" i="6"/>
  <c r="BJ38" i="6"/>
  <c r="BI38" i="6"/>
  <c r="BH38" i="6"/>
  <c r="CU38" i="6" s="1"/>
  <c r="BG38" i="6"/>
  <c r="CT38" i="6" s="1"/>
  <c r="BF38" i="6"/>
  <c r="BE38" i="6"/>
  <c r="CR38" i="6" s="1"/>
  <c r="BD38" i="6"/>
  <c r="CG37" i="6"/>
  <c r="CE37" i="6"/>
  <c r="BQ37" i="6"/>
  <c r="BP37" i="6"/>
  <c r="BO37" i="6"/>
  <c r="BN37" i="6"/>
  <c r="BM37" i="6"/>
  <c r="BL37" i="6"/>
  <c r="BK37" i="6"/>
  <c r="BJ37" i="6"/>
  <c r="BI37" i="6"/>
  <c r="BH37" i="6"/>
  <c r="CU37" i="6" s="1"/>
  <c r="BG37" i="6"/>
  <c r="CT37" i="6" s="1"/>
  <c r="BF37" i="6"/>
  <c r="BE37" i="6"/>
  <c r="CR37" i="6" s="1"/>
  <c r="BD37" i="6"/>
  <c r="CG36" i="6"/>
  <c r="CE36" i="6"/>
  <c r="BQ36" i="6"/>
  <c r="BP36" i="6"/>
  <c r="BO36" i="6"/>
  <c r="BN36" i="6"/>
  <c r="BM36" i="6"/>
  <c r="BL36" i="6"/>
  <c r="BK36" i="6"/>
  <c r="BJ36" i="6"/>
  <c r="BI36" i="6"/>
  <c r="BH36" i="6"/>
  <c r="CU36" i="6" s="1"/>
  <c r="BG36" i="6"/>
  <c r="CT36" i="6" s="1"/>
  <c r="BF36" i="6"/>
  <c r="BE36" i="6"/>
  <c r="CR36" i="6" s="1"/>
  <c r="BD36" i="6"/>
  <c r="CG35" i="6"/>
  <c r="CE35" i="6"/>
  <c r="BQ35" i="6"/>
  <c r="BP35" i="6"/>
  <c r="BO35" i="6"/>
  <c r="BN35" i="6"/>
  <c r="BM35" i="6"/>
  <c r="BL35" i="6"/>
  <c r="BK35" i="6"/>
  <c r="BJ35" i="6"/>
  <c r="BI35" i="6"/>
  <c r="BH35" i="6"/>
  <c r="CU35" i="6" s="1"/>
  <c r="BG35" i="6"/>
  <c r="CT35" i="6" s="1"/>
  <c r="BF35" i="6"/>
  <c r="BE35" i="6"/>
  <c r="CR35" i="6" s="1"/>
  <c r="BD35" i="6"/>
  <c r="CG34" i="6"/>
  <c r="CE34" i="6"/>
  <c r="BQ34" i="6"/>
  <c r="BP34" i="6"/>
  <c r="BO34" i="6"/>
  <c r="BN34" i="6"/>
  <c r="BM34" i="6"/>
  <c r="BL34" i="6"/>
  <c r="BK34" i="6"/>
  <c r="BJ34" i="6"/>
  <c r="BI34" i="6"/>
  <c r="BH34" i="6"/>
  <c r="CU34" i="6" s="1"/>
  <c r="BG34" i="6"/>
  <c r="CT34" i="6" s="1"/>
  <c r="BF34" i="6"/>
  <c r="BE34" i="6"/>
  <c r="CR34" i="6" s="1"/>
  <c r="BD34" i="6"/>
  <c r="CG33" i="6"/>
  <c r="CE33" i="6"/>
  <c r="BQ33" i="6"/>
  <c r="BP33" i="6"/>
  <c r="BO33" i="6"/>
  <c r="BN33" i="6"/>
  <c r="BM33" i="6"/>
  <c r="BL33" i="6"/>
  <c r="BK33" i="6"/>
  <c r="BJ33" i="6"/>
  <c r="BI33" i="6"/>
  <c r="BH33" i="6"/>
  <c r="CU33" i="6" s="1"/>
  <c r="BG33" i="6"/>
  <c r="CT33" i="6" s="1"/>
  <c r="BF33" i="6"/>
  <c r="BE33" i="6"/>
  <c r="CR33" i="6" s="1"/>
  <c r="BD33" i="6"/>
  <c r="CG32" i="6"/>
  <c r="CE32" i="6"/>
  <c r="BQ32" i="6"/>
  <c r="BP32" i="6"/>
  <c r="BO32" i="6"/>
  <c r="BN32" i="6"/>
  <c r="BM32" i="6"/>
  <c r="BL32" i="6"/>
  <c r="BK32" i="6"/>
  <c r="BJ32" i="6"/>
  <c r="BI32" i="6"/>
  <c r="BH32" i="6"/>
  <c r="CU32" i="6" s="1"/>
  <c r="BG32" i="6"/>
  <c r="CT32" i="6" s="1"/>
  <c r="BF32" i="6"/>
  <c r="CS32" i="6" s="1"/>
  <c r="BE32" i="6"/>
  <c r="CR32" i="6" s="1"/>
  <c r="BD32" i="6"/>
  <c r="CG31" i="6"/>
  <c r="CE31" i="6"/>
  <c r="BQ31" i="6"/>
  <c r="BP31" i="6"/>
  <c r="BO31" i="6"/>
  <c r="BN31" i="6"/>
  <c r="BM31" i="6"/>
  <c r="BL31" i="6"/>
  <c r="BK31" i="6"/>
  <c r="BJ31" i="6"/>
  <c r="BI31" i="6"/>
  <c r="BH31" i="6"/>
  <c r="CU31" i="6" s="1"/>
  <c r="BG31" i="6"/>
  <c r="CT31" i="6" s="1"/>
  <c r="BF31" i="6"/>
  <c r="CS31" i="6" s="1"/>
  <c r="BE31" i="6"/>
  <c r="CR31" i="6" s="1"/>
  <c r="BD31" i="6"/>
  <c r="CG30" i="6"/>
  <c r="CE30" i="6"/>
  <c r="BQ30" i="6"/>
  <c r="BP30" i="6"/>
  <c r="BO30" i="6"/>
  <c r="BN30" i="6"/>
  <c r="BM30" i="6"/>
  <c r="BL30" i="6"/>
  <c r="BK30" i="6"/>
  <c r="BJ30" i="6"/>
  <c r="BI30" i="6"/>
  <c r="BH30" i="6"/>
  <c r="CU30" i="6" s="1"/>
  <c r="BG30" i="6"/>
  <c r="CT30" i="6" s="1"/>
  <c r="BF30" i="6"/>
  <c r="CS30" i="6" s="1"/>
  <c r="BE30" i="6"/>
  <c r="CR30" i="6" s="1"/>
  <c r="BD30" i="6"/>
  <c r="CG29" i="6"/>
  <c r="CE29" i="6"/>
  <c r="BQ29" i="6"/>
  <c r="BP29" i="6"/>
  <c r="BO29" i="6"/>
  <c r="BN29" i="6"/>
  <c r="BM29" i="6"/>
  <c r="BL29" i="6"/>
  <c r="BK29" i="6"/>
  <c r="BJ29" i="6"/>
  <c r="BI29" i="6"/>
  <c r="BH29" i="6"/>
  <c r="CU29" i="6" s="1"/>
  <c r="BG29" i="6"/>
  <c r="CT29" i="6" s="1"/>
  <c r="BF29" i="6"/>
  <c r="BE29" i="6"/>
  <c r="CR29" i="6" s="1"/>
  <c r="BD29" i="6"/>
  <c r="CG28" i="6"/>
  <c r="CE28" i="6"/>
  <c r="BQ28" i="6"/>
  <c r="BP28" i="6"/>
  <c r="BO28" i="6"/>
  <c r="BN28" i="6"/>
  <c r="BM28" i="6"/>
  <c r="BL28" i="6"/>
  <c r="BK28" i="6"/>
  <c r="BJ28" i="6"/>
  <c r="BI28" i="6"/>
  <c r="BH28" i="6"/>
  <c r="CU28" i="6" s="1"/>
  <c r="BG28" i="6"/>
  <c r="CT28" i="6" s="1"/>
  <c r="BF28" i="6"/>
  <c r="BE28" i="6"/>
  <c r="CR28" i="6" s="1"/>
  <c r="BD28" i="6"/>
  <c r="CG27" i="6"/>
  <c r="CE27" i="6"/>
  <c r="BQ27" i="6"/>
  <c r="BP27" i="6"/>
  <c r="BO27" i="6"/>
  <c r="BN27" i="6"/>
  <c r="BM27" i="6"/>
  <c r="BL27" i="6"/>
  <c r="BK27" i="6"/>
  <c r="BJ27" i="6"/>
  <c r="BI27" i="6"/>
  <c r="BH27" i="6"/>
  <c r="CU27" i="6" s="1"/>
  <c r="BG27" i="6"/>
  <c r="CT27" i="6" s="1"/>
  <c r="BF27" i="6"/>
  <c r="BE27" i="6"/>
  <c r="CR27" i="6" s="1"/>
  <c r="BD27" i="6"/>
  <c r="CG26" i="6"/>
  <c r="CE26" i="6"/>
  <c r="BQ26" i="6"/>
  <c r="BP26" i="6"/>
  <c r="BO26" i="6"/>
  <c r="BN26" i="6"/>
  <c r="BM26" i="6"/>
  <c r="BL26" i="6"/>
  <c r="BK26" i="6"/>
  <c r="BJ26" i="6"/>
  <c r="BI26" i="6"/>
  <c r="BH26" i="6"/>
  <c r="CU26" i="6" s="1"/>
  <c r="BG26" i="6"/>
  <c r="CT26" i="6" s="1"/>
  <c r="BF26" i="6"/>
  <c r="BE26" i="6"/>
  <c r="CR26" i="6" s="1"/>
  <c r="BD26" i="6"/>
  <c r="CG25" i="6"/>
  <c r="CE25" i="6"/>
  <c r="BQ25" i="6"/>
  <c r="BP25" i="6"/>
  <c r="BO25" i="6"/>
  <c r="BN25" i="6"/>
  <c r="BM25" i="6"/>
  <c r="BL25" i="6"/>
  <c r="BK25" i="6"/>
  <c r="BJ25" i="6"/>
  <c r="BI25" i="6"/>
  <c r="BH25" i="6"/>
  <c r="CU25" i="6" s="1"/>
  <c r="BG25" i="6"/>
  <c r="CT25" i="6" s="1"/>
  <c r="BF25" i="6"/>
  <c r="BE25" i="6"/>
  <c r="CR25" i="6" s="1"/>
  <c r="BD25" i="6"/>
  <c r="CG24" i="6"/>
  <c r="CE24" i="6"/>
  <c r="BQ24" i="6"/>
  <c r="BP24" i="6"/>
  <c r="BO24" i="6"/>
  <c r="BN24" i="6"/>
  <c r="BM24" i="6"/>
  <c r="BL24" i="6"/>
  <c r="BK24" i="6"/>
  <c r="BJ24" i="6"/>
  <c r="BI24" i="6"/>
  <c r="BH24" i="6"/>
  <c r="CU24" i="6" s="1"/>
  <c r="BG24" i="6"/>
  <c r="CT24" i="6" s="1"/>
  <c r="BF24" i="6"/>
  <c r="CS24" i="6" s="1"/>
  <c r="BE24" i="6"/>
  <c r="CR24" i="6" s="1"/>
  <c r="BD24" i="6"/>
  <c r="CH43" i="6"/>
  <c r="K43" i="6"/>
  <c r="CH42" i="6"/>
  <c r="K42" i="6"/>
  <c r="CH41" i="6"/>
  <c r="K41" i="6"/>
  <c r="CH40" i="6"/>
  <c r="K40" i="6"/>
  <c r="CH39" i="6"/>
  <c r="K39" i="6"/>
  <c r="N39" i="6" s="1"/>
  <c r="AM39" i="6" s="1"/>
  <c r="CH38" i="6"/>
  <c r="K38" i="6"/>
  <c r="N38" i="6" s="1"/>
  <c r="AM38" i="6" s="1"/>
  <c r="CH37" i="6"/>
  <c r="K37" i="6"/>
  <c r="CH36" i="6"/>
  <c r="K36" i="6"/>
  <c r="CH35" i="6"/>
  <c r="K35" i="6"/>
  <c r="N35" i="6" s="1"/>
  <c r="AM35" i="6" s="1"/>
  <c r="CH34" i="6"/>
  <c r="K34" i="6"/>
  <c r="N34" i="6" s="1"/>
  <c r="AM34" i="6" s="1"/>
  <c r="CH33" i="6"/>
  <c r="K33" i="6"/>
  <c r="CH32" i="6"/>
  <c r="K32" i="6"/>
  <c r="CH31" i="6"/>
  <c r="K31" i="6"/>
  <c r="N31" i="6" s="1"/>
  <c r="AM31" i="6" s="1"/>
  <c r="CH30" i="6"/>
  <c r="K30" i="6"/>
  <c r="N30" i="6" s="1"/>
  <c r="AM30" i="6" s="1"/>
  <c r="CH29" i="6"/>
  <c r="K29" i="6"/>
  <c r="CH28" i="6"/>
  <c r="K28" i="6"/>
  <c r="CH27" i="6"/>
  <c r="K27" i="6"/>
  <c r="N27" i="6" s="1"/>
  <c r="AM27" i="6" s="1"/>
  <c r="CH26" i="6"/>
  <c r="K26" i="6"/>
  <c r="N26" i="6" s="1"/>
  <c r="AM26" i="6" s="1"/>
  <c r="CH25" i="6"/>
  <c r="K25" i="6"/>
  <c r="CH24" i="6"/>
  <c r="K24" i="6"/>
  <c r="CH21" i="6"/>
  <c r="K21" i="6"/>
  <c r="CH20" i="6"/>
  <c r="K20" i="6"/>
  <c r="CH19" i="6"/>
  <c r="K19" i="6"/>
  <c r="CH18" i="6"/>
  <c r="K18" i="6"/>
  <c r="CH17" i="6"/>
  <c r="K17" i="6"/>
  <c r="CH16" i="6"/>
  <c r="K16" i="6"/>
  <c r="CH15" i="6"/>
  <c r="K15" i="6"/>
  <c r="CH14" i="6"/>
  <c r="K14" i="6"/>
  <c r="CH13" i="6"/>
  <c r="K13" i="6"/>
  <c r="CH12" i="6"/>
  <c r="K12" i="6"/>
  <c r="CH11" i="6"/>
  <c r="K11" i="6"/>
  <c r="CH10" i="6"/>
  <c r="K10" i="6"/>
  <c r="CH9" i="6"/>
  <c r="K9" i="6"/>
  <c r="CH8" i="6"/>
  <c r="K8" i="6"/>
  <c r="CH7" i="6"/>
  <c r="K7" i="6"/>
  <c r="CH6" i="6"/>
  <c r="K6" i="6"/>
  <c r="CH5" i="6"/>
  <c r="K5" i="6"/>
  <c r="CH4" i="6"/>
  <c r="K4" i="6"/>
  <c r="CH3" i="6"/>
  <c r="K3" i="6"/>
  <c r="CH2" i="6"/>
  <c r="K2" i="6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I2" i="6"/>
  <c r="CB2" i="6" s="1"/>
  <c r="I24" i="6"/>
  <c r="CB24" i="6" s="1"/>
  <c r="I46" i="6"/>
  <c r="I68" i="6"/>
  <c r="I90" i="6"/>
  <c r="I112" i="6"/>
  <c r="I134" i="6"/>
  <c r="I156" i="6"/>
  <c r="I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00" i="6"/>
  <c r="H178" i="6"/>
  <c r="I178" i="6"/>
  <c r="G178" i="6"/>
  <c r="G156" i="6"/>
  <c r="H134" i="6"/>
  <c r="G134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H68" i="6"/>
  <c r="G68" i="6"/>
  <c r="G46" i="6"/>
  <c r="H24" i="6"/>
  <c r="G24" i="6"/>
  <c r="E201" i="6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179" i="6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57" i="6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35" i="6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13" i="6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91" i="6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69" i="6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47" i="6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C179" i="6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35" i="6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G153" i="6" s="1"/>
  <c r="C69" i="6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G87" i="6" s="1"/>
  <c r="C25" i="6"/>
  <c r="G25" i="6" s="1"/>
  <c r="B201" i="6"/>
  <c r="B202" i="6" s="1"/>
  <c r="B203" i="6" s="1"/>
  <c r="B204" i="6" s="1"/>
  <c r="B205" i="6" s="1"/>
  <c r="I205" i="6" s="1"/>
  <c r="B179" i="6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I197" i="6" s="1"/>
  <c r="B157" i="6"/>
  <c r="B158" i="6" s="1"/>
  <c r="I158" i="6" s="1"/>
  <c r="B135" i="6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I153" i="6" s="1"/>
  <c r="B113" i="6"/>
  <c r="B114" i="6" s="1"/>
  <c r="I114" i="6" s="1"/>
  <c r="B91" i="6"/>
  <c r="B92" i="6" s="1"/>
  <c r="I92" i="6" s="1"/>
  <c r="B69" i="6"/>
  <c r="B70" i="6" s="1"/>
  <c r="B71" i="6" s="1"/>
  <c r="B72" i="6" s="1"/>
  <c r="I72" i="6" s="1"/>
  <c r="B47" i="6"/>
  <c r="B48" i="6" s="1"/>
  <c r="I48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B3" i="6"/>
  <c r="I3" i="6" s="1"/>
  <c r="CB3" i="6" s="1"/>
  <c r="BC3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D201" i="6"/>
  <c r="D200" i="6"/>
  <c r="D156" i="6"/>
  <c r="D112" i="6"/>
  <c r="D91" i="6"/>
  <c r="D90" i="6"/>
  <c r="D47" i="6"/>
  <c r="D46" i="6"/>
  <c r="B2" i="1"/>
  <c r="D2" i="1" s="1"/>
  <c r="B3" i="1"/>
  <c r="CA3" i="1" s="1"/>
  <c r="BD3" i="1" s="1"/>
  <c r="B4" i="1"/>
  <c r="D4" i="1" s="1"/>
  <c r="B5" i="1"/>
  <c r="D5" i="1" s="1"/>
  <c r="B6" i="1"/>
  <c r="CA6" i="1" s="1"/>
  <c r="BD6" i="1" s="1"/>
  <c r="B7" i="1"/>
  <c r="CA7" i="1" s="1"/>
  <c r="BD7" i="1" s="1"/>
  <c r="B8" i="1"/>
  <c r="CA8" i="1" s="1"/>
  <c r="BD8" i="1" s="1"/>
  <c r="B9" i="1"/>
  <c r="CA9" i="1" s="1"/>
  <c r="BD9" i="1" s="1"/>
  <c r="B10" i="1"/>
  <c r="CA10" i="1" s="1"/>
  <c r="BD10" i="1" s="1"/>
  <c r="B11" i="1"/>
  <c r="CA11" i="1" s="1"/>
  <c r="BD11" i="1" s="1"/>
  <c r="B12" i="1"/>
  <c r="D12" i="1" s="1"/>
  <c r="B13" i="1"/>
  <c r="D13" i="1" s="1"/>
  <c r="B14" i="1"/>
  <c r="CA14" i="1" s="1"/>
  <c r="BD14" i="1" s="1"/>
  <c r="B15" i="1"/>
  <c r="D15" i="1" s="1"/>
  <c r="B16" i="1"/>
  <c r="CA16" i="1" s="1"/>
  <c r="BD16" i="1" s="1"/>
  <c r="B17" i="1"/>
  <c r="CA17" i="1" s="1"/>
  <c r="BD17" i="1" s="1"/>
  <c r="B18" i="1"/>
  <c r="D18" i="1" s="1"/>
  <c r="B19" i="1"/>
  <c r="D19" i="1" s="1"/>
  <c r="B20" i="1"/>
  <c r="D20" i="1" s="1"/>
  <c r="B21" i="1"/>
  <c r="CA21" i="1" s="1"/>
  <c r="BD21" i="1" s="1"/>
  <c r="CG21" i="1"/>
  <c r="L21" i="1"/>
  <c r="CG20" i="1"/>
  <c r="L20" i="1"/>
  <c r="CG19" i="1"/>
  <c r="L19" i="1"/>
  <c r="CG18" i="1"/>
  <c r="L18" i="1"/>
  <c r="CG17" i="1"/>
  <c r="L17" i="1"/>
  <c r="CG16" i="1"/>
  <c r="L16" i="1"/>
  <c r="CG15" i="1"/>
  <c r="L15" i="1"/>
  <c r="CG14" i="1"/>
  <c r="L14" i="1"/>
  <c r="CG13" i="1"/>
  <c r="L13" i="1"/>
  <c r="CG12" i="1"/>
  <c r="L12" i="1"/>
  <c r="CG11" i="1"/>
  <c r="L11" i="1"/>
  <c r="CG10" i="1"/>
  <c r="L10" i="1"/>
  <c r="CG9" i="1"/>
  <c r="L9" i="1"/>
  <c r="CG8" i="1"/>
  <c r="L8" i="1"/>
  <c r="CG7" i="1"/>
  <c r="L7" i="1"/>
  <c r="CG6" i="1"/>
  <c r="L6" i="1"/>
  <c r="CG5" i="1"/>
  <c r="L5" i="1"/>
  <c r="CG4" i="1"/>
  <c r="L4" i="1"/>
  <c r="CG3" i="1"/>
  <c r="L3" i="1"/>
  <c r="CG2" i="1"/>
  <c r="L2" i="1"/>
  <c r="CQ81" i="4"/>
  <c r="CB81" i="4"/>
  <c r="BY81" i="4"/>
  <c r="BW81" i="4"/>
  <c r="BI81" i="4"/>
  <c r="BH81" i="4"/>
  <c r="BG81" i="4"/>
  <c r="BF81" i="4"/>
  <c r="BE81" i="4"/>
  <c r="BD81" i="4"/>
  <c r="BC81" i="4"/>
  <c r="BB81" i="4"/>
  <c r="BA81" i="4"/>
  <c r="AZ81" i="4"/>
  <c r="CL81" i="4" s="1"/>
  <c r="AY81" i="4"/>
  <c r="AX81" i="4"/>
  <c r="AW81" i="4"/>
  <c r="AV81" i="4"/>
  <c r="AP81" i="4"/>
  <c r="AO81" i="4"/>
  <c r="AN81" i="4"/>
  <c r="AM81" i="4"/>
  <c r="AL81" i="4"/>
  <c r="AK81" i="4"/>
  <c r="AJ81" i="4"/>
  <c r="AA81" i="4"/>
  <c r="AC81" i="4" s="1"/>
  <c r="X81" i="4"/>
  <c r="W81" i="4"/>
  <c r="V81" i="4"/>
  <c r="AD81" i="4" s="1"/>
  <c r="U81" i="4"/>
  <c r="P81" i="4"/>
  <c r="N81" i="4"/>
  <c r="M81" i="4"/>
  <c r="L81" i="4"/>
  <c r="K81" i="4"/>
  <c r="G81" i="4"/>
  <c r="E81" i="4"/>
  <c r="C81" i="4"/>
  <c r="CR81" i="4" s="1"/>
  <c r="CQ80" i="4"/>
  <c r="CB80" i="4"/>
  <c r="BY80" i="4"/>
  <c r="BW80" i="4"/>
  <c r="BI80" i="4"/>
  <c r="BH80" i="4"/>
  <c r="BG80" i="4"/>
  <c r="BF80" i="4"/>
  <c r="BE80" i="4"/>
  <c r="BD80" i="4"/>
  <c r="BC80" i="4"/>
  <c r="BB80" i="4"/>
  <c r="BA80" i="4"/>
  <c r="AZ80" i="4"/>
  <c r="CL80" i="4" s="1"/>
  <c r="AY80" i="4"/>
  <c r="AX80" i="4"/>
  <c r="AW80" i="4"/>
  <c r="AV80" i="4"/>
  <c r="AP80" i="4"/>
  <c r="AO80" i="4"/>
  <c r="AN80" i="4"/>
  <c r="AM80" i="4"/>
  <c r="AL80" i="4"/>
  <c r="AK80" i="4"/>
  <c r="AJ80" i="4"/>
  <c r="AA80" i="4"/>
  <c r="AC80" i="4" s="1"/>
  <c r="X80" i="4"/>
  <c r="W80" i="4"/>
  <c r="V80" i="4"/>
  <c r="AD80" i="4" s="1"/>
  <c r="U80" i="4"/>
  <c r="AB80" i="4" s="1"/>
  <c r="AH80" i="4" s="1"/>
  <c r="P80" i="4"/>
  <c r="N80" i="4"/>
  <c r="M80" i="4"/>
  <c r="L80" i="4"/>
  <c r="K80" i="4"/>
  <c r="G80" i="4"/>
  <c r="E80" i="4"/>
  <c r="C80" i="4"/>
  <c r="CR80" i="4" s="1"/>
  <c r="CQ79" i="4"/>
  <c r="CB79" i="4"/>
  <c r="BY79" i="4"/>
  <c r="BW79" i="4"/>
  <c r="BI79" i="4"/>
  <c r="BH79" i="4"/>
  <c r="BG79" i="4"/>
  <c r="BF79" i="4"/>
  <c r="BE79" i="4"/>
  <c r="BD79" i="4"/>
  <c r="BC79" i="4"/>
  <c r="BB79" i="4"/>
  <c r="BA79" i="4"/>
  <c r="AZ79" i="4"/>
  <c r="CL79" i="4" s="1"/>
  <c r="AY79" i="4"/>
  <c r="AX79" i="4"/>
  <c r="AW79" i="4"/>
  <c r="AV79" i="4"/>
  <c r="AP79" i="4"/>
  <c r="AO79" i="4"/>
  <c r="AN79" i="4"/>
  <c r="AM79" i="4"/>
  <c r="AL79" i="4"/>
  <c r="AK79" i="4"/>
  <c r="AJ79" i="4"/>
  <c r="AA79" i="4"/>
  <c r="AC79" i="4" s="1"/>
  <c r="X79" i="4"/>
  <c r="W79" i="4"/>
  <c r="V79" i="4"/>
  <c r="AD79" i="4" s="1"/>
  <c r="U79" i="4"/>
  <c r="AB79" i="4" s="1"/>
  <c r="AH79" i="4" s="1"/>
  <c r="P79" i="4"/>
  <c r="N79" i="4"/>
  <c r="M79" i="4"/>
  <c r="L79" i="4"/>
  <c r="K79" i="4"/>
  <c r="G79" i="4"/>
  <c r="E79" i="4"/>
  <c r="C79" i="4"/>
  <c r="CR79" i="4" s="1"/>
  <c r="CQ78" i="4"/>
  <c r="CB78" i="4"/>
  <c r="BY78" i="4"/>
  <c r="BW78" i="4"/>
  <c r="BI78" i="4"/>
  <c r="BH78" i="4"/>
  <c r="BG78" i="4"/>
  <c r="BF78" i="4"/>
  <c r="BE78" i="4"/>
  <c r="BD78" i="4"/>
  <c r="BC78" i="4"/>
  <c r="BB78" i="4"/>
  <c r="BA78" i="4"/>
  <c r="AZ78" i="4"/>
  <c r="CL78" i="4" s="1"/>
  <c r="AY78" i="4"/>
  <c r="AX78" i="4"/>
  <c r="AW78" i="4"/>
  <c r="AV78" i="4"/>
  <c r="AP78" i="4"/>
  <c r="AO78" i="4"/>
  <c r="AN78" i="4"/>
  <c r="AM78" i="4"/>
  <c r="AL78" i="4"/>
  <c r="AK78" i="4"/>
  <c r="AJ78" i="4"/>
  <c r="AA78" i="4"/>
  <c r="AC78" i="4" s="1"/>
  <c r="X78" i="4"/>
  <c r="W78" i="4"/>
  <c r="V78" i="4"/>
  <c r="AD78" i="4" s="1"/>
  <c r="U78" i="4"/>
  <c r="P78" i="4"/>
  <c r="N78" i="4"/>
  <c r="M78" i="4"/>
  <c r="L78" i="4"/>
  <c r="K78" i="4"/>
  <c r="G78" i="4"/>
  <c r="E78" i="4"/>
  <c r="C78" i="4"/>
  <c r="CR78" i="4" s="1"/>
  <c r="CQ77" i="4"/>
  <c r="CB77" i="4"/>
  <c r="BY77" i="4"/>
  <c r="BW77" i="4"/>
  <c r="BI77" i="4"/>
  <c r="BH77" i="4"/>
  <c r="BG77" i="4"/>
  <c r="BF77" i="4"/>
  <c r="BE77" i="4"/>
  <c r="BD77" i="4"/>
  <c r="BC77" i="4"/>
  <c r="BB77" i="4"/>
  <c r="BA77" i="4"/>
  <c r="AZ77" i="4"/>
  <c r="CL77" i="4" s="1"/>
  <c r="AY77" i="4"/>
  <c r="AX77" i="4"/>
  <c r="AW77" i="4"/>
  <c r="AV77" i="4"/>
  <c r="AP77" i="4"/>
  <c r="AO77" i="4"/>
  <c r="AN77" i="4"/>
  <c r="AM77" i="4"/>
  <c r="AL77" i="4"/>
  <c r="AK77" i="4"/>
  <c r="AJ77" i="4"/>
  <c r="AA77" i="4"/>
  <c r="AC77" i="4" s="1"/>
  <c r="X77" i="4"/>
  <c r="W77" i="4"/>
  <c r="V77" i="4"/>
  <c r="AD77" i="4" s="1"/>
  <c r="U77" i="4"/>
  <c r="P77" i="4"/>
  <c r="N77" i="4"/>
  <c r="M77" i="4"/>
  <c r="L77" i="4"/>
  <c r="K77" i="4"/>
  <c r="G77" i="4"/>
  <c r="E77" i="4"/>
  <c r="C77" i="4"/>
  <c r="CR77" i="4" s="1"/>
  <c r="CQ76" i="4"/>
  <c r="CB76" i="4"/>
  <c r="BY76" i="4"/>
  <c r="BW76" i="4"/>
  <c r="BI76" i="4"/>
  <c r="BH76" i="4"/>
  <c r="BG76" i="4"/>
  <c r="BF76" i="4"/>
  <c r="BE76" i="4"/>
  <c r="BD76" i="4"/>
  <c r="BC76" i="4"/>
  <c r="BB76" i="4"/>
  <c r="BA76" i="4"/>
  <c r="AZ76" i="4"/>
  <c r="CL76" i="4" s="1"/>
  <c r="AY76" i="4"/>
  <c r="AX76" i="4"/>
  <c r="AW76" i="4"/>
  <c r="AV76" i="4"/>
  <c r="AP76" i="4"/>
  <c r="AO76" i="4"/>
  <c r="AN76" i="4"/>
  <c r="AM76" i="4"/>
  <c r="AL76" i="4"/>
  <c r="AK76" i="4"/>
  <c r="AJ76" i="4"/>
  <c r="AA76" i="4"/>
  <c r="AC76" i="4" s="1"/>
  <c r="X76" i="4"/>
  <c r="W76" i="4"/>
  <c r="V76" i="4"/>
  <c r="AD76" i="4" s="1"/>
  <c r="U76" i="4"/>
  <c r="P76" i="4"/>
  <c r="N76" i="4"/>
  <c r="M76" i="4"/>
  <c r="L76" i="4"/>
  <c r="K76" i="4"/>
  <c r="G76" i="4"/>
  <c r="E76" i="4"/>
  <c r="C76" i="4"/>
  <c r="CR76" i="4" s="1"/>
  <c r="CQ75" i="4"/>
  <c r="CB75" i="4"/>
  <c r="BY75" i="4"/>
  <c r="BW75" i="4"/>
  <c r="BI75" i="4"/>
  <c r="BH75" i="4"/>
  <c r="BG75" i="4"/>
  <c r="BF75" i="4"/>
  <c r="BE75" i="4"/>
  <c r="BD75" i="4"/>
  <c r="BC75" i="4"/>
  <c r="BB75" i="4"/>
  <c r="BA75" i="4"/>
  <c r="AZ75" i="4"/>
  <c r="CL75" i="4" s="1"/>
  <c r="AY75" i="4"/>
  <c r="AX75" i="4"/>
  <c r="AW75" i="4"/>
  <c r="AV75" i="4"/>
  <c r="AP75" i="4"/>
  <c r="AO75" i="4"/>
  <c r="AN75" i="4"/>
  <c r="AM75" i="4"/>
  <c r="AL75" i="4"/>
  <c r="AK75" i="4"/>
  <c r="AJ75" i="4"/>
  <c r="AA75" i="4"/>
  <c r="AC75" i="4" s="1"/>
  <c r="X75" i="4"/>
  <c r="W75" i="4"/>
  <c r="V75" i="4"/>
  <c r="U75" i="4"/>
  <c r="P75" i="4"/>
  <c r="N75" i="4"/>
  <c r="M75" i="4"/>
  <c r="L75" i="4"/>
  <c r="K75" i="4"/>
  <c r="G75" i="4"/>
  <c r="E75" i="4"/>
  <c r="C75" i="4"/>
  <c r="CR75" i="4" s="1"/>
  <c r="CQ74" i="4"/>
  <c r="CB74" i="4"/>
  <c r="BY74" i="4"/>
  <c r="BW74" i="4"/>
  <c r="BI74" i="4"/>
  <c r="BH74" i="4"/>
  <c r="BG74" i="4"/>
  <c r="BF74" i="4"/>
  <c r="BE74" i="4"/>
  <c r="BD74" i="4"/>
  <c r="BC74" i="4"/>
  <c r="BB74" i="4"/>
  <c r="BA74" i="4"/>
  <c r="AZ74" i="4"/>
  <c r="CL74" i="4" s="1"/>
  <c r="AY74" i="4"/>
  <c r="AX74" i="4"/>
  <c r="AW74" i="4"/>
  <c r="AV74" i="4"/>
  <c r="AP74" i="4"/>
  <c r="AO74" i="4"/>
  <c r="AN74" i="4"/>
  <c r="AM74" i="4"/>
  <c r="AL74" i="4"/>
  <c r="AK74" i="4"/>
  <c r="AJ74" i="4"/>
  <c r="AA74" i="4"/>
  <c r="AC74" i="4" s="1"/>
  <c r="X74" i="4"/>
  <c r="W74" i="4"/>
  <c r="V74" i="4"/>
  <c r="AD74" i="4" s="1"/>
  <c r="U74" i="4"/>
  <c r="P74" i="4"/>
  <c r="N74" i="4"/>
  <c r="M74" i="4"/>
  <c r="L74" i="4"/>
  <c r="K74" i="4"/>
  <c r="G74" i="4"/>
  <c r="E74" i="4"/>
  <c r="C74" i="4"/>
  <c r="CR74" i="4" s="1"/>
  <c r="CQ73" i="4"/>
  <c r="CB73" i="4"/>
  <c r="BY73" i="4"/>
  <c r="BW73" i="4"/>
  <c r="BI73" i="4"/>
  <c r="BH73" i="4"/>
  <c r="BG73" i="4"/>
  <c r="BF73" i="4"/>
  <c r="BE73" i="4"/>
  <c r="BD73" i="4"/>
  <c r="BC73" i="4"/>
  <c r="BB73" i="4"/>
  <c r="BA73" i="4"/>
  <c r="AZ73" i="4"/>
  <c r="CL73" i="4" s="1"/>
  <c r="AY73" i="4"/>
  <c r="AX73" i="4"/>
  <c r="AW73" i="4"/>
  <c r="AV73" i="4"/>
  <c r="AP73" i="4"/>
  <c r="AO73" i="4"/>
  <c r="AN73" i="4"/>
  <c r="AM73" i="4"/>
  <c r="AL73" i="4"/>
  <c r="AK73" i="4"/>
  <c r="AJ73" i="4"/>
  <c r="AA73" i="4"/>
  <c r="AC73" i="4" s="1"/>
  <c r="X73" i="4"/>
  <c r="W73" i="4"/>
  <c r="V73" i="4"/>
  <c r="AD73" i="4" s="1"/>
  <c r="U73" i="4"/>
  <c r="P73" i="4"/>
  <c r="N73" i="4"/>
  <c r="M73" i="4"/>
  <c r="L73" i="4"/>
  <c r="K73" i="4"/>
  <c r="G73" i="4"/>
  <c r="E73" i="4"/>
  <c r="C73" i="4"/>
  <c r="CR73" i="4" s="1"/>
  <c r="CQ72" i="4"/>
  <c r="CB72" i="4"/>
  <c r="BY72" i="4"/>
  <c r="BW72" i="4"/>
  <c r="BI72" i="4"/>
  <c r="BH72" i="4"/>
  <c r="BG72" i="4"/>
  <c r="BF72" i="4"/>
  <c r="BE72" i="4"/>
  <c r="BD72" i="4"/>
  <c r="BC72" i="4"/>
  <c r="BB72" i="4"/>
  <c r="BA72" i="4"/>
  <c r="AZ72" i="4"/>
  <c r="CL72" i="4" s="1"/>
  <c r="AY72" i="4"/>
  <c r="AX72" i="4"/>
  <c r="AW72" i="4"/>
  <c r="AV72" i="4"/>
  <c r="AP72" i="4"/>
  <c r="AO72" i="4"/>
  <c r="AN72" i="4"/>
  <c r="AM72" i="4"/>
  <c r="AL72" i="4"/>
  <c r="AK72" i="4"/>
  <c r="AJ72" i="4"/>
  <c r="AA72" i="4"/>
  <c r="AC72" i="4" s="1"/>
  <c r="X72" i="4"/>
  <c r="W72" i="4"/>
  <c r="V72" i="4"/>
  <c r="AD72" i="4" s="1"/>
  <c r="U72" i="4"/>
  <c r="AB72" i="4" s="1"/>
  <c r="AH72" i="4" s="1"/>
  <c r="P72" i="4"/>
  <c r="N72" i="4"/>
  <c r="M72" i="4"/>
  <c r="L72" i="4"/>
  <c r="K72" i="4"/>
  <c r="G72" i="4"/>
  <c r="E72" i="4"/>
  <c r="C72" i="4"/>
  <c r="CR72" i="4" s="1"/>
  <c r="CQ71" i="4"/>
  <c r="CB71" i="4"/>
  <c r="BY71" i="4"/>
  <c r="BW71" i="4"/>
  <c r="BI71" i="4"/>
  <c r="BH71" i="4"/>
  <c r="BG71" i="4"/>
  <c r="BF71" i="4"/>
  <c r="BE71" i="4"/>
  <c r="BD71" i="4"/>
  <c r="BC71" i="4"/>
  <c r="BB71" i="4"/>
  <c r="BA71" i="4"/>
  <c r="AZ71" i="4"/>
  <c r="CL71" i="4" s="1"/>
  <c r="AY71" i="4"/>
  <c r="AX71" i="4"/>
  <c r="AW71" i="4"/>
  <c r="AV71" i="4"/>
  <c r="AP71" i="4"/>
  <c r="AO71" i="4"/>
  <c r="AN71" i="4"/>
  <c r="AM71" i="4"/>
  <c r="AL71" i="4"/>
  <c r="AK71" i="4"/>
  <c r="AJ71" i="4"/>
  <c r="AD71" i="4"/>
  <c r="AC71" i="4"/>
  <c r="AA71" i="4"/>
  <c r="X71" i="4"/>
  <c r="W71" i="4"/>
  <c r="AE71" i="4" s="1"/>
  <c r="AF71" i="4" s="1"/>
  <c r="V71" i="4"/>
  <c r="U71" i="4"/>
  <c r="P71" i="4"/>
  <c r="N71" i="4"/>
  <c r="M71" i="4"/>
  <c r="L71" i="4"/>
  <c r="K71" i="4"/>
  <c r="G71" i="4"/>
  <c r="E71" i="4"/>
  <c r="C71" i="4"/>
  <c r="CR71" i="4" s="1"/>
  <c r="CQ70" i="4"/>
  <c r="CB70" i="4"/>
  <c r="BY70" i="4"/>
  <c r="BW70" i="4"/>
  <c r="BI70" i="4"/>
  <c r="BH70" i="4"/>
  <c r="BG70" i="4"/>
  <c r="BF70" i="4"/>
  <c r="BE70" i="4"/>
  <c r="BD70" i="4"/>
  <c r="BC70" i="4"/>
  <c r="BB70" i="4"/>
  <c r="BA70" i="4"/>
  <c r="AZ70" i="4"/>
  <c r="CL70" i="4" s="1"/>
  <c r="AY70" i="4"/>
  <c r="AX70" i="4"/>
  <c r="AW70" i="4"/>
  <c r="AV70" i="4"/>
  <c r="AP70" i="4"/>
  <c r="AO70" i="4"/>
  <c r="AN70" i="4"/>
  <c r="AM70" i="4"/>
  <c r="AL70" i="4"/>
  <c r="AK70" i="4"/>
  <c r="AJ70" i="4"/>
  <c r="AD70" i="4"/>
  <c r="AC70" i="4"/>
  <c r="AA70" i="4"/>
  <c r="X70" i="4"/>
  <c r="W70" i="4"/>
  <c r="AE70" i="4" s="1"/>
  <c r="AF70" i="4" s="1"/>
  <c r="V70" i="4"/>
  <c r="U70" i="4"/>
  <c r="P70" i="4"/>
  <c r="N70" i="4"/>
  <c r="M70" i="4"/>
  <c r="L70" i="4"/>
  <c r="K70" i="4"/>
  <c r="G70" i="4"/>
  <c r="H70" i="4" s="1"/>
  <c r="AG70" i="4" s="1"/>
  <c r="E70" i="4"/>
  <c r="C70" i="4"/>
  <c r="CR70" i="4" s="1"/>
  <c r="CQ69" i="4"/>
  <c r="CB69" i="4"/>
  <c r="BY69" i="4"/>
  <c r="BW69" i="4"/>
  <c r="BI69" i="4"/>
  <c r="BH69" i="4"/>
  <c r="BG69" i="4"/>
  <c r="BF69" i="4"/>
  <c r="BE69" i="4"/>
  <c r="BD69" i="4"/>
  <c r="BC69" i="4"/>
  <c r="BB69" i="4"/>
  <c r="BA69" i="4"/>
  <c r="AZ69" i="4"/>
  <c r="CL69" i="4" s="1"/>
  <c r="AY69" i="4"/>
  <c r="AX69" i="4"/>
  <c r="AW69" i="4"/>
  <c r="AV69" i="4"/>
  <c r="AP69" i="4"/>
  <c r="AO69" i="4"/>
  <c r="AN69" i="4"/>
  <c r="AM69" i="4"/>
  <c r="AL69" i="4"/>
  <c r="AK69" i="4"/>
  <c r="AJ69" i="4"/>
  <c r="AD69" i="4"/>
  <c r="AC69" i="4"/>
  <c r="AA69" i="4"/>
  <c r="X69" i="4"/>
  <c r="W69" i="4"/>
  <c r="AE69" i="4" s="1"/>
  <c r="AF69" i="4" s="1"/>
  <c r="CK69" i="4" s="1"/>
  <c r="V69" i="4"/>
  <c r="U69" i="4"/>
  <c r="P69" i="4"/>
  <c r="N69" i="4"/>
  <c r="M69" i="4"/>
  <c r="L69" i="4"/>
  <c r="K69" i="4"/>
  <c r="G69" i="4"/>
  <c r="E69" i="4"/>
  <c r="C69" i="4"/>
  <c r="CR69" i="4" s="1"/>
  <c r="CQ68" i="4"/>
  <c r="CB68" i="4"/>
  <c r="BY68" i="4"/>
  <c r="BW68" i="4"/>
  <c r="BI68" i="4"/>
  <c r="BH68" i="4"/>
  <c r="BG68" i="4"/>
  <c r="BF68" i="4"/>
  <c r="BE68" i="4"/>
  <c r="BD68" i="4"/>
  <c r="BC68" i="4"/>
  <c r="BB68" i="4"/>
  <c r="BA68" i="4"/>
  <c r="AZ68" i="4"/>
  <c r="CL68" i="4" s="1"/>
  <c r="AY68" i="4"/>
  <c r="AX68" i="4"/>
  <c r="AW68" i="4"/>
  <c r="AV68" i="4"/>
  <c r="AP68" i="4"/>
  <c r="AO68" i="4"/>
  <c r="AN68" i="4"/>
  <c r="AM68" i="4"/>
  <c r="AL68" i="4"/>
  <c r="AK68" i="4"/>
  <c r="AJ68" i="4"/>
  <c r="AD68" i="4"/>
  <c r="AC68" i="4"/>
  <c r="AA68" i="4"/>
  <c r="X68" i="4"/>
  <c r="W68" i="4"/>
  <c r="AE68" i="4" s="1"/>
  <c r="AF68" i="4" s="1"/>
  <c r="V68" i="4"/>
  <c r="U68" i="4"/>
  <c r="P68" i="4"/>
  <c r="N68" i="4"/>
  <c r="M68" i="4"/>
  <c r="L68" i="4"/>
  <c r="K68" i="4"/>
  <c r="G68" i="4"/>
  <c r="E68" i="4"/>
  <c r="C68" i="4"/>
  <c r="CR68" i="4" s="1"/>
  <c r="CQ67" i="4"/>
  <c r="CB67" i="4"/>
  <c r="BY67" i="4"/>
  <c r="BW67" i="4"/>
  <c r="BI67" i="4"/>
  <c r="BH67" i="4"/>
  <c r="BG67" i="4"/>
  <c r="BF67" i="4"/>
  <c r="BE67" i="4"/>
  <c r="BD67" i="4"/>
  <c r="BC67" i="4"/>
  <c r="BB67" i="4"/>
  <c r="BA67" i="4"/>
  <c r="AZ67" i="4"/>
  <c r="CL67" i="4" s="1"/>
  <c r="AY67" i="4"/>
  <c r="AX67" i="4"/>
  <c r="AW67" i="4"/>
  <c r="AV67" i="4"/>
  <c r="AP67" i="4"/>
  <c r="AO67" i="4"/>
  <c r="AN67" i="4"/>
  <c r="AM67" i="4"/>
  <c r="AL67" i="4"/>
  <c r="AK67" i="4"/>
  <c r="AJ67" i="4"/>
  <c r="AD67" i="4"/>
  <c r="AC67" i="4"/>
  <c r="AA67" i="4"/>
  <c r="X67" i="4"/>
  <c r="W67" i="4"/>
  <c r="AE67" i="4" s="1"/>
  <c r="AF67" i="4" s="1"/>
  <c r="V67" i="4"/>
  <c r="U67" i="4"/>
  <c r="P67" i="4"/>
  <c r="N67" i="4"/>
  <c r="M67" i="4"/>
  <c r="L67" i="4"/>
  <c r="K67" i="4"/>
  <c r="G67" i="4"/>
  <c r="E67" i="4"/>
  <c r="C67" i="4"/>
  <c r="CO67" i="4" s="1"/>
  <c r="CQ66" i="4"/>
  <c r="CB66" i="4"/>
  <c r="BY66" i="4"/>
  <c r="BW66" i="4"/>
  <c r="BI66" i="4"/>
  <c r="BH66" i="4"/>
  <c r="BG66" i="4"/>
  <c r="BF66" i="4"/>
  <c r="BE66" i="4"/>
  <c r="BD66" i="4"/>
  <c r="BC66" i="4"/>
  <c r="BB66" i="4"/>
  <c r="BA66" i="4"/>
  <c r="AZ66" i="4"/>
  <c r="CL66" i="4" s="1"/>
  <c r="AY66" i="4"/>
  <c r="AX66" i="4"/>
  <c r="AW66" i="4"/>
  <c r="AV66" i="4"/>
  <c r="AP66" i="4"/>
  <c r="AO66" i="4"/>
  <c r="AN66" i="4"/>
  <c r="AM66" i="4"/>
  <c r="AL66" i="4"/>
  <c r="AK66" i="4"/>
  <c r="AJ66" i="4"/>
  <c r="AD66" i="4"/>
  <c r="AC66" i="4"/>
  <c r="AA66" i="4"/>
  <c r="X66" i="4"/>
  <c r="W66" i="4"/>
  <c r="AE66" i="4" s="1"/>
  <c r="AF66" i="4" s="1"/>
  <c r="V66" i="4"/>
  <c r="U66" i="4"/>
  <c r="P66" i="4"/>
  <c r="N66" i="4"/>
  <c r="M66" i="4"/>
  <c r="L66" i="4"/>
  <c r="K66" i="4"/>
  <c r="G66" i="4"/>
  <c r="E66" i="4"/>
  <c r="C66" i="4"/>
  <c r="CO66" i="4" s="1"/>
  <c r="CQ65" i="4"/>
  <c r="CB65" i="4"/>
  <c r="BY65" i="4"/>
  <c r="BW65" i="4"/>
  <c r="BI65" i="4"/>
  <c r="BH65" i="4"/>
  <c r="BG65" i="4"/>
  <c r="BF65" i="4"/>
  <c r="BE65" i="4"/>
  <c r="BD65" i="4"/>
  <c r="BC65" i="4"/>
  <c r="BB65" i="4"/>
  <c r="BA65" i="4"/>
  <c r="AZ65" i="4"/>
  <c r="CL65" i="4" s="1"/>
  <c r="AY65" i="4"/>
  <c r="AX65" i="4"/>
  <c r="AW65" i="4"/>
  <c r="AV65" i="4"/>
  <c r="AP65" i="4"/>
  <c r="AO65" i="4"/>
  <c r="AN65" i="4"/>
  <c r="AM65" i="4"/>
  <c r="AL65" i="4"/>
  <c r="AK65" i="4"/>
  <c r="AJ65" i="4"/>
  <c r="AD65" i="4"/>
  <c r="AC65" i="4"/>
  <c r="AA65" i="4"/>
  <c r="X65" i="4"/>
  <c r="W65" i="4"/>
  <c r="AE65" i="4" s="1"/>
  <c r="AF65" i="4" s="1"/>
  <c r="V65" i="4"/>
  <c r="U65" i="4"/>
  <c r="P65" i="4"/>
  <c r="N65" i="4"/>
  <c r="M65" i="4"/>
  <c r="L65" i="4"/>
  <c r="K65" i="4"/>
  <c r="G65" i="4"/>
  <c r="E65" i="4"/>
  <c r="C65" i="4"/>
  <c r="CR65" i="4" s="1"/>
  <c r="CQ64" i="4"/>
  <c r="CB64" i="4"/>
  <c r="BY64" i="4"/>
  <c r="BW64" i="4"/>
  <c r="BI64" i="4"/>
  <c r="BH64" i="4"/>
  <c r="BG64" i="4"/>
  <c r="BF64" i="4"/>
  <c r="BE64" i="4"/>
  <c r="BD64" i="4"/>
  <c r="BC64" i="4"/>
  <c r="BB64" i="4"/>
  <c r="BA64" i="4"/>
  <c r="AZ64" i="4"/>
  <c r="CL64" i="4" s="1"/>
  <c r="AY64" i="4"/>
  <c r="AX64" i="4"/>
  <c r="AW64" i="4"/>
  <c r="AV64" i="4"/>
  <c r="AP64" i="4"/>
  <c r="AO64" i="4"/>
  <c r="AN64" i="4"/>
  <c r="AM64" i="4"/>
  <c r="AL64" i="4"/>
  <c r="AK64" i="4"/>
  <c r="AJ64" i="4"/>
  <c r="AD64" i="4"/>
  <c r="AC64" i="4"/>
  <c r="AA64" i="4"/>
  <c r="X64" i="4"/>
  <c r="W64" i="4"/>
  <c r="AE64" i="4" s="1"/>
  <c r="AF64" i="4" s="1"/>
  <c r="V64" i="4"/>
  <c r="U64" i="4"/>
  <c r="P64" i="4"/>
  <c r="N64" i="4"/>
  <c r="M64" i="4"/>
  <c r="L64" i="4"/>
  <c r="K64" i="4"/>
  <c r="G64" i="4"/>
  <c r="E64" i="4"/>
  <c r="C64" i="4"/>
  <c r="CR64" i="4" s="1"/>
  <c r="CQ63" i="4"/>
  <c r="CB63" i="4"/>
  <c r="BY63" i="4"/>
  <c r="BW63" i="4"/>
  <c r="BI63" i="4"/>
  <c r="BH63" i="4"/>
  <c r="BG63" i="4"/>
  <c r="BF63" i="4"/>
  <c r="BE63" i="4"/>
  <c r="BD63" i="4"/>
  <c r="BC63" i="4"/>
  <c r="BB63" i="4"/>
  <c r="BA63" i="4"/>
  <c r="AZ63" i="4"/>
  <c r="CL63" i="4" s="1"/>
  <c r="AY63" i="4"/>
  <c r="AX63" i="4"/>
  <c r="AW63" i="4"/>
  <c r="AV63" i="4"/>
  <c r="AP63" i="4"/>
  <c r="AO63" i="4"/>
  <c r="AN63" i="4"/>
  <c r="AM63" i="4"/>
  <c r="AL63" i="4"/>
  <c r="AK63" i="4"/>
  <c r="AJ63" i="4"/>
  <c r="AD63" i="4"/>
  <c r="AC63" i="4"/>
  <c r="AA63" i="4"/>
  <c r="X63" i="4"/>
  <c r="W63" i="4"/>
  <c r="AE63" i="4" s="1"/>
  <c r="AF63" i="4" s="1"/>
  <c r="V63" i="4"/>
  <c r="U63" i="4"/>
  <c r="P63" i="4"/>
  <c r="N63" i="4"/>
  <c r="M63" i="4"/>
  <c r="L63" i="4"/>
  <c r="K63" i="4"/>
  <c r="G63" i="4"/>
  <c r="E63" i="4"/>
  <c r="C63" i="4"/>
  <c r="CR63" i="4" s="1"/>
  <c r="CQ62" i="4"/>
  <c r="CB62" i="4"/>
  <c r="BY62" i="4"/>
  <c r="BW62" i="4"/>
  <c r="BI62" i="4"/>
  <c r="BH62" i="4"/>
  <c r="BG62" i="4"/>
  <c r="BF62" i="4"/>
  <c r="BE62" i="4"/>
  <c r="BD62" i="4"/>
  <c r="BC62" i="4"/>
  <c r="BB62" i="4"/>
  <c r="BA62" i="4"/>
  <c r="AZ62" i="4"/>
  <c r="CL62" i="4" s="1"/>
  <c r="AY62" i="4"/>
  <c r="AX62" i="4"/>
  <c r="AW62" i="4"/>
  <c r="AV62" i="4"/>
  <c r="AP62" i="4"/>
  <c r="AO62" i="4"/>
  <c r="AN62" i="4"/>
  <c r="AM62" i="4"/>
  <c r="AL62" i="4"/>
  <c r="AK62" i="4"/>
  <c r="AJ62" i="4"/>
  <c r="AD62" i="4"/>
  <c r="AC62" i="4"/>
  <c r="AA62" i="4"/>
  <c r="X62" i="4"/>
  <c r="W62" i="4"/>
  <c r="AE62" i="4" s="1"/>
  <c r="AF62" i="4" s="1"/>
  <c r="V62" i="4"/>
  <c r="U62" i="4"/>
  <c r="P62" i="4"/>
  <c r="N62" i="4"/>
  <c r="M62" i="4"/>
  <c r="L62" i="4"/>
  <c r="K62" i="4"/>
  <c r="G62" i="4"/>
  <c r="E62" i="4"/>
  <c r="C62" i="4"/>
  <c r="CR62" i="4" s="1"/>
  <c r="CB61" i="4"/>
  <c r="AT61" i="4"/>
  <c r="AS61" i="4"/>
  <c r="BZ61" i="4" s="1"/>
  <c r="X61" i="4"/>
  <c r="W61" i="4"/>
  <c r="V61" i="4"/>
  <c r="U61" i="4"/>
  <c r="H61" i="4"/>
  <c r="AU61" i="4" s="1"/>
  <c r="G61" i="4"/>
  <c r="E61" i="4"/>
  <c r="C61" i="4"/>
  <c r="CP61" i="4" s="1"/>
  <c r="CB60" i="4"/>
  <c r="AT60" i="4"/>
  <c r="AS60" i="4"/>
  <c r="AX60" i="4" s="1"/>
  <c r="X60" i="4"/>
  <c r="W60" i="4"/>
  <c r="V60" i="4"/>
  <c r="U60" i="4"/>
  <c r="H60" i="4"/>
  <c r="AU60" i="4" s="1"/>
  <c r="G60" i="4"/>
  <c r="E60" i="4"/>
  <c r="C60" i="4"/>
  <c r="CP60" i="4" s="1"/>
  <c r="CB59" i="4"/>
  <c r="AT59" i="4"/>
  <c r="AS59" i="4"/>
  <c r="AX59" i="4" s="1"/>
  <c r="X59" i="4"/>
  <c r="W59" i="4"/>
  <c r="V59" i="4"/>
  <c r="U59" i="4"/>
  <c r="H59" i="4"/>
  <c r="AU59" i="4" s="1"/>
  <c r="G59" i="4"/>
  <c r="E59" i="4"/>
  <c r="C59" i="4"/>
  <c r="CP59" i="4" s="1"/>
  <c r="CB58" i="4"/>
  <c r="AT58" i="4"/>
  <c r="AS58" i="4"/>
  <c r="BZ58" i="4" s="1"/>
  <c r="X58" i="4"/>
  <c r="W58" i="4"/>
  <c r="V58" i="4"/>
  <c r="U58" i="4"/>
  <c r="H58" i="4"/>
  <c r="AU58" i="4" s="1"/>
  <c r="G58" i="4"/>
  <c r="E58" i="4"/>
  <c r="C58" i="4"/>
  <c r="CP58" i="4" s="1"/>
  <c r="CB57" i="4"/>
  <c r="AT57" i="4"/>
  <c r="AS57" i="4"/>
  <c r="BZ57" i="4" s="1"/>
  <c r="X57" i="4"/>
  <c r="W57" i="4"/>
  <c r="V57" i="4"/>
  <c r="U57" i="4"/>
  <c r="H57" i="4"/>
  <c r="AU57" i="4" s="1"/>
  <c r="G57" i="4"/>
  <c r="E57" i="4"/>
  <c r="C57" i="4"/>
  <c r="CP57" i="4" s="1"/>
  <c r="CB56" i="4"/>
  <c r="AT56" i="4"/>
  <c r="AS56" i="4"/>
  <c r="BZ56" i="4" s="1"/>
  <c r="X56" i="4"/>
  <c r="W56" i="4"/>
  <c r="V56" i="4"/>
  <c r="U56" i="4"/>
  <c r="H56" i="4"/>
  <c r="AU56" i="4" s="1"/>
  <c r="G56" i="4"/>
  <c r="E56" i="4"/>
  <c r="C56" i="4"/>
  <c r="CP56" i="4" s="1"/>
  <c r="CB55" i="4"/>
  <c r="AT55" i="4"/>
  <c r="AS55" i="4"/>
  <c r="AV55" i="4" s="1"/>
  <c r="X55" i="4"/>
  <c r="W55" i="4"/>
  <c r="V55" i="4"/>
  <c r="U55" i="4"/>
  <c r="H55" i="4"/>
  <c r="AU55" i="4" s="1"/>
  <c r="G55" i="4"/>
  <c r="E55" i="4"/>
  <c r="C55" i="4"/>
  <c r="CP55" i="4" s="1"/>
  <c r="CB54" i="4"/>
  <c r="AT54" i="4"/>
  <c r="AS54" i="4"/>
  <c r="BZ54" i="4" s="1"/>
  <c r="X54" i="4"/>
  <c r="W54" i="4"/>
  <c r="V54" i="4"/>
  <c r="U54" i="4"/>
  <c r="H54" i="4"/>
  <c r="AU54" i="4" s="1"/>
  <c r="G54" i="4"/>
  <c r="E54" i="4"/>
  <c r="C54" i="4"/>
  <c r="CP54" i="4" s="1"/>
  <c r="CB53" i="4"/>
  <c r="AT53" i="4"/>
  <c r="AS53" i="4"/>
  <c r="BZ53" i="4" s="1"/>
  <c r="X53" i="4"/>
  <c r="W53" i="4"/>
  <c r="V53" i="4"/>
  <c r="U53" i="4"/>
  <c r="H53" i="4"/>
  <c r="AU53" i="4" s="1"/>
  <c r="G53" i="4"/>
  <c r="E53" i="4"/>
  <c r="C53" i="4"/>
  <c r="CP53" i="4" s="1"/>
  <c r="CB52" i="4"/>
  <c r="AT52" i="4"/>
  <c r="AS52" i="4"/>
  <c r="AX52" i="4" s="1"/>
  <c r="X52" i="4"/>
  <c r="W52" i="4"/>
  <c r="V52" i="4"/>
  <c r="U52" i="4"/>
  <c r="H52" i="4"/>
  <c r="AU52" i="4" s="1"/>
  <c r="G52" i="4"/>
  <c r="E52" i="4"/>
  <c r="C52" i="4"/>
  <c r="CP52" i="4" s="1"/>
  <c r="DE51" i="4"/>
  <c r="DE52" i="4" s="1"/>
  <c r="CB51" i="4"/>
  <c r="AT51" i="4"/>
  <c r="AS51" i="4"/>
  <c r="BZ51" i="4" s="1"/>
  <c r="X51" i="4"/>
  <c r="W51" i="4"/>
  <c r="V51" i="4"/>
  <c r="U51" i="4"/>
  <c r="H51" i="4"/>
  <c r="AU51" i="4" s="1"/>
  <c r="G51" i="4"/>
  <c r="E51" i="4"/>
  <c r="C51" i="4"/>
  <c r="CP51" i="4" s="1"/>
  <c r="DE50" i="4"/>
  <c r="CB50" i="4"/>
  <c r="AT50" i="4"/>
  <c r="AS50" i="4"/>
  <c r="BZ50" i="4" s="1"/>
  <c r="X50" i="4"/>
  <c r="W50" i="4"/>
  <c r="V50" i="4"/>
  <c r="U50" i="4"/>
  <c r="H50" i="4"/>
  <c r="AU50" i="4" s="1"/>
  <c r="G50" i="4"/>
  <c r="E50" i="4"/>
  <c r="C50" i="4"/>
  <c r="CP50" i="4" s="1"/>
  <c r="CB49" i="4"/>
  <c r="AT49" i="4"/>
  <c r="AS49" i="4"/>
  <c r="AX49" i="4" s="1"/>
  <c r="X49" i="4"/>
  <c r="W49" i="4"/>
  <c r="V49" i="4"/>
  <c r="U49" i="4"/>
  <c r="H49" i="4"/>
  <c r="AU49" i="4" s="1"/>
  <c r="G49" i="4"/>
  <c r="E49" i="4"/>
  <c r="C49" i="4"/>
  <c r="CP49" i="4" s="1"/>
  <c r="CB48" i="4"/>
  <c r="AT48" i="4"/>
  <c r="AS48" i="4"/>
  <c r="AX48" i="4" s="1"/>
  <c r="X48" i="4"/>
  <c r="W48" i="4"/>
  <c r="V48" i="4"/>
  <c r="U48" i="4"/>
  <c r="H48" i="4"/>
  <c r="AU48" i="4" s="1"/>
  <c r="G48" i="4"/>
  <c r="E48" i="4"/>
  <c r="C48" i="4"/>
  <c r="CP48" i="4" s="1"/>
  <c r="CB47" i="4"/>
  <c r="AT47" i="4"/>
  <c r="AS47" i="4"/>
  <c r="AV47" i="4" s="1"/>
  <c r="X47" i="4"/>
  <c r="W47" i="4"/>
  <c r="V47" i="4"/>
  <c r="U47" i="4"/>
  <c r="H47" i="4"/>
  <c r="AU47" i="4" s="1"/>
  <c r="G47" i="4"/>
  <c r="E47" i="4"/>
  <c r="C47" i="4"/>
  <c r="CP47" i="4" s="1"/>
  <c r="CB46" i="4"/>
  <c r="AT46" i="4"/>
  <c r="AS46" i="4"/>
  <c r="AV46" i="4" s="1"/>
  <c r="X46" i="4"/>
  <c r="W46" i="4"/>
  <c r="V46" i="4"/>
  <c r="U46" i="4"/>
  <c r="H46" i="4"/>
  <c r="AU46" i="4" s="1"/>
  <c r="G46" i="4"/>
  <c r="E46" i="4"/>
  <c r="C46" i="4"/>
  <c r="CP46" i="4" s="1"/>
  <c r="CB45" i="4"/>
  <c r="AT45" i="4"/>
  <c r="AS45" i="4"/>
  <c r="BZ45" i="4" s="1"/>
  <c r="X45" i="4"/>
  <c r="W45" i="4"/>
  <c r="V45" i="4"/>
  <c r="U45" i="4"/>
  <c r="H45" i="4"/>
  <c r="AU45" i="4" s="1"/>
  <c r="G45" i="4"/>
  <c r="E45" i="4"/>
  <c r="C45" i="4"/>
  <c r="CP45" i="4" s="1"/>
  <c r="CB44" i="4"/>
  <c r="AT44" i="4"/>
  <c r="AS44" i="4"/>
  <c r="BZ44" i="4" s="1"/>
  <c r="X44" i="4"/>
  <c r="W44" i="4"/>
  <c r="V44" i="4"/>
  <c r="U44" i="4"/>
  <c r="H44" i="4"/>
  <c r="AU44" i="4" s="1"/>
  <c r="G44" i="4"/>
  <c r="E44" i="4"/>
  <c r="C44" i="4"/>
  <c r="CP44" i="4" s="1"/>
  <c r="CB43" i="4"/>
  <c r="AT43" i="4"/>
  <c r="AS43" i="4"/>
  <c r="AV43" i="4" s="1"/>
  <c r="X43" i="4"/>
  <c r="W43" i="4"/>
  <c r="V43" i="4"/>
  <c r="U43" i="4"/>
  <c r="H43" i="4"/>
  <c r="AU43" i="4" s="1"/>
  <c r="G43" i="4"/>
  <c r="E43" i="4"/>
  <c r="C43" i="4"/>
  <c r="CP43" i="4" s="1"/>
  <c r="CB42" i="4"/>
  <c r="AT42" i="4"/>
  <c r="AS42" i="4"/>
  <c r="AX42" i="4" s="1"/>
  <c r="X42" i="4"/>
  <c r="W42" i="4"/>
  <c r="V42" i="4"/>
  <c r="U42" i="4"/>
  <c r="H42" i="4"/>
  <c r="AU42" i="4" s="1"/>
  <c r="G42" i="4"/>
  <c r="E42" i="4"/>
  <c r="C42" i="4"/>
  <c r="CP42" i="4" s="1"/>
  <c r="BW41" i="4"/>
  <c r="X41" i="4"/>
  <c r="W41" i="4"/>
  <c r="V41" i="4"/>
  <c r="U41" i="4"/>
  <c r="N41" i="4"/>
  <c r="M41" i="4"/>
  <c r="L41" i="4"/>
  <c r="K41" i="4"/>
  <c r="H41" i="4"/>
  <c r="G41" i="4"/>
  <c r="E41" i="4"/>
  <c r="C41" i="4"/>
  <c r="CR41" i="4" s="1"/>
  <c r="BW40" i="4"/>
  <c r="X40" i="4"/>
  <c r="W40" i="4"/>
  <c r="V40" i="4"/>
  <c r="U40" i="4"/>
  <c r="N40" i="4"/>
  <c r="M40" i="4"/>
  <c r="L40" i="4"/>
  <c r="K40" i="4"/>
  <c r="H40" i="4"/>
  <c r="G40" i="4"/>
  <c r="E40" i="4"/>
  <c r="C40" i="4"/>
  <c r="CR40" i="4" s="1"/>
  <c r="BW39" i="4"/>
  <c r="X39" i="4"/>
  <c r="W39" i="4"/>
  <c r="V39" i="4"/>
  <c r="U39" i="4"/>
  <c r="N39" i="4"/>
  <c r="M39" i="4"/>
  <c r="L39" i="4"/>
  <c r="K39" i="4"/>
  <c r="H39" i="4"/>
  <c r="G39" i="4"/>
  <c r="E39" i="4"/>
  <c r="C39" i="4"/>
  <c r="CR39" i="4" s="1"/>
  <c r="BW38" i="4"/>
  <c r="X38" i="4"/>
  <c r="W38" i="4"/>
  <c r="V38" i="4"/>
  <c r="U38" i="4"/>
  <c r="N38" i="4"/>
  <c r="M38" i="4"/>
  <c r="L38" i="4"/>
  <c r="K38" i="4"/>
  <c r="H38" i="4"/>
  <c r="G38" i="4"/>
  <c r="E38" i="4"/>
  <c r="C38" i="4"/>
  <c r="CR38" i="4" s="1"/>
  <c r="BW37" i="4"/>
  <c r="X37" i="4"/>
  <c r="W37" i="4"/>
  <c r="V37" i="4"/>
  <c r="U37" i="4"/>
  <c r="N37" i="4"/>
  <c r="M37" i="4"/>
  <c r="L37" i="4"/>
  <c r="K37" i="4"/>
  <c r="H37" i="4"/>
  <c r="G37" i="4"/>
  <c r="E37" i="4"/>
  <c r="C37" i="4"/>
  <c r="CR37" i="4" s="1"/>
  <c r="BW36" i="4"/>
  <c r="X36" i="4"/>
  <c r="W36" i="4"/>
  <c r="V36" i="4"/>
  <c r="U36" i="4"/>
  <c r="N36" i="4"/>
  <c r="M36" i="4"/>
  <c r="L36" i="4"/>
  <c r="K36" i="4"/>
  <c r="H36" i="4"/>
  <c r="G36" i="4"/>
  <c r="E36" i="4"/>
  <c r="C36" i="4"/>
  <c r="CR36" i="4" s="1"/>
  <c r="BW35" i="4"/>
  <c r="X35" i="4"/>
  <c r="W35" i="4"/>
  <c r="V35" i="4"/>
  <c r="U35" i="4"/>
  <c r="N35" i="4"/>
  <c r="M35" i="4"/>
  <c r="L35" i="4"/>
  <c r="K35" i="4"/>
  <c r="H35" i="4"/>
  <c r="G35" i="4"/>
  <c r="E35" i="4"/>
  <c r="C35" i="4"/>
  <c r="CO35" i="4" s="1"/>
  <c r="BW34" i="4"/>
  <c r="X34" i="4"/>
  <c r="W34" i="4"/>
  <c r="V34" i="4"/>
  <c r="U34" i="4"/>
  <c r="N34" i="4"/>
  <c r="M34" i="4"/>
  <c r="L34" i="4"/>
  <c r="K34" i="4"/>
  <c r="H34" i="4"/>
  <c r="G34" i="4"/>
  <c r="E34" i="4"/>
  <c r="C34" i="4"/>
  <c r="CO34" i="4" s="1"/>
  <c r="BW33" i="4"/>
  <c r="X33" i="4"/>
  <c r="W33" i="4"/>
  <c r="V33" i="4"/>
  <c r="U33" i="4"/>
  <c r="N33" i="4"/>
  <c r="M33" i="4"/>
  <c r="L33" i="4"/>
  <c r="K33" i="4"/>
  <c r="H33" i="4"/>
  <c r="G33" i="4"/>
  <c r="E33" i="4"/>
  <c r="C33" i="4"/>
  <c r="CR33" i="4" s="1"/>
  <c r="BW32" i="4"/>
  <c r="X32" i="4"/>
  <c r="W32" i="4"/>
  <c r="V32" i="4"/>
  <c r="U32" i="4"/>
  <c r="N32" i="4"/>
  <c r="M32" i="4"/>
  <c r="L32" i="4"/>
  <c r="K32" i="4"/>
  <c r="H32" i="4"/>
  <c r="G32" i="4"/>
  <c r="E32" i="4"/>
  <c r="C32" i="4"/>
  <c r="CR32" i="4" s="1"/>
  <c r="BW31" i="4"/>
  <c r="X31" i="4"/>
  <c r="W31" i="4"/>
  <c r="V31" i="4"/>
  <c r="U31" i="4"/>
  <c r="N31" i="4"/>
  <c r="M31" i="4"/>
  <c r="L31" i="4"/>
  <c r="K31" i="4"/>
  <c r="H31" i="4"/>
  <c r="G31" i="4"/>
  <c r="E31" i="4"/>
  <c r="C31" i="4"/>
  <c r="CR31" i="4" s="1"/>
  <c r="BW30" i="4"/>
  <c r="X30" i="4"/>
  <c r="W30" i="4"/>
  <c r="V30" i="4"/>
  <c r="U30" i="4"/>
  <c r="N30" i="4"/>
  <c r="M30" i="4"/>
  <c r="L30" i="4"/>
  <c r="K30" i="4"/>
  <c r="H30" i="4"/>
  <c r="G30" i="4"/>
  <c r="E30" i="4"/>
  <c r="C30" i="4"/>
  <c r="CR30" i="4" s="1"/>
  <c r="BW29" i="4"/>
  <c r="X29" i="4"/>
  <c r="W29" i="4"/>
  <c r="V29" i="4"/>
  <c r="U29" i="4"/>
  <c r="N29" i="4"/>
  <c r="M29" i="4"/>
  <c r="L29" i="4"/>
  <c r="K29" i="4"/>
  <c r="H29" i="4"/>
  <c r="G29" i="4"/>
  <c r="E29" i="4"/>
  <c r="C29" i="4"/>
  <c r="CR29" i="4" s="1"/>
  <c r="BW28" i="4"/>
  <c r="X28" i="4"/>
  <c r="W28" i="4"/>
  <c r="V28" i="4"/>
  <c r="U28" i="4"/>
  <c r="N28" i="4"/>
  <c r="M28" i="4"/>
  <c r="L28" i="4"/>
  <c r="K28" i="4"/>
  <c r="H28" i="4"/>
  <c r="G28" i="4"/>
  <c r="E28" i="4"/>
  <c r="C28" i="4"/>
  <c r="CR28" i="4" s="1"/>
  <c r="BW27" i="4"/>
  <c r="X27" i="4"/>
  <c r="W27" i="4"/>
  <c r="V27" i="4"/>
  <c r="U27" i="4"/>
  <c r="N27" i="4"/>
  <c r="M27" i="4"/>
  <c r="L27" i="4"/>
  <c r="K27" i="4"/>
  <c r="H27" i="4"/>
  <c r="G27" i="4"/>
  <c r="E27" i="4"/>
  <c r="C27" i="4"/>
  <c r="CR27" i="4" s="1"/>
  <c r="BW26" i="4"/>
  <c r="X26" i="4"/>
  <c r="W26" i="4"/>
  <c r="V26" i="4"/>
  <c r="U26" i="4"/>
  <c r="N26" i="4"/>
  <c r="M26" i="4"/>
  <c r="L26" i="4"/>
  <c r="K26" i="4"/>
  <c r="H26" i="4"/>
  <c r="G26" i="4"/>
  <c r="E26" i="4"/>
  <c r="C26" i="4"/>
  <c r="CR26" i="4" s="1"/>
  <c r="BW25" i="4"/>
  <c r="X25" i="4"/>
  <c r="W25" i="4"/>
  <c r="V25" i="4"/>
  <c r="U25" i="4"/>
  <c r="N25" i="4"/>
  <c r="M25" i="4"/>
  <c r="L25" i="4"/>
  <c r="K25" i="4"/>
  <c r="H25" i="4"/>
  <c r="G25" i="4"/>
  <c r="E25" i="4"/>
  <c r="C25" i="4"/>
  <c r="CR25" i="4" s="1"/>
  <c r="BW24" i="4"/>
  <c r="X24" i="4"/>
  <c r="W24" i="4"/>
  <c r="V24" i="4"/>
  <c r="U24" i="4"/>
  <c r="N24" i="4"/>
  <c r="M24" i="4"/>
  <c r="L24" i="4"/>
  <c r="K24" i="4"/>
  <c r="H24" i="4"/>
  <c r="G24" i="4"/>
  <c r="E24" i="4"/>
  <c r="C24" i="4"/>
  <c r="CR24" i="4" s="1"/>
  <c r="BW23" i="4"/>
  <c r="X23" i="4"/>
  <c r="W23" i="4"/>
  <c r="V23" i="4"/>
  <c r="U23" i="4"/>
  <c r="N23" i="4"/>
  <c r="M23" i="4"/>
  <c r="L23" i="4"/>
  <c r="K23" i="4"/>
  <c r="H23" i="4"/>
  <c r="G23" i="4"/>
  <c r="E23" i="4"/>
  <c r="C23" i="4"/>
  <c r="CR23" i="4" s="1"/>
  <c r="BW22" i="4"/>
  <c r="X22" i="4"/>
  <c r="W22" i="4"/>
  <c r="V22" i="4"/>
  <c r="U22" i="4"/>
  <c r="N22" i="4"/>
  <c r="M22" i="4"/>
  <c r="L22" i="4"/>
  <c r="K22" i="4"/>
  <c r="H22" i="4"/>
  <c r="G22" i="4"/>
  <c r="E22" i="4"/>
  <c r="C22" i="4"/>
  <c r="CR22" i="4" s="1"/>
  <c r="BZ21" i="4"/>
  <c r="BT21" i="4"/>
  <c r="AW21" i="4" s="1"/>
  <c r="E21" i="4"/>
  <c r="C21" i="4"/>
  <c r="CP21" i="4" s="1"/>
  <c r="BZ20" i="4"/>
  <c r="BT20" i="4"/>
  <c r="AV20" i="4" s="1"/>
  <c r="E20" i="4"/>
  <c r="C20" i="4"/>
  <c r="CP20" i="4" s="1"/>
  <c r="BZ19" i="4"/>
  <c r="BT19" i="4"/>
  <c r="AW19" i="4" s="1"/>
  <c r="E19" i="4"/>
  <c r="C19" i="4"/>
  <c r="CP19" i="4" s="1"/>
  <c r="BZ18" i="4"/>
  <c r="BT18" i="4"/>
  <c r="AV18" i="4" s="1"/>
  <c r="E18" i="4"/>
  <c r="C18" i="4"/>
  <c r="CP18" i="4" s="1"/>
  <c r="BZ17" i="4"/>
  <c r="BT17" i="4"/>
  <c r="AV17" i="4" s="1"/>
  <c r="E17" i="4"/>
  <c r="C17" i="4"/>
  <c r="CP17" i="4" s="1"/>
  <c r="BZ16" i="4"/>
  <c r="BT16" i="4"/>
  <c r="AV16" i="4" s="1"/>
  <c r="E16" i="4"/>
  <c r="C16" i="4"/>
  <c r="CP16" i="4" s="1"/>
  <c r="BZ15" i="4"/>
  <c r="BT15" i="4"/>
  <c r="AW15" i="4" s="1"/>
  <c r="E15" i="4"/>
  <c r="C15" i="4"/>
  <c r="CP15" i="4" s="1"/>
  <c r="BZ14" i="4"/>
  <c r="BT14" i="4"/>
  <c r="AW14" i="4" s="1"/>
  <c r="E14" i="4"/>
  <c r="C14" i="4"/>
  <c r="CP14" i="4" s="1"/>
  <c r="BZ13" i="4"/>
  <c r="BT13" i="4"/>
  <c r="AW13" i="4" s="1"/>
  <c r="E13" i="4"/>
  <c r="C13" i="4"/>
  <c r="CP13" i="4" s="1"/>
  <c r="BZ12" i="4"/>
  <c r="BT12" i="4"/>
  <c r="AV12" i="4" s="1"/>
  <c r="E12" i="4"/>
  <c r="C12" i="4"/>
  <c r="CP12" i="4" s="1"/>
  <c r="BZ11" i="4"/>
  <c r="BT11" i="4"/>
  <c r="AV11" i="4" s="1"/>
  <c r="E11" i="4"/>
  <c r="C11" i="4"/>
  <c r="CP11" i="4" s="1"/>
  <c r="BZ10" i="4"/>
  <c r="BT10" i="4"/>
  <c r="AV10" i="4" s="1"/>
  <c r="E10" i="4"/>
  <c r="C10" i="4"/>
  <c r="CP10" i="4" s="1"/>
  <c r="BZ9" i="4"/>
  <c r="BT9" i="4"/>
  <c r="AV9" i="4" s="1"/>
  <c r="E9" i="4"/>
  <c r="C9" i="4"/>
  <c r="CP9" i="4" s="1"/>
  <c r="BZ8" i="4"/>
  <c r="BT8" i="4"/>
  <c r="AW8" i="4" s="1"/>
  <c r="E8" i="4"/>
  <c r="C8" i="4"/>
  <c r="CP8" i="4" s="1"/>
  <c r="BZ7" i="4"/>
  <c r="BT7" i="4"/>
  <c r="AV7" i="4" s="1"/>
  <c r="E7" i="4"/>
  <c r="C7" i="4"/>
  <c r="CP7" i="4" s="1"/>
  <c r="BZ6" i="4"/>
  <c r="BT6" i="4"/>
  <c r="AW6" i="4" s="1"/>
  <c r="E6" i="4"/>
  <c r="C6" i="4"/>
  <c r="CP6" i="4" s="1"/>
  <c r="BZ5" i="4"/>
  <c r="BT5" i="4"/>
  <c r="AW5" i="4" s="1"/>
  <c r="E5" i="4"/>
  <c r="C5" i="4"/>
  <c r="CP5" i="4" s="1"/>
  <c r="BZ4" i="4"/>
  <c r="BT4" i="4"/>
  <c r="AV4" i="4" s="1"/>
  <c r="E4" i="4"/>
  <c r="C4" i="4"/>
  <c r="CP4" i="4" s="1"/>
  <c r="BZ3" i="4"/>
  <c r="BT3" i="4"/>
  <c r="AW3" i="4" s="1"/>
  <c r="E3" i="4"/>
  <c r="C3" i="4"/>
  <c r="CP3" i="4" s="1"/>
  <c r="BZ2" i="4"/>
  <c r="BT2" i="4"/>
  <c r="AV2" i="4" s="1"/>
  <c r="E2" i="4"/>
  <c r="C2" i="4"/>
  <c r="CP2" i="4" s="1"/>
  <c r="CO88" i="3"/>
  <c r="CB88" i="3"/>
  <c r="BY88" i="3"/>
  <c r="BW88" i="3"/>
  <c r="BI88" i="3"/>
  <c r="BH88" i="3"/>
  <c r="BG88" i="3"/>
  <c r="BF88" i="3"/>
  <c r="BE88" i="3"/>
  <c r="BD88" i="3"/>
  <c r="BC88" i="3"/>
  <c r="BB88" i="3"/>
  <c r="BA88" i="3"/>
  <c r="AZ88" i="3"/>
  <c r="CL88" i="3" s="1"/>
  <c r="AY88" i="3"/>
  <c r="AX88" i="3"/>
  <c r="AW88" i="3"/>
  <c r="AV88" i="3"/>
  <c r="AP88" i="3"/>
  <c r="AO88" i="3"/>
  <c r="AN88" i="3"/>
  <c r="AM88" i="3"/>
  <c r="AL88" i="3"/>
  <c r="AK88" i="3"/>
  <c r="AJ88" i="3"/>
  <c r="AA88" i="3"/>
  <c r="AC88" i="3" s="1"/>
  <c r="X88" i="3"/>
  <c r="W88" i="3"/>
  <c r="V88" i="3"/>
  <c r="AD88" i="3" s="1"/>
  <c r="U88" i="3"/>
  <c r="N88" i="3"/>
  <c r="M88" i="3"/>
  <c r="L88" i="3"/>
  <c r="K88" i="3"/>
  <c r="G88" i="3"/>
  <c r="E88" i="3"/>
  <c r="H88" i="3" s="1"/>
  <c r="AG88" i="3" s="1"/>
  <c r="C88" i="3"/>
  <c r="CO87" i="3"/>
  <c r="CB87" i="3"/>
  <c r="BY87" i="3"/>
  <c r="BW87" i="3"/>
  <c r="BI87" i="3"/>
  <c r="BH87" i="3"/>
  <c r="BG87" i="3"/>
  <c r="BF87" i="3"/>
  <c r="BE87" i="3"/>
  <c r="BD87" i="3"/>
  <c r="BC87" i="3"/>
  <c r="BB87" i="3"/>
  <c r="BA87" i="3"/>
  <c r="AZ87" i="3"/>
  <c r="CL87" i="3" s="1"/>
  <c r="AY87" i="3"/>
  <c r="AX87" i="3"/>
  <c r="AW87" i="3"/>
  <c r="AV87" i="3"/>
  <c r="AP87" i="3"/>
  <c r="AO87" i="3"/>
  <c r="AN87" i="3"/>
  <c r="AM87" i="3"/>
  <c r="AL87" i="3"/>
  <c r="AK87" i="3"/>
  <c r="AJ87" i="3"/>
  <c r="AA87" i="3"/>
  <c r="AC87" i="3" s="1"/>
  <c r="X87" i="3"/>
  <c r="W87" i="3"/>
  <c r="V87" i="3"/>
  <c r="AD87" i="3" s="1"/>
  <c r="U87" i="3"/>
  <c r="N87" i="3"/>
  <c r="M87" i="3"/>
  <c r="L87" i="3"/>
  <c r="K87" i="3"/>
  <c r="G87" i="3"/>
  <c r="E87" i="3"/>
  <c r="C87" i="3"/>
  <c r="CO86" i="3"/>
  <c r="CB86" i="3"/>
  <c r="BY86" i="3"/>
  <c r="BW86" i="3"/>
  <c r="BI86" i="3"/>
  <c r="BH86" i="3"/>
  <c r="BG86" i="3"/>
  <c r="BF86" i="3"/>
  <c r="BE86" i="3"/>
  <c r="BD86" i="3"/>
  <c r="BC86" i="3"/>
  <c r="BB86" i="3"/>
  <c r="BA86" i="3"/>
  <c r="AZ86" i="3"/>
  <c r="CL86" i="3" s="1"/>
  <c r="AY86" i="3"/>
  <c r="AX86" i="3"/>
  <c r="AW86" i="3"/>
  <c r="AV86" i="3"/>
  <c r="AP86" i="3"/>
  <c r="AO86" i="3"/>
  <c r="AN86" i="3"/>
  <c r="AM86" i="3"/>
  <c r="AL86" i="3"/>
  <c r="AK86" i="3"/>
  <c r="AJ86" i="3"/>
  <c r="AA86" i="3"/>
  <c r="AC86" i="3" s="1"/>
  <c r="X86" i="3"/>
  <c r="W86" i="3"/>
  <c r="V86" i="3"/>
  <c r="AD86" i="3" s="1"/>
  <c r="U86" i="3"/>
  <c r="AB86" i="3" s="1"/>
  <c r="AH86" i="3" s="1"/>
  <c r="N86" i="3"/>
  <c r="M86" i="3"/>
  <c r="L86" i="3"/>
  <c r="K86" i="3"/>
  <c r="G86" i="3"/>
  <c r="E86" i="3"/>
  <c r="C86" i="3"/>
  <c r="CO85" i="3"/>
  <c r="CB85" i="3"/>
  <c r="BY85" i="3"/>
  <c r="BW85" i="3"/>
  <c r="BI85" i="3"/>
  <c r="BH85" i="3"/>
  <c r="BG85" i="3"/>
  <c r="BF85" i="3"/>
  <c r="BE85" i="3"/>
  <c r="BD85" i="3"/>
  <c r="BC85" i="3"/>
  <c r="BB85" i="3"/>
  <c r="BA85" i="3"/>
  <c r="AZ85" i="3"/>
  <c r="CL85" i="3" s="1"/>
  <c r="AY85" i="3"/>
  <c r="AX85" i="3"/>
  <c r="AW85" i="3"/>
  <c r="AV85" i="3"/>
  <c r="AP85" i="3"/>
  <c r="AO85" i="3"/>
  <c r="AN85" i="3"/>
  <c r="AM85" i="3"/>
  <c r="AL85" i="3"/>
  <c r="AK85" i="3"/>
  <c r="AJ85" i="3"/>
  <c r="AC85" i="3"/>
  <c r="AE85" i="3" s="1"/>
  <c r="AF85" i="3" s="1"/>
  <c r="AA85" i="3"/>
  <c r="X85" i="3"/>
  <c r="W85" i="3"/>
  <c r="V85" i="3"/>
  <c r="AD85" i="3" s="1"/>
  <c r="U85" i="3"/>
  <c r="N85" i="3"/>
  <c r="M85" i="3"/>
  <c r="L85" i="3"/>
  <c r="K85" i="3"/>
  <c r="G85" i="3"/>
  <c r="E85" i="3"/>
  <c r="C85" i="3"/>
  <c r="CO84" i="3"/>
  <c r="CB84" i="3"/>
  <c r="BY84" i="3"/>
  <c r="BW84" i="3"/>
  <c r="BI84" i="3"/>
  <c r="BH84" i="3"/>
  <c r="BG84" i="3"/>
  <c r="BF84" i="3"/>
  <c r="BE84" i="3"/>
  <c r="BD84" i="3"/>
  <c r="BC84" i="3"/>
  <c r="BB84" i="3"/>
  <c r="BA84" i="3"/>
  <c r="AZ84" i="3"/>
  <c r="CL84" i="3" s="1"/>
  <c r="AY84" i="3"/>
  <c r="AX84" i="3"/>
  <c r="AW84" i="3"/>
  <c r="AV84" i="3"/>
  <c r="AP84" i="3"/>
  <c r="AO84" i="3"/>
  <c r="AN84" i="3"/>
  <c r="AM84" i="3"/>
  <c r="AL84" i="3"/>
  <c r="AK84" i="3"/>
  <c r="AJ84" i="3"/>
  <c r="AC84" i="3"/>
  <c r="AA84" i="3"/>
  <c r="X84" i="3"/>
  <c r="W84" i="3"/>
  <c r="V84" i="3"/>
  <c r="AD84" i="3" s="1"/>
  <c r="U84" i="3"/>
  <c r="N84" i="3"/>
  <c r="M84" i="3"/>
  <c r="L84" i="3"/>
  <c r="K84" i="3"/>
  <c r="G84" i="3"/>
  <c r="E84" i="3"/>
  <c r="H84" i="3" s="1"/>
  <c r="AG84" i="3" s="1"/>
  <c r="C84" i="3"/>
  <c r="CO83" i="3"/>
  <c r="CB83" i="3"/>
  <c r="BY83" i="3"/>
  <c r="BW83" i="3"/>
  <c r="BI83" i="3"/>
  <c r="BH83" i="3"/>
  <c r="BG83" i="3"/>
  <c r="BF83" i="3"/>
  <c r="BE83" i="3"/>
  <c r="BD83" i="3"/>
  <c r="BC83" i="3"/>
  <c r="BB83" i="3"/>
  <c r="BA83" i="3"/>
  <c r="AZ83" i="3"/>
  <c r="CL83" i="3" s="1"/>
  <c r="AY83" i="3"/>
  <c r="AX83" i="3"/>
  <c r="AW83" i="3"/>
  <c r="AV83" i="3"/>
  <c r="AP83" i="3"/>
  <c r="AO83" i="3"/>
  <c r="AN83" i="3"/>
  <c r="AM83" i="3"/>
  <c r="AL83" i="3"/>
  <c r="AK83" i="3"/>
  <c r="AJ83" i="3"/>
  <c r="AC83" i="3"/>
  <c r="AA83" i="3"/>
  <c r="X83" i="3"/>
  <c r="W83" i="3"/>
  <c r="V83" i="3"/>
  <c r="AD83" i="3" s="1"/>
  <c r="U83" i="3"/>
  <c r="N83" i="3"/>
  <c r="M83" i="3"/>
  <c r="L83" i="3"/>
  <c r="K83" i="3"/>
  <c r="G83" i="3"/>
  <c r="E83" i="3"/>
  <c r="C83" i="3"/>
  <c r="CO82" i="3"/>
  <c r="CB82" i="3"/>
  <c r="BY82" i="3"/>
  <c r="BW82" i="3"/>
  <c r="BI82" i="3"/>
  <c r="BH82" i="3"/>
  <c r="BG82" i="3"/>
  <c r="BF82" i="3"/>
  <c r="BE82" i="3"/>
  <c r="BD82" i="3"/>
  <c r="BC82" i="3"/>
  <c r="BB82" i="3"/>
  <c r="BA82" i="3"/>
  <c r="AZ82" i="3"/>
  <c r="CL82" i="3" s="1"/>
  <c r="AY82" i="3"/>
  <c r="AX82" i="3"/>
  <c r="AW82" i="3"/>
  <c r="AV82" i="3"/>
  <c r="AP82" i="3"/>
  <c r="AO82" i="3"/>
  <c r="AN82" i="3"/>
  <c r="AM82" i="3"/>
  <c r="AL82" i="3"/>
  <c r="AK82" i="3"/>
  <c r="AJ82" i="3"/>
  <c r="AA82" i="3"/>
  <c r="AC82" i="3" s="1"/>
  <c r="X82" i="3"/>
  <c r="W82" i="3"/>
  <c r="V82" i="3"/>
  <c r="AD82" i="3" s="1"/>
  <c r="U82" i="3"/>
  <c r="AB82" i="3" s="1"/>
  <c r="AH82" i="3" s="1"/>
  <c r="N82" i="3"/>
  <c r="M82" i="3"/>
  <c r="L82" i="3"/>
  <c r="K82" i="3"/>
  <c r="G82" i="3"/>
  <c r="E82" i="3"/>
  <c r="C82" i="3"/>
  <c r="CO81" i="3"/>
  <c r="CB81" i="3"/>
  <c r="BY81" i="3"/>
  <c r="BW81" i="3"/>
  <c r="BI81" i="3"/>
  <c r="BH81" i="3"/>
  <c r="BG81" i="3"/>
  <c r="BF81" i="3"/>
  <c r="BE81" i="3"/>
  <c r="BD81" i="3"/>
  <c r="BC81" i="3"/>
  <c r="BB81" i="3"/>
  <c r="BA81" i="3"/>
  <c r="AZ81" i="3"/>
  <c r="CL81" i="3" s="1"/>
  <c r="AY81" i="3"/>
  <c r="AX81" i="3"/>
  <c r="AW81" i="3"/>
  <c r="AV81" i="3"/>
  <c r="AP81" i="3"/>
  <c r="AO81" i="3"/>
  <c r="AN81" i="3"/>
  <c r="AM81" i="3"/>
  <c r="AL81" i="3"/>
  <c r="AK81" i="3"/>
  <c r="AJ81" i="3"/>
  <c r="AC81" i="3"/>
  <c r="AE81" i="3" s="1"/>
  <c r="AF81" i="3" s="1"/>
  <c r="AA81" i="3"/>
  <c r="X81" i="3"/>
  <c r="W81" i="3"/>
  <c r="V81" i="3"/>
  <c r="AD81" i="3" s="1"/>
  <c r="U81" i="3"/>
  <c r="N81" i="3"/>
  <c r="M81" i="3"/>
  <c r="L81" i="3"/>
  <c r="K81" i="3"/>
  <c r="G81" i="3"/>
  <c r="E81" i="3"/>
  <c r="H81" i="3" s="1"/>
  <c r="AG81" i="3" s="1"/>
  <c r="C81" i="3"/>
  <c r="CO80" i="3"/>
  <c r="CB80" i="3"/>
  <c r="BY80" i="3"/>
  <c r="BW80" i="3"/>
  <c r="BI80" i="3"/>
  <c r="BH80" i="3"/>
  <c r="BG80" i="3"/>
  <c r="BF80" i="3"/>
  <c r="BE80" i="3"/>
  <c r="BD80" i="3"/>
  <c r="BC80" i="3"/>
  <c r="BB80" i="3"/>
  <c r="BA80" i="3"/>
  <c r="AZ80" i="3"/>
  <c r="CL80" i="3" s="1"/>
  <c r="AY80" i="3"/>
  <c r="AX80" i="3"/>
  <c r="AW80" i="3"/>
  <c r="AV80" i="3"/>
  <c r="AP80" i="3"/>
  <c r="AO80" i="3"/>
  <c r="AN80" i="3"/>
  <c r="AM80" i="3"/>
  <c r="AL80" i="3"/>
  <c r="AK80" i="3"/>
  <c r="AJ80" i="3"/>
  <c r="AA80" i="3"/>
  <c r="AC80" i="3" s="1"/>
  <c r="X80" i="3"/>
  <c r="W80" i="3"/>
  <c r="V80" i="3"/>
  <c r="AD80" i="3" s="1"/>
  <c r="U80" i="3"/>
  <c r="N80" i="3"/>
  <c r="M80" i="3"/>
  <c r="L80" i="3"/>
  <c r="K80" i="3"/>
  <c r="G80" i="3"/>
  <c r="E80" i="3"/>
  <c r="H80" i="3" s="1"/>
  <c r="AG80" i="3" s="1"/>
  <c r="C80" i="3"/>
  <c r="CO79" i="3"/>
  <c r="CB79" i="3"/>
  <c r="BY79" i="3"/>
  <c r="BW79" i="3"/>
  <c r="BI79" i="3"/>
  <c r="BH79" i="3"/>
  <c r="BG79" i="3"/>
  <c r="BF79" i="3"/>
  <c r="BE79" i="3"/>
  <c r="BD79" i="3"/>
  <c r="BC79" i="3"/>
  <c r="BB79" i="3"/>
  <c r="BA79" i="3"/>
  <c r="AZ79" i="3"/>
  <c r="CL79" i="3" s="1"/>
  <c r="AY79" i="3"/>
  <c r="AX79" i="3"/>
  <c r="AW79" i="3"/>
  <c r="AV79" i="3"/>
  <c r="AP79" i="3"/>
  <c r="AO79" i="3"/>
  <c r="AN79" i="3"/>
  <c r="AM79" i="3"/>
  <c r="AL79" i="3"/>
  <c r="AK79" i="3"/>
  <c r="AJ79" i="3"/>
  <c r="AA79" i="3"/>
  <c r="AC79" i="3" s="1"/>
  <c r="X79" i="3"/>
  <c r="W79" i="3"/>
  <c r="V79" i="3"/>
  <c r="AD79" i="3" s="1"/>
  <c r="U79" i="3"/>
  <c r="AB79" i="3" s="1"/>
  <c r="AH79" i="3" s="1"/>
  <c r="N79" i="3"/>
  <c r="O79" i="3" s="1"/>
  <c r="Q79" i="3" s="1"/>
  <c r="M79" i="3"/>
  <c r="L79" i="3"/>
  <c r="K79" i="3"/>
  <c r="G79" i="3"/>
  <c r="E79" i="3"/>
  <c r="C79" i="3"/>
  <c r="CO78" i="3"/>
  <c r="CB78" i="3"/>
  <c r="BY78" i="3"/>
  <c r="BW78" i="3"/>
  <c r="BI78" i="3"/>
  <c r="BH78" i="3"/>
  <c r="BG78" i="3"/>
  <c r="BF78" i="3"/>
  <c r="BE78" i="3"/>
  <c r="BD78" i="3"/>
  <c r="BC78" i="3"/>
  <c r="BB78" i="3"/>
  <c r="BA78" i="3"/>
  <c r="AZ78" i="3"/>
  <c r="CL78" i="3" s="1"/>
  <c r="AY78" i="3"/>
  <c r="AX78" i="3"/>
  <c r="AW78" i="3"/>
  <c r="AV78" i="3"/>
  <c r="AP78" i="3"/>
  <c r="AO78" i="3"/>
  <c r="AN78" i="3"/>
  <c r="AM78" i="3"/>
  <c r="AL78" i="3"/>
  <c r="AK78" i="3"/>
  <c r="AJ78" i="3"/>
  <c r="AD78" i="3"/>
  <c r="AC78" i="3"/>
  <c r="AA78" i="3"/>
  <c r="X78" i="3"/>
  <c r="W78" i="3"/>
  <c r="AE78" i="3" s="1"/>
  <c r="AF78" i="3" s="1"/>
  <c r="V78" i="3"/>
  <c r="U78" i="3"/>
  <c r="N78" i="3"/>
  <c r="M78" i="3"/>
  <c r="L78" i="3"/>
  <c r="K78" i="3"/>
  <c r="G78" i="3"/>
  <c r="H78" i="3" s="1"/>
  <c r="AG78" i="3" s="1"/>
  <c r="E78" i="3"/>
  <c r="C78" i="3"/>
  <c r="CO77" i="3"/>
  <c r="CB77" i="3"/>
  <c r="BY77" i="3"/>
  <c r="BW77" i="3"/>
  <c r="BI77" i="3"/>
  <c r="BH77" i="3"/>
  <c r="BG77" i="3"/>
  <c r="BF77" i="3"/>
  <c r="BE77" i="3"/>
  <c r="BD77" i="3"/>
  <c r="BC77" i="3"/>
  <c r="BB77" i="3"/>
  <c r="BA77" i="3"/>
  <c r="AZ77" i="3"/>
  <c r="CL77" i="3" s="1"/>
  <c r="AY77" i="3"/>
  <c r="AX77" i="3"/>
  <c r="AW77" i="3"/>
  <c r="AV77" i="3"/>
  <c r="AP77" i="3"/>
  <c r="AO77" i="3"/>
  <c r="AN77" i="3"/>
  <c r="AM77" i="3"/>
  <c r="AL77" i="3"/>
  <c r="AK77" i="3"/>
  <c r="AJ77" i="3"/>
  <c r="AD77" i="3"/>
  <c r="AC77" i="3"/>
  <c r="AA77" i="3"/>
  <c r="X77" i="3"/>
  <c r="W77" i="3"/>
  <c r="AE77" i="3" s="1"/>
  <c r="AF77" i="3" s="1"/>
  <c r="V77" i="3"/>
  <c r="U77" i="3"/>
  <c r="N77" i="3"/>
  <c r="M77" i="3"/>
  <c r="L77" i="3"/>
  <c r="K77" i="3"/>
  <c r="H77" i="3"/>
  <c r="AG77" i="3" s="1"/>
  <c r="G77" i="3"/>
  <c r="E77" i="3"/>
  <c r="C77" i="3"/>
  <c r="CO76" i="3"/>
  <c r="CB76" i="3"/>
  <c r="BY76" i="3"/>
  <c r="BW76" i="3"/>
  <c r="BI76" i="3"/>
  <c r="BH76" i="3"/>
  <c r="BG76" i="3"/>
  <c r="BF76" i="3"/>
  <c r="BE76" i="3"/>
  <c r="BD76" i="3"/>
  <c r="BC76" i="3"/>
  <c r="BB76" i="3"/>
  <c r="BA76" i="3"/>
  <c r="AZ76" i="3"/>
  <c r="CL76" i="3" s="1"/>
  <c r="AY76" i="3"/>
  <c r="AX76" i="3"/>
  <c r="AW76" i="3"/>
  <c r="AV76" i="3"/>
  <c r="AP76" i="3"/>
  <c r="AO76" i="3"/>
  <c r="AN76" i="3"/>
  <c r="AM76" i="3"/>
  <c r="AL76" i="3"/>
  <c r="AK76" i="3"/>
  <c r="AJ76" i="3"/>
  <c r="AD76" i="3"/>
  <c r="AC76" i="3"/>
  <c r="AB76" i="3"/>
  <c r="AH76" i="3" s="1"/>
  <c r="AA76" i="3"/>
  <c r="X76" i="3"/>
  <c r="W76" i="3"/>
  <c r="AE76" i="3" s="1"/>
  <c r="AF76" i="3" s="1"/>
  <c r="CK76" i="3" s="1"/>
  <c r="V76" i="3"/>
  <c r="U76" i="3"/>
  <c r="N76" i="3"/>
  <c r="M76" i="3"/>
  <c r="L76" i="3"/>
  <c r="K76" i="3"/>
  <c r="G76" i="3"/>
  <c r="E76" i="3"/>
  <c r="H76" i="3" s="1"/>
  <c r="AG76" i="3" s="1"/>
  <c r="C76" i="3"/>
  <c r="CO75" i="3"/>
  <c r="CB75" i="3"/>
  <c r="BY75" i="3"/>
  <c r="BW75" i="3"/>
  <c r="BI75" i="3"/>
  <c r="BH75" i="3"/>
  <c r="BG75" i="3"/>
  <c r="BF75" i="3"/>
  <c r="BE75" i="3"/>
  <c r="BD75" i="3"/>
  <c r="BC75" i="3"/>
  <c r="BB75" i="3"/>
  <c r="BA75" i="3"/>
  <c r="AZ75" i="3"/>
  <c r="CL75" i="3" s="1"/>
  <c r="AY75" i="3"/>
  <c r="AX75" i="3"/>
  <c r="AW75" i="3"/>
  <c r="AV75" i="3"/>
  <c r="AP75" i="3"/>
  <c r="AO75" i="3"/>
  <c r="AN75" i="3"/>
  <c r="AM75" i="3"/>
  <c r="AL75" i="3"/>
  <c r="AK75" i="3"/>
  <c r="AJ75" i="3"/>
  <c r="AD75" i="3"/>
  <c r="AC75" i="3"/>
  <c r="AA75" i="3"/>
  <c r="X75" i="3"/>
  <c r="W75" i="3"/>
  <c r="AE75" i="3" s="1"/>
  <c r="AF75" i="3" s="1"/>
  <c r="V75" i="3"/>
  <c r="U75" i="3"/>
  <c r="N75" i="3"/>
  <c r="M75" i="3"/>
  <c r="L75" i="3"/>
  <c r="K75" i="3"/>
  <c r="G75" i="3"/>
  <c r="E75" i="3"/>
  <c r="H75" i="3" s="1"/>
  <c r="AG75" i="3" s="1"/>
  <c r="C75" i="3"/>
  <c r="CO74" i="3"/>
  <c r="CB74" i="3"/>
  <c r="BY74" i="3"/>
  <c r="BW74" i="3"/>
  <c r="BI74" i="3"/>
  <c r="BH74" i="3"/>
  <c r="BG74" i="3"/>
  <c r="BF74" i="3"/>
  <c r="BE74" i="3"/>
  <c r="BD74" i="3"/>
  <c r="BC74" i="3"/>
  <c r="BB74" i="3"/>
  <c r="BA74" i="3"/>
  <c r="AZ74" i="3"/>
  <c r="CL74" i="3" s="1"/>
  <c r="AY74" i="3"/>
  <c r="AX74" i="3"/>
  <c r="AW74" i="3"/>
  <c r="AV74" i="3"/>
  <c r="AP74" i="3"/>
  <c r="AO74" i="3"/>
  <c r="AN74" i="3"/>
  <c r="AM74" i="3"/>
  <c r="AL74" i="3"/>
  <c r="AK74" i="3"/>
  <c r="AJ74" i="3"/>
  <c r="AD74" i="3"/>
  <c r="AC74" i="3"/>
  <c r="AA74" i="3"/>
  <c r="X74" i="3"/>
  <c r="W74" i="3"/>
  <c r="AE74" i="3" s="1"/>
  <c r="AF74" i="3" s="1"/>
  <c r="V74" i="3"/>
  <c r="U74" i="3"/>
  <c r="N74" i="3"/>
  <c r="M74" i="3"/>
  <c r="L74" i="3"/>
  <c r="K74" i="3"/>
  <c r="G74" i="3"/>
  <c r="E74" i="3"/>
  <c r="C74" i="3"/>
  <c r="CO73" i="3"/>
  <c r="CB73" i="3"/>
  <c r="BY73" i="3"/>
  <c r="BW73" i="3"/>
  <c r="BI73" i="3"/>
  <c r="BH73" i="3"/>
  <c r="BG73" i="3"/>
  <c r="BF73" i="3"/>
  <c r="BE73" i="3"/>
  <c r="BD73" i="3"/>
  <c r="BC73" i="3"/>
  <c r="BB73" i="3"/>
  <c r="BA73" i="3"/>
  <c r="AZ73" i="3"/>
  <c r="CL73" i="3" s="1"/>
  <c r="AY73" i="3"/>
  <c r="AX73" i="3"/>
  <c r="AW73" i="3"/>
  <c r="AV73" i="3"/>
  <c r="AP73" i="3"/>
  <c r="AO73" i="3"/>
  <c r="AN73" i="3"/>
  <c r="AM73" i="3"/>
  <c r="AL73" i="3"/>
  <c r="AK73" i="3"/>
  <c r="AJ73" i="3"/>
  <c r="AD73" i="3"/>
  <c r="AC73" i="3"/>
  <c r="AA73" i="3"/>
  <c r="X73" i="3"/>
  <c r="W73" i="3"/>
  <c r="AE73" i="3" s="1"/>
  <c r="AF73" i="3" s="1"/>
  <c r="V73" i="3"/>
  <c r="U73" i="3"/>
  <c r="N73" i="3"/>
  <c r="O73" i="3" s="1"/>
  <c r="Q73" i="3" s="1"/>
  <c r="M73" i="3"/>
  <c r="L73" i="3"/>
  <c r="K73" i="3"/>
  <c r="G73" i="3"/>
  <c r="E73" i="3"/>
  <c r="C73" i="3"/>
  <c r="CO72" i="3"/>
  <c r="CB72" i="3"/>
  <c r="BY72" i="3"/>
  <c r="BW72" i="3"/>
  <c r="BI72" i="3"/>
  <c r="BH72" i="3"/>
  <c r="BG72" i="3"/>
  <c r="BF72" i="3"/>
  <c r="BE72" i="3"/>
  <c r="BD72" i="3"/>
  <c r="BC72" i="3"/>
  <c r="BB72" i="3"/>
  <c r="BA72" i="3"/>
  <c r="AZ72" i="3"/>
  <c r="CL72" i="3" s="1"/>
  <c r="AY72" i="3"/>
  <c r="AX72" i="3"/>
  <c r="AW72" i="3"/>
  <c r="AV72" i="3"/>
  <c r="AP72" i="3"/>
  <c r="AO72" i="3"/>
  <c r="AN72" i="3"/>
  <c r="AM72" i="3"/>
  <c r="AL72" i="3"/>
  <c r="AK72" i="3"/>
  <c r="AJ72" i="3"/>
  <c r="AD72" i="3"/>
  <c r="AC72" i="3"/>
  <c r="AA72" i="3"/>
  <c r="X72" i="3"/>
  <c r="W72" i="3"/>
  <c r="AE72" i="3" s="1"/>
  <c r="AF72" i="3" s="1"/>
  <c r="V72" i="3"/>
  <c r="U72" i="3"/>
  <c r="N72" i="3"/>
  <c r="O72" i="3" s="1"/>
  <c r="Q72" i="3" s="1"/>
  <c r="M72" i="3"/>
  <c r="L72" i="3"/>
  <c r="K72" i="3"/>
  <c r="G72" i="3"/>
  <c r="H72" i="3" s="1"/>
  <c r="AG72" i="3" s="1"/>
  <c r="E72" i="3"/>
  <c r="C72" i="3"/>
  <c r="CO71" i="3"/>
  <c r="CB71" i="3"/>
  <c r="BY71" i="3"/>
  <c r="BW71" i="3"/>
  <c r="BI71" i="3"/>
  <c r="BH71" i="3"/>
  <c r="BG71" i="3"/>
  <c r="BF71" i="3"/>
  <c r="BE71" i="3"/>
  <c r="BD71" i="3"/>
  <c r="BC71" i="3"/>
  <c r="BB71" i="3"/>
  <c r="BA71" i="3"/>
  <c r="AZ71" i="3"/>
  <c r="CL71" i="3" s="1"/>
  <c r="AY71" i="3"/>
  <c r="AX71" i="3"/>
  <c r="AW71" i="3"/>
  <c r="AV71" i="3"/>
  <c r="AP71" i="3"/>
  <c r="AO71" i="3"/>
  <c r="AN71" i="3"/>
  <c r="AM71" i="3"/>
  <c r="AL71" i="3"/>
  <c r="AK71" i="3"/>
  <c r="AJ71" i="3"/>
  <c r="AD71" i="3"/>
  <c r="AC71" i="3"/>
  <c r="AA71" i="3"/>
  <c r="X71" i="3"/>
  <c r="W71" i="3"/>
  <c r="AE71" i="3" s="1"/>
  <c r="AF71" i="3" s="1"/>
  <c r="V71" i="3"/>
  <c r="U71" i="3"/>
  <c r="N71" i="3"/>
  <c r="M71" i="3"/>
  <c r="L71" i="3"/>
  <c r="K71" i="3"/>
  <c r="G71" i="3"/>
  <c r="E71" i="3"/>
  <c r="C71" i="3"/>
  <c r="CO70" i="3"/>
  <c r="CB70" i="3"/>
  <c r="BY70" i="3"/>
  <c r="BW70" i="3"/>
  <c r="BI70" i="3"/>
  <c r="BH70" i="3"/>
  <c r="BG70" i="3"/>
  <c r="BF70" i="3"/>
  <c r="BE70" i="3"/>
  <c r="BD70" i="3"/>
  <c r="BC70" i="3"/>
  <c r="BB70" i="3"/>
  <c r="BA70" i="3"/>
  <c r="AZ70" i="3"/>
  <c r="CL70" i="3" s="1"/>
  <c r="AY70" i="3"/>
  <c r="AX70" i="3"/>
  <c r="AW70" i="3"/>
  <c r="AV70" i="3"/>
  <c r="AP70" i="3"/>
  <c r="AO70" i="3"/>
  <c r="AN70" i="3"/>
  <c r="AM70" i="3"/>
  <c r="AL70" i="3"/>
  <c r="AK70" i="3"/>
  <c r="AJ70" i="3"/>
  <c r="AE70" i="3"/>
  <c r="AF70" i="3" s="1"/>
  <c r="AD70" i="3"/>
  <c r="AC70" i="3"/>
  <c r="AA70" i="3"/>
  <c r="X70" i="3"/>
  <c r="AB70" i="3" s="1"/>
  <c r="AH70" i="3" s="1"/>
  <c r="W70" i="3"/>
  <c r="V70" i="3"/>
  <c r="U70" i="3"/>
  <c r="N70" i="3"/>
  <c r="M70" i="3"/>
  <c r="L70" i="3"/>
  <c r="K70" i="3"/>
  <c r="G70" i="3"/>
  <c r="E70" i="3"/>
  <c r="C70" i="3"/>
  <c r="CO69" i="3"/>
  <c r="CB69" i="3"/>
  <c r="BY69" i="3"/>
  <c r="BW69" i="3"/>
  <c r="BI69" i="3"/>
  <c r="BH69" i="3"/>
  <c r="BG69" i="3"/>
  <c r="BF69" i="3"/>
  <c r="BE69" i="3"/>
  <c r="BD69" i="3"/>
  <c r="BC69" i="3"/>
  <c r="BB69" i="3"/>
  <c r="BA69" i="3"/>
  <c r="AZ69" i="3"/>
  <c r="CL69" i="3" s="1"/>
  <c r="AY69" i="3"/>
  <c r="AX69" i="3"/>
  <c r="AW69" i="3"/>
  <c r="AV69" i="3"/>
  <c r="AP69" i="3"/>
  <c r="AO69" i="3"/>
  <c r="AN69" i="3"/>
  <c r="AM69" i="3"/>
  <c r="AL69" i="3"/>
  <c r="AK69" i="3"/>
  <c r="AJ69" i="3"/>
  <c r="AD69" i="3"/>
  <c r="AC69" i="3"/>
  <c r="AA69" i="3"/>
  <c r="X69" i="3"/>
  <c r="AB69" i="3" s="1"/>
  <c r="AH69" i="3" s="1"/>
  <c r="W69" i="3"/>
  <c r="AE69" i="3" s="1"/>
  <c r="AF69" i="3" s="1"/>
  <c r="V69" i="3"/>
  <c r="U69" i="3"/>
  <c r="N69" i="3"/>
  <c r="M69" i="3"/>
  <c r="L69" i="3"/>
  <c r="K69" i="3"/>
  <c r="G69" i="3"/>
  <c r="E69" i="3"/>
  <c r="H69" i="3" s="1"/>
  <c r="AG69" i="3" s="1"/>
  <c r="C69" i="3"/>
  <c r="CB65" i="3"/>
  <c r="AT65" i="3"/>
  <c r="AS65" i="3"/>
  <c r="BZ65" i="3" s="1"/>
  <c r="X65" i="3"/>
  <c r="W65" i="3"/>
  <c r="V65" i="3"/>
  <c r="U65" i="3"/>
  <c r="H65" i="3"/>
  <c r="AU65" i="3" s="1"/>
  <c r="G65" i="3"/>
  <c r="E65" i="3"/>
  <c r="C65" i="3"/>
  <c r="CB64" i="3"/>
  <c r="AT64" i="3"/>
  <c r="AS64" i="3"/>
  <c r="AX64" i="3" s="1"/>
  <c r="X64" i="3"/>
  <c r="AB64" i="3" s="1"/>
  <c r="AH64" i="3" s="1"/>
  <c r="W64" i="3"/>
  <c r="V64" i="3"/>
  <c r="U64" i="3"/>
  <c r="H64" i="3"/>
  <c r="AU64" i="3" s="1"/>
  <c r="G64" i="3"/>
  <c r="E64" i="3"/>
  <c r="C64" i="3"/>
  <c r="CB63" i="3"/>
  <c r="AT63" i="3"/>
  <c r="AS63" i="3"/>
  <c r="X63" i="3"/>
  <c r="W63" i="3"/>
  <c r="V63" i="3"/>
  <c r="U63" i="3"/>
  <c r="H63" i="3"/>
  <c r="AU63" i="3" s="1"/>
  <c r="G63" i="3"/>
  <c r="E63" i="3"/>
  <c r="C63" i="3"/>
  <c r="CB62" i="3"/>
  <c r="BZ62" i="3"/>
  <c r="AV62" i="3"/>
  <c r="AT62" i="3"/>
  <c r="AS62" i="3"/>
  <c r="AX62" i="3" s="1"/>
  <c r="X62" i="3"/>
  <c r="W62" i="3"/>
  <c r="V62" i="3"/>
  <c r="U62" i="3"/>
  <c r="H62" i="3"/>
  <c r="AU62" i="3" s="1"/>
  <c r="G62" i="3"/>
  <c r="E62" i="3"/>
  <c r="C62" i="3"/>
  <c r="CB61" i="3"/>
  <c r="AW61" i="3"/>
  <c r="AV61" i="3"/>
  <c r="AT61" i="3"/>
  <c r="AS61" i="3"/>
  <c r="BZ61" i="3" s="1"/>
  <c r="X61" i="3"/>
  <c r="AB61" i="3" s="1"/>
  <c r="AH61" i="3" s="1"/>
  <c r="W61" i="3"/>
  <c r="V61" i="3"/>
  <c r="U61" i="3"/>
  <c r="H61" i="3"/>
  <c r="AU61" i="3" s="1"/>
  <c r="G61" i="3"/>
  <c r="E61" i="3"/>
  <c r="C61" i="3"/>
  <c r="CB60" i="3"/>
  <c r="AT60" i="3"/>
  <c r="AS60" i="3"/>
  <c r="BZ60" i="3" s="1"/>
  <c r="X60" i="3"/>
  <c r="W60" i="3"/>
  <c r="AB60" i="3" s="1"/>
  <c r="AH60" i="3" s="1"/>
  <c r="V60" i="3"/>
  <c r="U60" i="3"/>
  <c r="H60" i="3"/>
  <c r="AU60" i="3" s="1"/>
  <c r="G60" i="3"/>
  <c r="E60" i="3"/>
  <c r="C60" i="3"/>
  <c r="CB59" i="3"/>
  <c r="AT59" i="3"/>
  <c r="AS59" i="3"/>
  <c r="AX59" i="3" s="1"/>
  <c r="X59" i="3"/>
  <c r="AB59" i="3" s="1"/>
  <c r="AH59" i="3" s="1"/>
  <c r="W59" i="3"/>
  <c r="V59" i="3"/>
  <c r="U59" i="3"/>
  <c r="H59" i="3"/>
  <c r="AU59" i="3" s="1"/>
  <c r="G59" i="3"/>
  <c r="E59" i="3"/>
  <c r="C59" i="3"/>
  <c r="CB58" i="3"/>
  <c r="AT58" i="3"/>
  <c r="AS58" i="3"/>
  <c r="AX58" i="3" s="1"/>
  <c r="X58" i="3"/>
  <c r="W58" i="3"/>
  <c r="AB58" i="3" s="1"/>
  <c r="AH58" i="3" s="1"/>
  <c r="V58" i="3"/>
  <c r="U58" i="3"/>
  <c r="H58" i="3"/>
  <c r="AU58" i="3" s="1"/>
  <c r="G58" i="3"/>
  <c r="E58" i="3"/>
  <c r="C58" i="3"/>
  <c r="CB57" i="3"/>
  <c r="AT57" i="3"/>
  <c r="AS57" i="3"/>
  <c r="BZ57" i="3" s="1"/>
  <c r="X57" i="3"/>
  <c r="W57" i="3"/>
  <c r="V57" i="3"/>
  <c r="U57" i="3"/>
  <c r="H57" i="3"/>
  <c r="AU57" i="3" s="1"/>
  <c r="G57" i="3"/>
  <c r="E57" i="3"/>
  <c r="C57" i="3"/>
  <c r="CX56" i="3"/>
  <c r="CO63" i="3" s="1"/>
  <c r="CB56" i="3"/>
  <c r="BZ56" i="3"/>
  <c r="AT56" i="3"/>
  <c r="AS56" i="3"/>
  <c r="AX56" i="3" s="1"/>
  <c r="X56" i="3"/>
  <c r="W56" i="3"/>
  <c r="V56" i="3"/>
  <c r="U56" i="3"/>
  <c r="H56" i="3"/>
  <c r="AU56" i="3" s="1"/>
  <c r="G56" i="3"/>
  <c r="E56" i="3"/>
  <c r="C56" i="3"/>
  <c r="CX55" i="3"/>
  <c r="CB55" i="3"/>
  <c r="BZ55" i="3"/>
  <c r="AW55" i="3"/>
  <c r="AT55" i="3"/>
  <c r="AS55" i="3"/>
  <c r="AX55" i="3" s="1"/>
  <c r="X55" i="3"/>
  <c r="W55" i="3"/>
  <c r="V55" i="3"/>
  <c r="U55" i="3"/>
  <c r="H55" i="3"/>
  <c r="AU55" i="3" s="1"/>
  <c r="G55" i="3"/>
  <c r="E55" i="3"/>
  <c r="C55" i="3"/>
  <c r="CX54" i="3"/>
  <c r="CB54" i="3"/>
  <c r="BZ54" i="3"/>
  <c r="AX54" i="3"/>
  <c r="AT54" i="3"/>
  <c r="AS54" i="3"/>
  <c r="AV54" i="3" s="1"/>
  <c r="X54" i="3"/>
  <c r="W54" i="3"/>
  <c r="V54" i="3"/>
  <c r="U54" i="3"/>
  <c r="H54" i="3"/>
  <c r="AU54" i="3" s="1"/>
  <c r="G54" i="3"/>
  <c r="E54" i="3"/>
  <c r="C54" i="3"/>
  <c r="CB53" i="3"/>
  <c r="AT53" i="3"/>
  <c r="AS53" i="3"/>
  <c r="AX53" i="3" s="1"/>
  <c r="X53" i="3"/>
  <c r="W53" i="3"/>
  <c r="V53" i="3"/>
  <c r="U53" i="3"/>
  <c r="H53" i="3"/>
  <c r="AU53" i="3" s="1"/>
  <c r="G53" i="3"/>
  <c r="E53" i="3"/>
  <c r="C53" i="3"/>
  <c r="CB52" i="3"/>
  <c r="AU52" i="3"/>
  <c r="AT52" i="3"/>
  <c r="AS52" i="3"/>
  <c r="BZ52" i="3" s="1"/>
  <c r="X52" i="3"/>
  <c r="W52" i="3"/>
  <c r="V52" i="3"/>
  <c r="U52" i="3"/>
  <c r="H52" i="3"/>
  <c r="G52" i="3"/>
  <c r="E52" i="3"/>
  <c r="C52" i="3"/>
  <c r="CB51" i="3"/>
  <c r="AU51" i="3"/>
  <c r="AT51" i="3"/>
  <c r="AS51" i="3"/>
  <c r="BZ51" i="3" s="1"/>
  <c r="X51" i="3"/>
  <c r="W51" i="3"/>
  <c r="V51" i="3"/>
  <c r="U51" i="3"/>
  <c r="AB51" i="3" s="1"/>
  <c r="AH51" i="3" s="1"/>
  <c r="H51" i="3"/>
  <c r="G51" i="3"/>
  <c r="E51" i="3"/>
  <c r="C51" i="3"/>
  <c r="CB50" i="3"/>
  <c r="CC50" i="3" s="1"/>
  <c r="AX50" i="3"/>
  <c r="AV50" i="3"/>
  <c r="AT50" i="3"/>
  <c r="AS50" i="3"/>
  <c r="BZ50" i="3" s="1"/>
  <c r="X50" i="3"/>
  <c r="W50" i="3"/>
  <c r="V50" i="3"/>
  <c r="U50" i="3"/>
  <c r="AB50" i="3" s="1"/>
  <c r="AH50" i="3" s="1"/>
  <c r="H50" i="3"/>
  <c r="AU50" i="3" s="1"/>
  <c r="G50" i="3"/>
  <c r="E50" i="3"/>
  <c r="C50" i="3"/>
  <c r="CB49" i="3"/>
  <c r="AT49" i="3"/>
  <c r="AS49" i="3"/>
  <c r="BZ49" i="3" s="1"/>
  <c r="AB49" i="3"/>
  <c r="AH49" i="3" s="1"/>
  <c r="X49" i="3"/>
  <c r="W49" i="3"/>
  <c r="V49" i="3"/>
  <c r="U49" i="3"/>
  <c r="H49" i="3"/>
  <c r="AU49" i="3" s="1"/>
  <c r="G49" i="3"/>
  <c r="E49" i="3"/>
  <c r="C49" i="3"/>
  <c r="CB48" i="3"/>
  <c r="AT48" i="3"/>
  <c r="AS48" i="3"/>
  <c r="BZ48" i="3" s="1"/>
  <c r="X48" i="3"/>
  <c r="W48" i="3"/>
  <c r="V48" i="3"/>
  <c r="U48" i="3"/>
  <c r="H48" i="3"/>
  <c r="AU48" i="3" s="1"/>
  <c r="G48" i="3"/>
  <c r="E48" i="3"/>
  <c r="C48" i="3"/>
  <c r="CB47" i="3"/>
  <c r="AX47" i="3"/>
  <c r="AT47" i="3"/>
  <c r="AS47" i="3"/>
  <c r="BZ47" i="3" s="1"/>
  <c r="X47" i="3"/>
  <c r="W47" i="3"/>
  <c r="V47" i="3"/>
  <c r="U47" i="3"/>
  <c r="H47" i="3"/>
  <c r="AU47" i="3" s="1"/>
  <c r="G47" i="3"/>
  <c r="E47" i="3"/>
  <c r="C47" i="3"/>
  <c r="CB46" i="3"/>
  <c r="BZ46" i="3"/>
  <c r="AT46" i="3"/>
  <c r="AS46" i="3"/>
  <c r="AV46" i="3" s="1"/>
  <c r="X46" i="3"/>
  <c r="W46" i="3"/>
  <c r="V46" i="3"/>
  <c r="AB46" i="3" s="1"/>
  <c r="AH46" i="3" s="1"/>
  <c r="U46" i="3"/>
  <c r="H46" i="3"/>
  <c r="AU46" i="3" s="1"/>
  <c r="G46" i="3"/>
  <c r="E46" i="3"/>
  <c r="C46" i="3"/>
  <c r="BW43" i="3"/>
  <c r="X43" i="3"/>
  <c r="W43" i="3"/>
  <c r="V43" i="3"/>
  <c r="U43" i="3"/>
  <c r="N43" i="3"/>
  <c r="M43" i="3"/>
  <c r="L43" i="3"/>
  <c r="K43" i="3"/>
  <c r="H43" i="3"/>
  <c r="G43" i="3"/>
  <c r="E43" i="3"/>
  <c r="C43" i="3"/>
  <c r="BW42" i="3"/>
  <c r="X42" i="3"/>
  <c r="W42" i="3"/>
  <c r="V42" i="3"/>
  <c r="U42" i="3"/>
  <c r="N42" i="3"/>
  <c r="M42" i="3"/>
  <c r="O42" i="3" s="1"/>
  <c r="L42" i="3"/>
  <c r="K42" i="3"/>
  <c r="H42" i="3"/>
  <c r="G42" i="3"/>
  <c r="E42" i="3"/>
  <c r="C42" i="3"/>
  <c r="BW41" i="3"/>
  <c r="X41" i="3"/>
  <c r="AB41" i="3" s="1"/>
  <c r="W41" i="3"/>
  <c r="V41" i="3"/>
  <c r="U41" i="3"/>
  <c r="N41" i="3"/>
  <c r="M41" i="3"/>
  <c r="L41" i="3"/>
  <c r="K41" i="3"/>
  <c r="H41" i="3"/>
  <c r="G41" i="3"/>
  <c r="E41" i="3"/>
  <c r="C41" i="3"/>
  <c r="BW40" i="3"/>
  <c r="X40" i="3"/>
  <c r="W40" i="3"/>
  <c r="V40" i="3"/>
  <c r="U40" i="3"/>
  <c r="N40" i="3"/>
  <c r="M40" i="3"/>
  <c r="L40" i="3"/>
  <c r="K40" i="3"/>
  <c r="H40" i="3"/>
  <c r="G40" i="3"/>
  <c r="E40" i="3"/>
  <c r="C40" i="3"/>
  <c r="BW39" i="3"/>
  <c r="X39" i="3"/>
  <c r="AB39" i="3" s="1"/>
  <c r="W39" i="3"/>
  <c r="V39" i="3"/>
  <c r="U39" i="3"/>
  <c r="N39" i="3"/>
  <c r="M39" i="3"/>
  <c r="L39" i="3"/>
  <c r="K39" i="3"/>
  <c r="H39" i="3"/>
  <c r="G39" i="3"/>
  <c r="E39" i="3"/>
  <c r="C39" i="3"/>
  <c r="BW38" i="3"/>
  <c r="X38" i="3"/>
  <c r="W38" i="3"/>
  <c r="AB38" i="3" s="1"/>
  <c r="V38" i="3"/>
  <c r="U38" i="3"/>
  <c r="N38" i="3"/>
  <c r="M38" i="3"/>
  <c r="L38" i="3"/>
  <c r="K38" i="3"/>
  <c r="H38" i="3"/>
  <c r="G38" i="3"/>
  <c r="E38" i="3"/>
  <c r="C38" i="3"/>
  <c r="BW37" i="3"/>
  <c r="X37" i="3"/>
  <c r="W37" i="3"/>
  <c r="AB37" i="3" s="1"/>
  <c r="V37" i="3"/>
  <c r="U37" i="3"/>
  <c r="N37" i="3"/>
  <c r="M37" i="3"/>
  <c r="L37" i="3"/>
  <c r="K37" i="3"/>
  <c r="H37" i="3"/>
  <c r="G37" i="3"/>
  <c r="E37" i="3"/>
  <c r="C37" i="3"/>
  <c r="BW36" i="3"/>
  <c r="X36" i="3"/>
  <c r="AB36" i="3" s="1"/>
  <c r="W36" i="3"/>
  <c r="V36" i="3"/>
  <c r="U36" i="3"/>
  <c r="N36" i="3"/>
  <c r="M36" i="3"/>
  <c r="L36" i="3"/>
  <c r="K36" i="3"/>
  <c r="H36" i="3"/>
  <c r="G36" i="3"/>
  <c r="E36" i="3"/>
  <c r="C36" i="3"/>
  <c r="BW35" i="3"/>
  <c r="X35" i="3"/>
  <c r="W35" i="3"/>
  <c r="V35" i="3"/>
  <c r="U35" i="3"/>
  <c r="N35" i="3"/>
  <c r="O35" i="3" s="1"/>
  <c r="M35" i="3"/>
  <c r="L35" i="3"/>
  <c r="K35" i="3"/>
  <c r="H35" i="3"/>
  <c r="G35" i="3"/>
  <c r="E35" i="3"/>
  <c r="C35" i="3"/>
  <c r="BW34" i="3"/>
  <c r="X34" i="3"/>
  <c r="W34" i="3"/>
  <c r="V34" i="3"/>
  <c r="U34" i="3"/>
  <c r="N34" i="3"/>
  <c r="M34" i="3"/>
  <c r="L34" i="3"/>
  <c r="K34" i="3"/>
  <c r="H34" i="3"/>
  <c r="G34" i="3"/>
  <c r="E34" i="3"/>
  <c r="C34" i="3"/>
  <c r="BW33" i="3"/>
  <c r="X33" i="3"/>
  <c r="W33" i="3"/>
  <c r="V33" i="3"/>
  <c r="U33" i="3"/>
  <c r="N33" i="3"/>
  <c r="M33" i="3"/>
  <c r="L33" i="3"/>
  <c r="K33" i="3"/>
  <c r="H33" i="3"/>
  <c r="G33" i="3"/>
  <c r="E33" i="3"/>
  <c r="C33" i="3"/>
  <c r="BW32" i="3"/>
  <c r="X32" i="3"/>
  <c r="W32" i="3"/>
  <c r="V32" i="3"/>
  <c r="U32" i="3"/>
  <c r="AB32" i="3" s="1"/>
  <c r="N32" i="3"/>
  <c r="M32" i="3"/>
  <c r="L32" i="3"/>
  <c r="K32" i="3"/>
  <c r="H32" i="3"/>
  <c r="G32" i="3"/>
  <c r="E32" i="3"/>
  <c r="C32" i="3"/>
  <c r="BW31" i="3"/>
  <c r="X31" i="3"/>
  <c r="W31" i="3"/>
  <c r="V31" i="3"/>
  <c r="U31" i="3"/>
  <c r="N31" i="3"/>
  <c r="M31" i="3"/>
  <c r="L31" i="3"/>
  <c r="K31" i="3"/>
  <c r="H31" i="3"/>
  <c r="G31" i="3"/>
  <c r="E31" i="3"/>
  <c r="C31" i="3"/>
  <c r="BW30" i="3"/>
  <c r="X30" i="3"/>
  <c r="W30" i="3"/>
  <c r="V30" i="3"/>
  <c r="U30" i="3"/>
  <c r="N30" i="3"/>
  <c r="M30" i="3"/>
  <c r="L30" i="3"/>
  <c r="K30" i="3"/>
  <c r="H30" i="3"/>
  <c r="G30" i="3"/>
  <c r="E30" i="3"/>
  <c r="C30" i="3"/>
  <c r="BW29" i="3"/>
  <c r="X29" i="3"/>
  <c r="W29" i="3"/>
  <c r="V29" i="3"/>
  <c r="U29" i="3"/>
  <c r="N29" i="3"/>
  <c r="M29" i="3"/>
  <c r="L29" i="3"/>
  <c r="K29" i="3"/>
  <c r="H29" i="3"/>
  <c r="G29" i="3"/>
  <c r="E29" i="3"/>
  <c r="C29" i="3"/>
  <c r="BW28" i="3"/>
  <c r="X28" i="3"/>
  <c r="W28" i="3"/>
  <c r="V28" i="3"/>
  <c r="U28" i="3"/>
  <c r="AB28" i="3" s="1"/>
  <c r="N28" i="3"/>
  <c r="M28" i="3"/>
  <c r="L28" i="3"/>
  <c r="K28" i="3"/>
  <c r="H28" i="3"/>
  <c r="G28" i="3"/>
  <c r="E28" i="3"/>
  <c r="C28" i="3"/>
  <c r="BW27" i="3"/>
  <c r="X27" i="3"/>
  <c r="W27" i="3"/>
  <c r="V27" i="3"/>
  <c r="U27" i="3"/>
  <c r="N27" i="3"/>
  <c r="M27" i="3"/>
  <c r="L27" i="3"/>
  <c r="K27" i="3"/>
  <c r="H27" i="3"/>
  <c r="G27" i="3"/>
  <c r="E27" i="3"/>
  <c r="C27" i="3"/>
  <c r="BW26" i="3"/>
  <c r="X26" i="3"/>
  <c r="W26" i="3"/>
  <c r="V26" i="3"/>
  <c r="U26" i="3"/>
  <c r="AB26" i="3" s="1"/>
  <c r="N26" i="3"/>
  <c r="M26" i="3"/>
  <c r="L26" i="3"/>
  <c r="K26" i="3"/>
  <c r="H26" i="3"/>
  <c r="G26" i="3"/>
  <c r="E26" i="3"/>
  <c r="C26" i="3"/>
  <c r="BW25" i="3"/>
  <c r="X25" i="3"/>
  <c r="W25" i="3"/>
  <c r="V25" i="3"/>
  <c r="U25" i="3"/>
  <c r="N25" i="3"/>
  <c r="M25" i="3"/>
  <c r="L25" i="3"/>
  <c r="K25" i="3"/>
  <c r="H25" i="3"/>
  <c r="G25" i="3"/>
  <c r="E25" i="3"/>
  <c r="C25" i="3"/>
  <c r="BW24" i="3"/>
  <c r="X24" i="3"/>
  <c r="W24" i="3"/>
  <c r="V24" i="3"/>
  <c r="AB24" i="3" s="1"/>
  <c r="U24" i="3"/>
  <c r="N24" i="3"/>
  <c r="M24" i="3"/>
  <c r="L24" i="3"/>
  <c r="K24" i="3"/>
  <c r="H24" i="3"/>
  <c r="G24" i="3"/>
  <c r="E24" i="3"/>
  <c r="C24" i="3"/>
  <c r="BZ21" i="3"/>
  <c r="BT21" i="3"/>
  <c r="AW21" i="3" s="1"/>
  <c r="E21" i="3"/>
  <c r="C21" i="3"/>
  <c r="BZ20" i="3"/>
  <c r="BT20" i="3"/>
  <c r="AV20" i="3" s="1"/>
  <c r="E20" i="3"/>
  <c r="C20" i="3"/>
  <c r="BZ19" i="3"/>
  <c r="BT19" i="3"/>
  <c r="AW19" i="3" s="1"/>
  <c r="E19" i="3"/>
  <c r="C19" i="3"/>
  <c r="BZ18" i="3"/>
  <c r="BT18" i="3"/>
  <c r="AV18" i="3" s="1"/>
  <c r="E18" i="3"/>
  <c r="C18" i="3"/>
  <c r="BZ17" i="3"/>
  <c r="BT17" i="3"/>
  <c r="AW17" i="3" s="1"/>
  <c r="E17" i="3"/>
  <c r="C17" i="3"/>
  <c r="BZ16" i="3"/>
  <c r="BT16" i="3"/>
  <c r="AV16" i="3" s="1"/>
  <c r="AW16" i="3"/>
  <c r="E16" i="3"/>
  <c r="C16" i="3"/>
  <c r="BZ15" i="3"/>
  <c r="BT15" i="3"/>
  <c r="AW15" i="3" s="1"/>
  <c r="E15" i="3"/>
  <c r="C15" i="3"/>
  <c r="BZ14" i="3"/>
  <c r="BT14" i="3"/>
  <c r="AW14" i="3" s="1"/>
  <c r="E14" i="3"/>
  <c r="C14" i="3"/>
  <c r="BZ13" i="3"/>
  <c r="BT13" i="3"/>
  <c r="AW13" i="3" s="1"/>
  <c r="E13" i="3"/>
  <c r="C13" i="3"/>
  <c r="BZ12" i="3"/>
  <c r="BT12" i="3"/>
  <c r="AV12" i="3" s="1"/>
  <c r="E12" i="3"/>
  <c r="C12" i="3"/>
  <c r="BZ11" i="3"/>
  <c r="BT11" i="3"/>
  <c r="AW11" i="3" s="1"/>
  <c r="E11" i="3"/>
  <c r="C11" i="3"/>
  <c r="BZ10" i="3"/>
  <c r="BT10" i="3"/>
  <c r="AV10" i="3" s="1"/>
  <c r="E10" i="3"/>
  <c r="C10" i="3"/>
  <c r="BZ9" i="3"/>
  <c r="BT9" i="3"/>
  <c r="AW9" i="3" s="1"/>
  <c r="E9" i="3"/>
  <c r="C9" i="3"/>
  <c r="BZ8" i="3"/>
  <c r="BT8" i="3"/>
  <c r="AW8" i="3" s="1"/>
  <c r="E8" i="3"/>
  <c r="C8" i="3"/>
  <c r="BZ7" i="3"/>
  <c r="BT7" i="3"/>
  <c r="AW7" i="3"/>
  <c r="AV7" i="3"/>
  <c r="E7" i="3"/>
  <c r="C7" i="3"/>
  <c r="BZ6" i="3"/>
  <c r="BT6" i="3"/>
  <c r="AW6" i="3" s="1"/>
  <c r="E6" i="3"/>
  <c r="C6" i="3"/>
  <c r="BZ5" i="3"/>
  <c r="BT5" i="3"/>
  <c r="AW5" i="3" s="1"/>
  <c r="E5" i="3"/>
  <c r="C5" i="3"/>
  <c r="BZ4" i="3"/>
  <c r="BT4" i="3"/>
  <c r="AV4" i="3" s="1"/>
  <c r="AW4" i="3"/>
  <c r="E4" i="3"/>
  <c r="C4" i="3"/>
  <c r="BZ3" i="3"/>
  <c r="BT3" i="3"/>
  <c r="AW3" i="3" s="1"/>
  <c r="E3" i="3"/>
  <c r="C3" i="3"/>
  <c r="BZ2" i="3"/>
  <c r="BT2" i="3"/>
  <c r="AV2" i="3" s="1"/>
  <c r="CA2" i="3" s="1"/>
  <c r="CE2" i="3" s="1"/>
  <c r="E2" i="3"/>
  <c r="C2" i="3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12" i="1"/>
  <c r="CV131" i="1"/>
  <c r="CI131" i="1"/>
  <c r="CD131" i="1"/>
  <c r="CF131" i="1"/>
  <c r="BP131" i="1"/>
  <c r="BO131" i="1"/>
  <c r="BN131" i="1"/>
  <c r="BM131" i="1"/>
  <c r="BL131" i="1"/>
  <c r="BK131" i="1"/>
  <c r="BJ131" i="1"/>
  <c r="BI131" i="1"/>
  <c r="BH131" i="1"/>
  <c r="BG131" i="1"/>
  <c r="CS131" i="1" s="1"/>
  <c r="BF131" i="1"/>
  <c r="BE131" i="1"/>
  <c r="BD131" i="1"/>
  <c r="BC131" i="1"/>
  <c r="AW131" i="1"/>
  <c r="AV131" i="1"/>
  <c r="AU131" i="1"/>
  <c r="AT131" i="1"/>
  <c r="AS131" i="1"/>
  <c r="AR131" i="1"/>
  <c r="AQ131" i="1"/>
  <c r="AH131" i="1"/>
  <c r="AJ131" i="1" s="1"/>
  <c r="AE131" i="1"/>
  <c r="AD131" i="1"/>
  <c r="AC131" i="1"/>
  <c r="AK131" i="1" s="1"/>
  <c r="AB131" i="1"/>
  <c r="W131" i="1"/>
  <c r="U131" i="1"/>
  <c r="T131" i="1"/>
  <c r="S131" i="1"/>
  <c r="R131" i="1"/>
  <c r="N131" i="1"/>
  <c r="L131" i="1"/>
  <c r="CV130" i="1"/>
  <c r="CI130" i="1"/>
  <c r="CD130" i="1"/>
  <c r="CF130" i="1"/>
  <c r="BP130" i="1"/>
  <c r="BO130" i="1"/>
  <c r="BN130" i="1"/>
  <c r="BM130" i="1"/>
  <c r="BL130" i="1"/>
  <c r="BK130" i="1"/>
  <c r="BJ130" i="1"/>
  <c r="BI130" i="1"/>
  <c r="BH130" i="1"/>
  <c r="BG130" i="1"/>
  <c r="CS130" i="1" s="1"/>
  <c r="BF130" i="1"/>
  <c r="BE130" i="1"/>
  <c r="BD130" i="1"/>
  <c r="BC130" i="1"/>
  <c r="AW130" i="1"/>
  <c r="AV130" i="1"/>
  <c r="AU130" i="1"/>
  <c r="AT130" i="1"/>
  <c r="AS130" i="1"/>
  <c r="AR130" i="1"/>
  <c r="AQ130" i="1"/>
  <c r="AH130" i="1"/>
  <c r="AJ130" i="1" s="1"/>
  <c r="AE130" i="1"/>
  <c r="AD130" i="1"/>
  <c r="AC130" i="1"/>
  <c r="AK130" i="1" s="1"/>
  <c r="AB130" i="1"/>
  <c r="W130" i="1"/>
  <c r="U130" i="1"/>
  <c r="T130" i="1"/>
  <c r="S130" i="1"/>
  <c r="R130" i="1"/>
  <c r="N130" i="1"/>
  <c r="L130" i="1"/>
  <c r="CV129" i="1"/>
  <c r="CI129" i="1"/>
  <c r="CD129" i="1"/>
  <c r="CF129" i="1"/>
  <c r="BP129" i="1"/>
  <c r="BO129" i="1"/>
  <c r="BN129" i="1"/>
  <c r="BM129" i="1"/>
  <c r="BL129" i="1"/>
  <c r="BK129" i="1"/>
  <c r="BJ129" i="1"/>
  <c r="BI129" i="1"/>
  <c r="BH129" i="1"/>
  <c r="BG129" i="1"/>
  <c r="CS129" i="1" s="1"/>
  <c r="BF129" i="1"/>
  <c r="BE129" i="1"/>
  <c r="BD129" i="1"/>
  <c r="BC129" i="1"/>
  <c r="AW129" i="1"/>
  <c r="AV129" i="1"/>
  <c r="AU129" i="1"/>
  <c r="AT129" i="1"/>
  <c r="AS129" i="1"/>
  <c r="AR129" i="1"/>
  <c r="AQ129" i="1"/>
  <c r="AH129" i="1"/>
  <c r="AJ129" i="1" s="1"/>
  <c r="AE129" i="1"/>
  <c r="AD129" i="1"/>
  <c r="AC129" i="1"/>
  <c r="AK129" i="1" s="1"/>
  <c r="AB129" i="1"/>
  <c r="W129" i="1"/>
  <c r="U129" i="1"/>
  <c r="T129" i="1"/>
  <c r="S129" i="1"/>
  <c r="R129" i="1"/>
  <c r="N129" i="1"/>
  <c r="L129" i="1"/>
  <c r="CV128" i="1"/>
  <c r="CI128" i="1"/>
  <c r="CD128" i="1"/>
  <c r="CF128" i="1"/>
  <c r="BP128" i="1"/>
  <c r="BO128" i="1"/>
  <c r="BN128" i="1"/>
  <c r="BM128" i="1"/>
  <c r="BL128" i="1"/>
  <c r="BK128" i="1"/>
  <c r="BJ128" i="1"/>
  <c r="BI128" i="1"/>
  <c r="BH128" i="1"/>
  <c r="BG128" i="1"/>
  <c r="CS128" i="1" s="1"/>
  <c r="BF128" i="1"/>
  <c r="BE128" i="1"/>
  <c r="BD128" i="1"/>
  <c r="BC128" i="1"/>
  <c r="AW128" i="1"/>
  <c r="AV128" i="1"/>
  <c r="AU128" i="1"/>
  <c r="AT128" i="1"/>
  <c r="AS128" i="1"/>
  <c r="AR128" i="1"/>
  <c r="AQ128" i="1"/>
  <c r="AH128" i="1"/>
  <c r="AJ128" i="1" s="1"/>
  <c r="AE128" i="1"/>
  <c r="AD128" i="1"/>
  <c r="AC128" i="1"/>
  <c r="AK128" i="1" s="1"/>
  <c r="AB128" i="1"/>
  <c r="W128" i="1"/>
  <c r="U128" i="1"/>
  <c r="T128" i="1"/>
  <c r="S128" i="1"/>
  <c r="R128" i="1"/>
  <c r="N128" i="1"/>
  <c r="L128" i="1"/>
  <c r="CV127" i="1"/>
  <c r="CI127" i="1"/>
  <c r="CD127" i="1"/>
  <c r="CF127" i="1"/>
  <c r="BP127" i="1"/>
  <c r="BO127" i="1"/>
  <c r="BN127" i="1"/>
  <c r="BM127" i="1"/>
  <c r="BL127" i="1"/>
  <c r="BK127" i="1"/>
  <c r="BJ127" i="1"/>
  <c r="BI127" i="1"/>
  <c r="BH127" i="1"/>
  <c r="BG127" i="1"/>
  <c r="CS127" i="1" s="1"/>
  <c r="BF127" i="1"/>
  <c r="BE127" i="1"/>
  <c r="BD127" i="1"/>
  <c r="BC127" i="1"/>
  <c r="AW127" i="1"/>
  <c r="AV127" i="1"/>
  <c r="AU127" i="1"/>
  <c r="AT127" i="1"/>
  <c r="AS127" i="1"/>
  <c r="AR127" i="1"/>
  <c r="AQ127" i="1"/>
  <c r="AH127" i="1"/>
  <c r="AJ127" i="1" s="1"/>
  <c r="AE127" i="1"/>
  <c r="AD127" i="1"/>
  <c r="AC127" i="1"/>
  <c r="AK127" i="1" s="1"/>
  <c r="AB127" i="1"/>
  <c r="W127" i="1"/>
  <c r="U127" i="1"/>
  <c r="T127" i="1"/>
  <c r="S127" i="1"/>
  <c r="R127" i="1"/>
  <c r="N127" i="1"/>
  <c r="L127" i="1"/>
  <c r="CV126" i="1"/>
  <c r="CI126" i="1"/>
  <c r="CD126" i="1"/>
  <c r="CF126" i="1"/>
  <c r="BP126" i="1"/>
  <c r="BO126" i="1"/>
  <c r="BN126" i="1"/>
  <c r="BM126" i="1"/>
  <c r="BL126" i="1"/>
  <c r="BK126" i="1"/>
  <c r="BJ126" i="1"/>
  <c r="BI126" i="1"/>
  <c r="BH126" i="1"/>
  <c r="BG126" i="1"/>
  <c r="CS126" i="1" s="1"/>
  <c r="BF126" i="1"/>
  <c r="BE126" i="1"/>
  <c r="BD126" i="1"/>
  <c r="BC126" i="1"/>
  <c r="AW126" i="1"/>
  <c r="AV126" i="1"/>
  <c r="AU126" i="1"/>
  <c r="AT126" i="1"/>
  <c r="AS126" i="1"/>
  <c r="AR126" i="1"/>
  <c r="AQ126" i="1"/>
  <c r="AH126" i="1"/>
  <c r="AJ126" i="1" s="1"/>
  <c r="AE126" i="1"/>
  <c r="AD126" i="1"/>
  <c r="AC126" i="1"/>
  <c r="AK126" i="1" s="1"/>
  <c r="AB126" i="1"/>
  <c r="W126" i="1"/>
  <c r="U126" i="1"/>
  <c r="T126" i="1"/>
  <c r="S126" i="1"/>
  <c r="R126" i="1"/>
  <c r="N126" i="1"/>
  <c r="L126" i="1"/>
  <c r="CV125" i="1"/>
  <c r="CI125" i="1"/>
  <c r="CD125" i="1"/>
  <c r="CF125" i="1"/>
  <c r="BP125" i="1"/>
  <c r="BO125" i="1"/>
  <c r="BN125" i="1"/>
  <c r="BM125" i="1"/>
  <c r="BL125" i="1"/>
  <c r="BK125" i="1"/>
  <c r="BJ125" i="1"/>
  <c r="BI125" i="1"/>
  <c r="BH125" i="1"/>
  <c r="BG125" i="1"/>
  <c r="CS125" i="1" s="1"/>
  <c r="BF125" i="1"/>
  <c r="BE125" i="1"/>
  <c r="BD125" i="1"/>
  <c r="BC125" i="1"/>
  <c r="AW125" i="1"/>
  <c r="AV125" i="1"/>
  <c r="AU125" i="1"/>
  <c r="AT125" i="1"/>
  <c r="AS125" i="1"/>
  <c r="AR125" i="1"/>
  <c r="AQ125" i="1"/>
  <c r="AH125" i="1"/>
  <c r="AJ125" i="1" s="1"/>
  <c r="AE125" i="1"/>
  <c r="AD125" i="1"/>
  <c r="AC125" i="1"/>
  <c r="AK125" i="1" s="1"/>
  <c r="AB125" i="1"/>
  <c r="W125" i="1"/>
  <c r="U125" i="1"/>
  <c r="T125" i="1"/>
  <c r="S125" i="1"/>
  <c r="R125" i="1"/>
  <c r="N125" i="1"/>
  <c r="L125" i="1"/>
  <c r="CV124" i="1"/>
  <c r="CI124" i="1"/>
  <c r="CD124" i="1"/>
  <c r="CF124" i="1"/>
  <c r="BP124" i="1"/>
  <c r="BO124" i="1"/>
  <c r="BN124" i="1"/>
  <c r="BM124" i="1"/>
  <c r="BL124" i="1"/>
  <c r="BK124" i="1"/>
  <c r="BJ124" i="1"/>
  <c r="BI124" i="1"/>
  <c r="BH124" i="1"/>
  <c r="BG124" i="1"/>
  <c r="CS124" i="1" s="1"/>
  <c r="BF124" i="1"/>
  <c r="BE124" i="1"/>
  <c r="BD124" i="1"/>
  <c r="BC124" i="1"/>
  <c r="AW124" i="1"/>
  <c r="AV124" i="1"/>
  <c r="AU124" i="1"/>
  <c r="AT124" i="1"/>
  <c r="AS124" i="1"/>
  <c r="AR124" i="1"/>
  <c r="AQ124" i="1"/>
  <c r="AH124" i="1"/>
  <c r="AJ124" i="1" s="1"/>
  <c r="AE124" i="1"/>
  <c r="AD124" i="1"/>
  <c r="AC124" i="1"/>
  <c r="AK124" i="1" s="1"/>
  <c r="AB124" i="1"/>
  <c r="W124" i="1"/>
  <c r="U124" i="1"/>
  <c r="T124" i="1"/>
  <c r="S124" i="1"/>
  <c r="R124" i="1"/>
  <c r="N124" i="1"/>
  <c r="L124" i="1"/>
  <c r="CV123" i="1"/>
  <c r="CI123" i="1"/>
  <c r="CD123" i="1"/>
  <c r="CF123" i="1"/>
  <c r="BP123" i="1"/>
  <c r="BO123" i="1"/>
  <c r="BN123" i="1"/>
  <c r="BM123" i="1"/>
  <c r="BL123" i="1"/>
  <c r="BK123" i="1"/>
  <c r="BJ123" i="1"/>
  <c r="BI123" i="1"/>
  <c r="BH123" i="1"/>
  <c r="BG123" i="1"/>
  <c r="CS123" i="1" s="1"/>
  <c r="BF123" i="1"/>
  <c r="BE123" i="1"/>
  <c r="BD123" i="1"/>
  <c r="BC123" i="1"/>
  <c r="AW123" i="1"/>
  <c r="AV123" i="1"/>
  <c r="AU123" i="1"/>
  <c r="AT123" i="1"/>
  <c r="AS123" i="1"/>
  <c r="AR123" i="1"/>
  <c r="AQ123" i="1"/>
  <c r="AH123" i="1"/>
  <c r="AJ123" i="1" s="1"/>
  <c r="AE123" i="1"/>
  <c r="AD123" i="1"/>
  <c r="AC123" i="1"/>
  <c r="AK123" i="1" s="1"/>
  <c r="AB123" i="1"/>
  <c r="W123" i="1"/>
  <c r="U123" i="1"/>
  <c r="T123" i="1"/>
  <c r="S123" i="1"/>
  <c r="R123" i="1"/>
  <c r="N123" i="1"/>
  <c r="L123" i="1"/>
  <c r="CV122" i="1"/>
  <c r="CI122" i="1"/>
  <c r="CD122" i="1"/>
  <c r="CF122" i="1"/>
  <c r="BP122" i="1"/>
  <c r="BO122" i="1"/>
  <c r="BN122" i="1"/>
  <c r="BM122" i="1"/>
  <c r="BL122" i="1"/>
  <c r="BK122" i="1"/>
  <c r="BJ122" i="1"/>
  <c r="BI122" i="1"/>
  <c r="BH122" i="1"/>
  <c r="BG122" i="1"/>
  <c r="CS122" i="1" s="1"/>
  <c r="BF122" i="1"/>
  <c r="BE122" i="1"/>
  <c r="BD122" i="1"/>
  <c r="BC122" i="1"/>
  <c r="AW122" i="1"/>
  <c r="AV122" i="1"/>
  <c r="AU122" i="1"/>
  <c r="AT122" i="1"/>
  <c r="AS122" i="1"/>
  <c r="AR122" i="1"/>
  <c r="AQ122" i="1"/>
  <c r="AH122" i="1"/>
  <c r="AJ122" i="1" s="1"/>
  <c r="AE122" i="1"/>
  <c r="AD122" i="1"/>
  <c r="AC122" i="1"/>
  <c r="AK122" i="1" s="1"/>
  <c r="AB122" i="1"/>
  <c r="W122" i="1"/>
  <c r="U122" i="1"/>
  <c r="T122" i="1"/>
  <c r="S122" i="1"/>
  <c r="R122" i="1"/>
  <c r="N122" i="1"/>
  <c r="L122" i="1"/>
  <c r="CV121" i="1"/>
  <c r="CI121" i="1"/>
  <c r="CD121" i="1"/>
  <c r="CF121" i="1"/>
  <c r="BP121" i="1"/>
  <c r="BO121" i="1"/>
  <c r="BN121" i="1"/>
  <c r="BM121" i="1"/>
  <c r="BL121" i="1"/>
  <c r="BK121" i="1"/>
  <c r="BJ121" i="1"/>
  <c r="BI121" i="1"/>
  <c r="BH121" i="1"/>
  <c r="BG121" i="1"/>
  <c r="CS121" i="1" s="1"/>
  <c r="BF121" i="1"/>
  <c r="BE121" i="1"/>
  <c r="BD121" i="1"/>
  <c r="BC121" i="1"/>
  <c r="AW121" i="1"/>
  <c r="AV121" i="1"/>
  <c r="AU121" i="1"/>
  <c r="AT121" i="1"/>
  <c r="AS121" i="1"/>
  <c r="AR121" i="1"/>
  <c r="AQ121" i="1"/>
  <c r="AK121" i="1"/>
  <c r="AJ121" i="1"/>
  <c r="AH121" i="1"/>
  <c r="AE121" i="1"/>
  <c r="AD121" i="1"/>
  <c r="AL121" i="1" s="1"/>
  <c r="AM121" i="1" s="1"/>
  <c r="AC121" i="1"/>
  <c r="AB121" i="1"/>
  <c r="W121" i="1"/>
  <c r="U121" i="1"/>
  <c r="T121" i="1"/>
  <c r="S121" i="1"/>
  <c r="R121" i="1"/>
  <c r="N121" i="1"/>
  <c r="L121" i="1"/>
  <c r="CV120" i="1"/>
  <c r="CI120" i="1"/>
  <c r="CD120" i="1"/>
  <c r="CF120" i="1"/>
  <c r="BP120" i="1"/>
  <c r="BO120" i="1"/>
  <c r="BN120" i="1"/>
  <c r="BM120" i="1"/>
  <c r="BL120" i="1"/>
  <c r="BK120" i="1"/>
  <c r="BJ120" i="1"/>
  <c r="BI120" i="1"/>
  <c r="BH120" i="1"/>
  <c r="BG120" i="1"/>
  <c r="CS120" i="1" s="1"/>
  <c r="BF120" i="1"/>
  <c r="BE120" i="1"/>
  <c r="BD120" i="1"/>
  <c r="BC120" i="1"/>
  <c r="AW120" i="1"/>
  <c r="AV120" i="1"/>
  <c r="AU120" i="1"/>
  <c r="AT120" i="1"/>
  <c r="AS120" i="1"/>
  <c r="AR120" i="1"/>
  <c r="AQ120" i="1"/>
  <c r="AK120" i="1"/>
  <c r="AJ120" i="1"/>
  <c r="AH120" i="1"/>
  <c r="AE120" i="1"/>
  <c r="AD120" i="1"/>
  <c r="AC120" i="1"/>
  <c r="AB120" i="1"/>
  <c r="W120" i="1"/>
  <c r="U120" i="1"/>
  <c r="T120" i="1"/>
  <c r="S120" i="1"/>
  <c r="R120" i="1"/>
  <c r="N120" i="1"/>
  <c r="L120" i="1"/>
  <c r="CV119" i="1"/>
  <c r="CI119" i="1"/>
  <c r="CD119" i="1"/>
  <c r="CF119" i="1"/>
  <c r="BP119" i="1"/>
  <c r="BO119" i="1"/>
  <c r="BN119" i="1"/>
  <c r="BM119" i="1"/>
  <c r="BL119" i="1"/>
  <c r="BK119" i="1"/>
  <c r="BJ119" i="1"/>
  <c r="BI119" i="1"/>
  <c r="BH119" i="1"/>
  <c r="BG119" i="1"/>
  <c r="CS119" i="1" s="1"/>
  <c r="BF119" i="1"/>
  <c r="BE119" i="1"/>
  <c r="BD119" i="1"/>
  <c r="BC119" i="1"/>
  <c r="AW119" i="1"/>
  <c r="AV119" i="1"/>
  <c r="AU119" i="1"/>
  <c r="AT119" i="1"/>
  <c r="AS119" i="1"/>
  <c r="AR119" i="1"/>
  <c r="AQ119" i="1"/>
  <c r="AK119" i="1"/>
  <c r="AJ119" i="1"/>
  <c r="AH119" i="1"/>
  <c r="AE119" i="1"/>
  <c r="AD119" i="1"/>
  <c r="AL119" i="1" s="1"/>
  <c r="AM119" i="1" s="1"/>
  <c r="AC119" i="1"/>
  <c r="AB119" i="1"/>
  <c r="W119" i="1"/>
  <c r="U119" i="1"/>
  <c r="T119" i="1"/>
  <c r="S119" i="1"/>
  <c r="R119" i="1"/>
  <c r="N119" i="1"/>
  <c r="L119" i="1"/>
  <c r="CV118" i="1"/>
  <c r="CI118" i="1"/>
  <c r="CD118" i="1"/>
  <c r="CF118" i="1"/>
  <c r="BP118" i="1"/>
  <c r="BO118" i="1"/>
  <c r="BN118" i="1"/>
  <c r="BM118" i="1"/>
  <c r="BL118" i="1"/>
  <c r="BK118" i="1"/>
  <c r="BJ118" i="1"/>
  <c r="BI118" i="1"/>
  <c r="BH118" i="1"/>
  <c r="BG118" i="1"/>
  <c r="CS118" i="1" s="1"/>
  <c r="BF118" i="1"/>
  <c r="BE118" i="1"/>
  <c r="BD118" i="1"/>
  <c r="BC118" i="1"/>
  <c r="AW118" i="1"/>
  <c r="AV118" i="1"/>
  <c r="AU118" i="1"/>
  <c r="AT118" i="1"/>
  <c r="AS118" i="1"/>
  <c r="AR118" i="1"/>
  <c r="AQ118" i="1"/>
  <c r="AK118" i="1"/>
  <c r="AJ118" i="1"/>
  <c r="AH118" i="1"/>
  <c r="AE118" i="1"/>
  <c r="AD118" i="1"/>
  <c r="AL118" i="1" s="1"/>
  <c r="AM118" i="1" s="1"/>
  <c r="AC118" i="1"/>
  <c r="AB118" i="1"/>
  <c r="W118" i="1"/>
  <c r="U118" i="1"/>
  <c r="T118" i="1"/>
  <c r="S118" i="1"/>
  <c r="R118" i="1"/>
  <c r="N118" i="1"/>
  <c r="L118" i="1"/>
  <c r="CV117" i="1"/>
  <c r="CI117" i="1"/>
  <c r="CD117" i="1"/>
  <c r="CF117" i="1"/>
  <c r="BP117" i="1"/>
  <c r="BO117" i="1"/>
  <c r="BN117" i="1"/>
  <c r="BM117" i="1"/>
  <c r="BL117" i="1"/>
  <c r="BK117" i="1"/>
  <c r="BJ117" i="1"/>
  <c r="BI117" i="1"/>
  <c r="BH117" i="1"/>
  <c r="BG117" i="1"/>
  <c r="CS117" i="1" s="1"/>
  <c r="BF117" i="1"/>
  <c r="BE117" i="1"/>
  <c r="BD117" i="1"/>
  <c r="BC117" i="1"/>
  <c r="AW117" i="1"/>
  <c r="AV117" i="1"/>
  <c r="AU117" i="1"/>
  <c r="AT117" i="1"/>
  <c r="AS117" i="1"/>
  <c r="AR117" i="1"/>
  <c r="AQ117" i="1"/>
  <c r="AK117" i="1"/>
  <c r="AJ117" i="1"/>
  <c r="AH117" i="1"/>
  <c r="AE117" i="1"/>
  <c r="AD117" i="1"/>
  <c r="AL117" i="1" s="1"/>
  <c r="AM117" i="1" s="1"/>
  <c r="AC117" i="1"/>
  <c r="AB117" i="1"/>
  <c r="W117" i="1"/>
  <c r="U117" i="1"/>
  <c r="T117" i="1"/>
  <c r="S117" i="1"/>
  <c r="R117" i="1"/>
  <c r="N117" i="1"/>
  <c r="L117" i="1"/>
  <c r="CV116" i="1"/>
  <c r="CI116" i="1"/>
  <c r="CD116" i="1"/>
  <c r="CF116" i="1"/>
  <c r="BP116" i="1"/>
  <c r="BO116" i="1"/>
  <c r="BN116" i="1"/>
  <c r="BM116" i="1"/>
  <c r="BL116" i="1"/>
  <c r="BK116" i="1"/>
  <c r="BJ116" i="1"/>
  <c r="BI116" i="1"/>
  <c r="BH116" i="1"/>
  <c r="BG116" i="1"/>
  <c r="CS116" i="1" s="1"/>
  <c r="BF116" i="1"/>
  <c r="BE116" i="1"/>
  <c r="BD116" i="1"/>
  <c r="BC116" i="1"/>
  <c r="AW116" i="1"/>
  <c r="AV116" i="1"/>
  <c r="AU116" i="1"/>
  <c r="AT116" i="1"/>
  <c r="AS116" i="1"/>
  <c r="AR116" i="1"/>
  <c r="AQ116" i="1"/>
  <c r="AK116" i="1"/>
  <c r="AJ116" i="1"/>
  <c r="AH116" i="1"/>
  <c r="AE116" i="1"/>
  <c r="AD116" i="1"/>
  <c r="AC116" i="1"/>
  <c r="AB116" i="1"/>
  <c r="W116" i="1"/>
  <c r="U116" i="1"/>
  <c r="T116" i="1"/>
  <c r="S116" i="1"/>
  <c r="R116" i="1"/>
  <c r="N116" i="1"/>
  <c r="L116" i="1"/>
  <c r="CV115" i="1"/>
  <c r="CI115" i="1"/>
  <c r="CD115" i="1"/>
  <c r="CF115" i="1"/>
  <c r="BP115" i="1"/>
  <c r="BO115" i="1"/>
  <c r="BN115" i="1"/>
  <c r="BM115" i="1"/>
  <c r="BL115" i="1"/>
  <c r="BK115" i="1"/>
  <c r="BJ115" i="1"/>
  <c r="BI115" i="1"/>
  <c r="BH115" i="1"/>
  <c r="BG115" i="1"/>
  <c r="CS115" i="1" s="1"/>
  <c r="BF115" i="1"/>
  <c r="BE115" i="1"/>
  <c r="BD115" i="1"/>
  <c r="BC115" i="1"/>
  <c r="AW115" i="1"/>
  <c r="AV115" i="1"/>
  <c r="AU115" i="1"/>
  <c r="AT115" i="1"/>
  <c r="AS115" i="1"/>
  <c r="AR115" i="1"/>
  <c r="AQ115" i="1"/>
  <c r="AK115" i="1"/>
  <c r="AJ115" i="1"/>
  <c r="AH115" i="1"/>
  <c r="AE115" i="1"/>
  <c r="AD115" i="1"/>
  <c r="AL115" i="1" s="1"/>
  <c r="AM115" i="1" s="1"/>
  <c r="AC115" i="1"/>
  <c r="AB115" i="1"/>
  <c r="W115" i="1"/>
  <c r="U115" i="1"/>
  <c r="T115" i="1"/>
  <c r="S115" i="1"/>
  <c r="R115" i="1"/>
  <c r="N115" i="1"/>
  <c r="L115" i="1"/>
  <c r="CV114" i="1"/>
  <c r="CI114" i="1"/>
  <c r="CD114" i="1"/>
  <c r="CF114" i="1"/>
  <c r="BP114" i="1"/>
  <c r="BO114" i="1"/>
  <c r="BN114" i="1"/>
  <c r="BM114" i="1"/>
  <c r="BL114" i="1"/>
  <c r="BK114" i="1"/>
  <c r="BJ114" i="1"/>
  <c r="BI114" i="1"/>
  <c r="BH114" i="1"/>
  <c r="BG114" i="1"/>
  <c r="CS114" i="1" s="1"/>
  <c r="BF114" i="1"/>
  <c r="BE114" i="1"/>
  <c r="BD114" i="1"/>
  <c r="BC114" i="1"/>
  <c r="AW114" i="1"/>
  <c r="AV114" i="1"/>
  <c r="AU114" i="1"/>
  <c r="AT114" i="1"/>
  <c r="AS114" i="1"/>
  <c r="AR114" i="1"/>
  <c r="AQ114" i="1"/>
  <c r="AK114" i="1"/>
  <c r="AJ114" i="1"/>
  <c r="AH114" i="1"/>
  <c r="AE114" i="1"/>
  <c r="AD114" i="1"/>
  <c r="AL114" i="1" s="1"/>
  <c r="AM114" i="1" s="1"/>
  <c r="AC114" i="1"/>
  <c r="AB114" i="1"/>
  <c r="W114" i="1"/>
  <c r="U114" i="1"/>
  <c r="T114" i="1"/>
  <c r="S114" i="1"/>
  <c r="R114" i="1"/>
  <c r="N114" i="1"/>
  <c r="L114" i="1"/>
  <c r="CV113" i="1"/>
  <c r="CI113" i="1"/>
  <c r="CD113" i="1"/>
  <c r="CF113" i="1"/>
  <c r="BP113" i="1"/>
  <c r="BO113" i="1"/>
  <c r="BN113" i="1"/>
  <c r="BM113" i="1"/>
  <c r="BL113" i="1"/>
  <c r="BK113" i="1"/>
  <c r="BJ113" i="1"/>
  <c r="BI113" i="1"/>
  <c r="BH113" i="1"/>
  <c r="BG113" i="1"/>
  <c r="CS113" i="1" s="1"/>
  <c r="BF113" i="1"/>
  <c r="BE113" i="1"/>
  <c r="BD113" i="1"/>
  <c r="BC113" i="1"/>
  <c r="AW113" i="1"/>
  <c r="AV113" i="1"/>
  <c r="AU113" i="1"/>
  <c r="AT113" i="1"/>
  <c r="AS113" i="1"/>
  <c r="AR113" i="1"/>
  <c r="AQ113" i="1"/>
  <c r="AK113" i="1"/>
  <c r="AJ113" i="1"/>
  <c r="AH113" i="1"/>
  <c r="AE113" i="1"/>
  <c r="AD113" i="1"/>
  <c r="AL113" i="1" s="1"/>
  <c r="AM113" i="1" s="1"/>
  <c r="AC113" i="1"/>
  <c r="AB113" i="1"/>
  <c r="W113" i="1"/>
  <c r="U113" i="1"/>
  <c r="T113" i="1"/>
  <c r="S113" i="1"/>
  <c r="R113" i="1"/>
  <c r="N113" i="1"/>
  <c r="L113" i="1"/>
  <c r="CV112" i="1"/>
  <c r="CI112" i="1"/>
  <c r="CD112" i="1"/>
  <c r="CF112" i="1"/>
  <c r="BP112" i="1"/>
  <c r="BO112" i="1"/>
  <c r="BN112" i="1"/>
  <c r="BM112" i="1"/>
  <c r="BL112" i="1"/>
  <c r="BK112" i="1"/>
  <c r="BJ112" i="1"/>
  <c r="BI112" i="1"/>
  <c r="BH112" i="1"/>
  <c r="BG112" i="1"/>
  <c r="CS112" i="1" s="1"/>
  <c r="BF112" i="1"/>
  <c r="BE112" i="1"/>
  <c r="BD112" i="1"/>
  <c r="BC112" i="1"/>
  <c r="AW112" i="1"/>
  <c r="AV112" i="1"/>
  <c r="AU112" i="1"/>
  <c r="AT112" i="1"/>
  <c r="AS112" i="1"/>
  <c r="AR112" i="1"/>
  <c r="AQ112" i="1"/>
  <c r="AK112" i="1"/>
  <c r="AJ112" i="1"/>
  <c r="AH112" i="1"/>
  <c r="AE112" i="1"/>
  <c r="AD112" i="1"/>
  <c r="AL112" i="1" s="1"/>
  <c r="AM112" i="1" s="1"/>
  <c r="AC112" i="1"/>
  <c r="AB112" i="1"/>
  <c r="W112" i="1"/>
  <c r="U112" i="1"/>
  <c r="T112" i="1"/>
  <c r="S112" i="1"/>
  <c r="R112" i="1"/>
  <c r="N112" i="1"/>
  <c r="L112" i="1"/>
  <c r="CI108" i="1"/>
  <c r="BA108" i="1"/>
  <c r="AZ108" i="1"/>
  <c r="BE108" i="1" s="1"/>
  <c r="AE108" i="1"/>
  <c r="AD108" i="1"/>
  <c r="AC108" i="1"/>
  <c r="AB108" i="1"/>
  <c r="O108" i="1"/>
  <c r="BB108" i="1" s="1"/>
  <c r="N108" i="1"/>
  <c r="L108" i="1"/>
  <c r="CI107" i="1"/>
  <c r="BA107" i="1"/>
  <c r="AZ107" i="1"/>
  <c r="BE107" i="1" s="1"/>
  <c r="AE107" i="1"/>
  <c r="AD107" i="1"/>
  <c r="AC107" i="1"/>
  <c r="AB107" i="1"/>
  <c r="O107" i="1"/>
  <c r="BB107" i="1" s="1"/>
  <c r="N107" i="1"/>
  <c r="L107" i="1"/>
  <c r="CI106" i="1"/>
  <c r="BA106" i="1"/>
  <c r="AZ106" i="1"/>
  <c r="BE106" i="1" s="1"/>
  <c r="AE106" i="1"/>
  <c r="AD106" i="1"/>
  <c r="AC106" i="1"/>
  <c r="AB106" i="1"/>
  <c r="O106" i="1"/>
  <c r="BB106" i="1" s="1"/>
  <c r="N106" i="1"/>
  <c r="L106" i="1"/>
  <c r="CI105" i="1"/>
  <c r="BA105" i="1"/>
  <c r="AZ105" i="1"/>
  <c r="BE105" i="1" s="1"/>
  <c r="AE105" i="1"/>
  <c r="AD105" i="1"/>
  <c r="AC105" i="1"/>
  <c r="AB105" i="1"/>
  <c r="O105" i="1"/>
  <c r="BB105" i="1" s="1"/>
  <c r="N105" i="1"/>
  <c r="L105" i="1"/>
  <c r="CI104" i="1"/>
  <c r="BA104" i="1"/>
  <c r="AZ104" i="1"/>
  <c r="BE104" i="1" s="1"/>
  <c r="AE104" i="1"/>
  <c r="AD104" i="1"/>
  <c r="AC104" i="1"/>
  <c r="AB104" i="1"/>
  <c r="O104" i="1"/>
  <c r="BB104" i="1" s="1"/>
  <c r="N104" i="1"/>
  <c r="L104" i="1"/>
  <c r="CI103" i="1"/>
  <c r="BA103" i="1"/>
  <c r="AZ103" i="1"/>
  <c r="BE103" i="1" s="1"/>
  <c r="AE103" i="1"/>
  <c r="AD103" i="1"/>
  <c r="AC103" i="1"/>
  <c r="AB103" i="1"/>
  <c r="O103" i="1"/>
  <c r="BB103" i="1" s="1"/>
  <c r="N103" i="1"/>
  <c r="L103" i="1"/>
  <c r="CI102" i="1"/>
  <c r="BA102" i="1"/>
  <c r="AZ102" i="1"/>
  <c r="BD102" i="1" s="1"/>
  <c r="AE102" i="1"/>
  <c r="AD102" i="1"/>
  <c r="AC102" i="1"/>
  <c r="AB102" i="1"/>
  <c r="O102" i="1"/>
  <c r="BB102" i="1" s="1"/>
  <c r="N102" i="1"/>
  <c r="L102" i="1"/>
  <c r="CI101" i="1"/>
  <c r="BA101" i="1"/>
  <c r="AZ101" i="1"/>
  <c r="BE101" i="1" s="1"/>
  <c r="AE101" i="1"/>
  <c r="AD101" i="1"/>
  <c r="AC101" i="1"/>
  <c r="AB101" i="1"/>
  <c r="O101" i="1"/>
  <c r="BB101" i="1" s="1"/>
  <c r="N101" i="1"/>
  <c r="L101" i="1"/>
  <c r="CI100" i="1"/>
  <c r="BA100" i="1"/>
  <c r="AZ100" i="1"/>
  <c r="BE100" i="1" s="1"/>
  <c r="AE100" i="1"/>
  <c r="AD100" i="1"/>
  <c r="AC100" i="1"/>
  <c r="AB100" i="1"/>
  <c r="O100" i="1"/>
  <c r="BB100" i="1" s="1"/>
  <c r="N100" i="1"/>
  <c r="L100" i="1"/>
  <c r="CI99" i="1"/>
  <c r="BA99" i="1"/>
  <c r="AZ99" i="1"/>
  <c r="BD99" i="1" s="1"/>
  <c r="AE99" i="1"/>
  <c r="AD99" i="1"/>
  <c r="AC99" i="1"/>
  <c r="AB99" i="1"/>
  <c r="O99" i="1"/>
  <c r="BB99" i="1" s="1"/>
  <c r="N99" i="1"/>
  <c r="L99" i="1"/>
  <c r="DE98" i="1"/>
  <c r="DE99" i="1" s="1"/>
  <c r="CV105" i="1" s="1"/>
  <c r="CI98" i="1"/>
  <c r="BA98" i="1"/>
  <c r="AZ98" i="1"/>
  <c r="BE98" i="1" s="1"/>
  <c r="AE98" i="1"/>
  <c r="AD98" i="1"/>
  <c r="AC98" i="1"/>
  <c r="AB98" i="1"/>
  <c r="O98" i="1"/>
  <c r="BB98" i="1" s="1"/>
  <c r="N98" i="1"/>
  <c r="L98" i="1"/>
  <c r="DE97" i="1"/>
  <c r="CI97" i="1"/>
  <c r="BA97" i="1"/>
  <c r="AZ97" i="1"/>
  <c r="BD97" i="1" s="1"/>
  <c r="AE97" i="1"/>
  <c r="AD97" i="1"/>
  <c r="AC97" i="1"/>
  <c r="AB97" i="1"/>
  <c r="O97" i="1"/>
  <c r="BB97" i="1" s="1"/>
  <c r="N97" i="1"/>
  <c r="L97" i="1"/>
  <c r="CI96" i="1"/>
  <c r="BA96" i="1"/>
  <c r="AZ96" i="1"/>
  <c r="BE96" i="1" s="1"/>
  <c r="AE96" i="1"/>
  <c r="AD96" i="1"/>
  <c r="AC96" i="1"/>
  <c r="AB96" i="1"/>
  <c r="O96" i="1"/>
  <c r="BB96" i="1" s="1"/>
  <c r="N96" i="1"/>
  <c r="L96" i="1"/>
  <c r="CI95" i="1"/>
  <c r="BA95" i="1"/>
  <c r="AZ95" i="1"/>
  <c r="BE95" i="1" s="1"/>
  <c r="AE95" i="1"/>
  <c r="AD95" i="1"/>
  <c r="AC95" i="1"/>
  <c r="AB95" i="1"/>
  <c r="O95" i="1"/>
  <c r="BB95" i="1" s="1"/>
  <c r="N95" i="1"/>
  <c r="L95" i="1"/>
  <c r="CI94" i="1"/>
  <c r="BA94" i="1"/>
  <c r="AZ94" i="1"/>
  <c r="CG94" i="1" s="1"/>
  <c r="AE94" i="1"/>
  <c r="AD94" i="1"/>
  <c r="AC94" i="1"/>
  <c r="AB94" i="1"/>
  <c r="O94" i="1"/>
  <c r="BB94" i="1" s="1"/>
  <c r="N94" i="1"/>
  <c r="L94" i="1"/>
  <c r="CI93" i="1"/>
  <c r="BA93" i="1"/>
  <c r="AZ93" i="1"/>
  <c r="BE93" i="1" s="1"/>
  <c r="AE93" i="1"/>
  <c r="AD93" i="1"/>
  <c r="AC93" i="1"/>
  <c r="AB93" i="1"/>
  <c r="O93" i="1"/>
  <c r="BB93" i="1" s="1"/>
  <c r="N93" i="1"/>
  <c r="L93" i="1"/>
  <c r="CI92" i="1"/>
  <c r="BA92" i="1"/>
  <c r="AZ92" i="1"/>
  <c r="BC92" i="1" s="1"/>
  <c r="AE92" i="1"/>
  <c r="AD92" i="1"/>
  <c r="AC92" i="1"/>
  <c r="AB92" i="1"/>
  <c r="O92" i="1"/>
  <c r="BB92" i="1" s="1"/>
  <c r="N92" i="1"/>
  <c r="L92" i="1"/>
  <c r="CI91" i="1"/>
  <c r="BA91" i="1"/>
  <c r="AZ91" i="1"/>
  <c r="BE91" i="1" s="1"/>
  <c r="AE91" i="1"/>
  <c r="AD91" i="1"/>
  <c r="AC91" i="1"/>
  <c r="AB91" i="1"/>
  <c r="O91" i="1"/>
  <c r="BB91" i="1" s="1"/>
  <c r="N91" i="1"/>
  <c r="L91" i="1"/>
  <c r="CI90" i="1"/>
  <c r="BA90" i="1"/>
  <c r="AZ90" i="1"/>
  <c r="CG90" i="1" s="1"/>
  <c r="AE90" i="1"/>
  <c r="AD90" i="1"/>
  <c r="AC90" i="1"/>
  <c r="AB90" i="1"/>
  <c r="O90" i="1"/>
  <c r="BB90" i="1" s="1"/>
  <c r="N90" i="1"/>
  <c r="L90" i="1"/>
  <c r="CI89" i="1"/>
  <c r="BA89" i="1"/>
  <c r="AZ89" i="1"/>
  <c r="BE89" i="1" s="1"/>
  <c r="AE89" i="1"/>
  <c r="AD89" i="1"/>
  <c r="AC89" i="1"/>
  <c r="AB89" i="1"/>
  <c r="O89" i="1"/>
  <c r="BB89" i="1" s="1"/>
  <c r="N89" i="1"/>
  <c r="L89" i="1"/>
  <c r="CD86" i="1"/>
  <c r="AE86" i="1"/>
  <c r="AD86" i="1"/>
  <c r="AC86" i="1"/>
  <c r="AB86" i="1"/>
  <c r="U86" i="1"/>
  <c r="T86" i="1"/>
  <c r="S86" i="1"/>
  <c r="R86" i="1"/>
  <c r="O86" i="1"/>
  <c r="N86" i="1"/>
  <c r="L86" i="1"/>
  <c r="CD85" i="1"/>
  <c r="AE85" i="1"/>
  <c r="AD85" i="1"/>
  <c r="AC85" i="1"/>
  <c r="AB85" i="1"/>
  <c r="U85" i="1"/>
  <c r="T85" i="1"/>
  <c r="S85" i="1"/>
  <c r="R85" i="1"/>
  <c r="O85" i="1"/>
  <c r="N85" i="1"/>
  <c r="L85" i="1"/>
  <c r="CD84" i="1"/>
  <c r="AE84" i="1"/>
  <c r="AD84" i="1"/>
  <c r="AC84" i="1"/>
  <c r="AB84" i="1"/>
  <c r="U84" i="1"/>
  <c r="T84" i="1"/>
  <c r="S84" i="1"/>
  <c r="R84" i="1"/>
  <c r="O84" i="1"/>
  <c r="N84" i="1"/>
  <c r="L84" i="1"/>
  <c r="CD83" i="1"/>
  <c r="AE83" i="1"/>
  <c r="AD83" i="1"/>
  <c r="AC83" i="1"/>
  <c r="AB83" i="1"/>
  <c r="U83" i="1"/>
  <c r="T83" i="1"/>
  <c r="S83" i="1"/>
  <c r="R83" i="1"/>
  <c r="O83" i="1"/>
  <c r="N83" i="1"/>
  <c r="L83" i="1"/>
  <c r="CD82" i="1"/>
  <c r="AE82" i="1"/>
  <c r="AD82" i="1"/>
  <c r="AC82" i="1"/>
  <c r="AB82" i="1"/>
  <c r="U82" i="1"/>
  <c r="T82" i="1"/>
  <c r="S82" i="1"/>
  <c r="R82" i="1"/>
  <c r="O82" i="1"/>
  <c r="N82" i="1"/>
  <c r="L82" i="1"/>
  <c r="CD81" i="1"/>
  <c r="AE81" i="1"/>
  <c r="AD81" i="1"/>
  <c r="AC81" i="1"/>
  <c r="AB81" i="1"/>
  <c r="U81" i="1"/>
  <c r="T81" i="1"/>
  <c r="S81" i="1"/>
  <c r="R81" i="1"/>
  <c r="O81" i="1"/>
  <c r="N81" i="1"/>
  <c r="L81" i="1"/>
  <c r="CD80" i="1"/>
  <c r="AE80" i="1"/>
  <c r="AD80" i="1"/>
  <c r="AC80" i="1"/>
  <c r="AB80" i="1"/>
  <c r="U80" i="1"/>
  <c r="T80" i="1"/>
  <c r="S80" i="1"/>
  <c r="R80" i="1"/>
  <c r="O80" i="1"/>
  <c r="N80" i="1"/>
  <c r="L80" i="1"/>
  <c r="CD79" i="1"/>
  <c r="AE79" i="1"/>
  <c r="AD79" i="1"/>
  <c r="AC79" i="1"/>
  <c r="AB79" i="1"/>
  <c r="U79" i="1"/>
  <c r="T79" i="1"/>
  <c r="S79" i="1"/>
  <c r="R79" i="1"/>
  <c r="O79" i="1"/>
  <c r="N79" i="1"/>
  <c r="L79" i="1"/>
  <c r="CD78" i="1"/>
  <c r="AE78" i="1"/>
  <c r="AD78" i="1"/>
  <c r="AC78" i="1"/>
  <c r="AB78" i="1"/>
  <c r="U78" i="1"/>
  <c r="T78" i="1"/>
  <c r="S78" i="1"/>
  <c r="R78" i="1"/>
  <c r="O78" i="1"/>
  <c r="N78" i="1"/>
  <c r="L78" i="1"/>
  <c r="CD77" i="1"/>
  <c r="AE77" i="1"/>
  <c r="AD77" i="1"/>
  <c r="AC77" i="1"/>
  <c r="AB77" i="1"/>
  <c r="U77" i="1"/>
  <c r="T77" i="1"/>
  <c r="S77" i="1"/>
  <c r="R77" i="1"/>
  <c r="O77" i="1"/>
  <c r="N77" i="1"/>
  <c r="L77" i="1"/>
  <c r="CD76" i="1"/>
  <c r="AE76" i="1"/>
  <c r="AD76" i="1"/>
  <c r="AC76" i="1"/>
  <c r="AB76" i="1"/>
  <c r="U76" i="1"/>
  <c r="T76" i="1"/>
  <c r="S76" i="1"/>
  <c r="R76" i="1"/>
  <c r="O76" i="1"/>
  <c r="N76" i="1"/>
  <c r="L76" i="1"/>
  <c r="CD75" i="1"/>
  <c r="AE75" i="1"/>
  <c r="AD75" i="1"/>
  <c r="AC75" i="1"/>
  <c r="AB75" i="1"/>
  <c r="U75" i="1"/>
  <c r="T75" i="1"/>
  <c r="S75" i="1"/>
  <c r="R75" i="1"/>
  <c r="O75" i="1"/>
  <c r="N75" i="1"/>
  <c r="L75" i="1"/>
  <c r="CD74" i="1"/>
  <c r="AE74" i="1"/>
  <c r="AD74" i="1"/>
  <c r="AC74" i="1"/>
  <c r="AB74" i="1"/>
  <c r="U74" i="1"/>
  <c r="T74" i="1"/>
  <c r="S74" i="1"/>
  <c r="R74" i="1"/>
  <c r="O74" i="1"/>
  <c r="N74" i="1"/>
  <c r="L74" i="1"/>
  <c r="CD73" i="1"/>
  <c r="AE73" i="1"/>
  <c r="AD73" i="1"/>
  <c r="AC73" i="1"/>
  <c r="AB73" i="1"/>
  <c r="U73" i="1"/>
  <c r="T73" i="1"/>
  <c r="S73" i="1"/>
  <c r="R73" i="1"/>
  <c r="O73" i="1"/>
  <c r="N73" i="1"/>
  <c r="L73" i="1"/>
  <c r="CD72" i="1"/>
  <c r="AE72" i="1"/>
  <c r="AD72" i="1"/>
  <c r="AC72" i="1"/>
  <c r="AB72" i="1"/>
  <c r="U72" i="1"/>
  <c r="T72" i="1"/>
  <c r="S72" i="1"/>
  <c r="R72" i="1"/>
  <c r="O72" i="1"/>
  <c r="N72" i="1"/>
  <c r="L72" i="1"/>
  <c r="CD71" i="1"/>
  <c r="AE71" i="1"/>
  <c r="AD71" i="1"/>
  <c r="AC71" i="1"/>
  <c r="AB71" i="1"/>
  <c r="U71" i="1"/>
  <c r="T71" i="1"/>
  <c r="S71" i="1"/>
  <c r="R71" i="1"/>
  <c r="O71" i="1"/>
  <c r="N71" i="1"/>
  <c r="L71" i="1"/>
  <c r="CD70" i="1"/>
  <c r="AE70" i="1"/>
  <c r="AD70" i="1"/>
  <c r="AC70" i="1"/>
  <c r="AB70" i="1"/>
  <c r="U70" i="1"/>
  <c r="T70" i="1"/>
  <c r="S70" i="1"/>
  <c r="R70" i="1"/>
  <c r="O70" i="1"/>
  <c r="N70" i="1"/>
  <c r="L70" i="1"/>
  <c r="CD69" i="1"/>
  <c r="AE69" i="1"/>
  <c r="AD69" i="1"/>
  <c r="AC69" i="1"/>
  <c r="AB69" i="1"/>
  <c r="U69" i="1"/>
  <c r="T69" i="1"/>
  <c r="S69" i="1"/>
  <c r="R69" i="1"/>
  <c r="O69" i="1"/>
  <c r="N69" i="1"/>
  <c r="L69" i="1"/>
  <c r="CD68" i="1"/>
  <c r="AE68" i="1"/>
  <c r="AD68" i="1"/>
  <c r="AC68" i="1"/>
  <c r="AB68" i="1"/>
  <c r="U68" i="1"/>
  <c r="T68" i="1"/>
  <c r="S68" i="1"/>
  <c r="R68" i="1"/>
  <c r="O68" i="1"/>
  <c r="N68" i="1"/>
  <c r="L68" i="1"/>
  <c r="CD67" i="1"/>
  <c r="AE67" i="1"/>
  <c r="AD67" i="1"/>
  <c r="AC67" i="1"/>
  <c r="AB67" i="1"/>
  <c r="U67" i="1"/>
  <c r="T67" i="1"/>
  <c r="S67" i="1"/>
  <c r="R67" i="1"/>
  <c r="O67" i="1"/>
  <c r="N67" i="1"/>
  <c r="L67" i="1"/>
  <c r="CA46" i="1"/>
  <c r="BD46" i="1" s="1"/>
  <c r="CA47" i="1"/>
  <c r="BC47" i="1" s="1"/>
  <c r="CA48" i="1"/>
  <c r="BD48" i="1" s="1"/>
  <c r="CA49" i="1"/>
  <c r="BC49" i="1" s="1"/>
  <c r="CA50" i="1"/>
  <c r="BD50" i="1" s="1"/>
  <c r="CA51" i="1"/>
  <c r="BD51" i="1" s="1"/>
  <c r="CA52" i="1"/>
  <c r="BC52" i="1" s="1"/>
  <c r="CA53" i="1"/>
  <c r="BC53" i="1" s="1"/>
  <c r="CA54" i="1"/>
  <c r="BC54" i="1" s="1"/>
  <c r="CA55" i="1"/>
  <c r="BC55" i="1" s="1"/>
  <c r="CA56" i="1"/>
  <c r="BC56" i="1" s="1"/>
  <c r="CA57" i="1"/>
  <c r="BC57" i="1" s="1"/>
  <c r="CA58" i="1"/>
  <c r="BC58" i="1" s="1"/>
  <c r="CA59" i="1"/>
  <c r="BD59" i="1" s="1"/>
  <c r="CA60" i="1"/>
  <c r="BC60" i="1" s="1"/>
  <c r="CA61" i="1"/>
  <c r="BC61" i="1" s="1"/>
  <c r="CA62" i="1"/>
  <c r="BD62" i="1" s="1"/>
  <c r="CA63" i="1"/>
  <c r="BD63" i="1" s="1"/>
  <c r="CA64" i="1"/>
  <c r="BD64" i="1" s="1"/>
  <c r="CA45" i="1"/>
  <c r="BC45" i="1" s="1"/>
  <c r="CG64" i="1"/>
  <c r="L64" i="1"/>
  <c r="CG63" i="1"/>
  <c r="L63" i="1"/>
  <c r="CG62" i="1"/>
  <c r="L62" i="1"/>
  <c r="CG61" i="1"/>
  <c r="L61" i="1"/>
  <c r="CG60" i="1"/>
  <c r="L60" i="1"/>
  <c r="CG59" i="1"/>
  <c r="L59" i="1"/>
  <c r="CG58" i="1"/>
  <c r="L58" i="1"/>
  <c r="CG57" i="1"/>
  <c r="L57" i="1"/>
  <c r="CG56" i="1"/>
  <c r="L56" i="1"/>
  <c r="CG55" i="1"/>
  <c r="L55" i="1"/>
  <c r="CG54" i="1"/>
  <c r="L54" i="1"/>
  <c r="CG53" i="1"/>
  <c r="L53" i="1"/>
  <c r="CG52" i="1"/>
  <c r="L52" i="1"/>
  <c r="CG51" i="1"/>
  <c r="L51" i="1"/>
  <c r="CG50" i="1"/>
  <c r="L50" i="1"/>
  <c r="CG49" i="1"/>
  <c r="L49" i="1"/>
  <c r="CG48" i="1"/>
  <c r="L48" i="1"/>
  <c r="CG47" i="1"/>
  <c r="L47" i="1"/>
  <c r="CG46" i="1"/>
  <c r="L46" i="1"/>
  <c r="CG45" i="1"/>
  <c r="L45" i="1"/>
  <c r="DB25" i="6" l="1"/>
  <c r="CS25" i="6"/>
  <c r="CS33" i="6"/>
  <c r="CS41" i="6"/>
  <c r="CS26" i="6"/>
  <c r="CS34" i="6"/>
  <c r="CS42" i="6"/>
  <c r="CS43" i="6"/>
  <c r="CS27" i="6"/>
  <c r="CS35" i="6"/>
  <c r="CS28" i="6"/>
  <c r="CS36" i="6"/>
  <c r="CS29" i="6"/>
  <c r="CS37" i="6"/>
  <c r="CS38" i="6"/>
  <c r="U25" i="6"/>
  <c r="W25" i="6" s="1"/>
  <c r="AH29" i="6"/>
  <c r="AN29" i="6" s="1"/>
  <c r="AH36" i="6"/>
  <c r="AN36" i="6" s="1"/>
  <c r="AH43" i="6"/>
  <c r="AN43" i="6" s="1"/>
  <c r="AH32" i="6"/>
  <c r="AN32" i="6" s="1"/>
  <c r="U34" i="6"/>
  <c r="W34" i="6" s="1"/>
  <c r="U40" i="6"/>
  <c r="W40" i="6" s="1"/>
  <c r="AH35" i="6"/>
  <c r="AN35" i="6" s="1"/>
  <c r="AH41" i="6"/>
  <c r="AN41" i="6" s="1"/>
  <c r="I149" i="6"/>
  <c r="N33" i="6"/>
  <c r="AM33" i="6" s="1"/>
  <c r="AX33" i="6" s="1"/>
  <c r="U24" i="6"/>
  <c r="W24" i="6" s="1"/>
  <c r="AK35" i="6"/>
  <c r="AL35" i="6" s="1"/>
  <c r="AK42" i="6"/>
  <c r="AL42" i="6" s="1"/>
  <c r="G141" i="6"/>
  <c r="AH26" i="6"/>
  <c r="AN26" i="6" s="1"/>
  <c r="AH31" i="6"/>
  <c r="AN31" i="6" s="1"/>
  <c r="U32" i="6"/>
  <c r="W32" i="6" s="1"/>
  <c r="AH33" i="6"/>
  <c r="AN33" i="6" s="1"/>
  <c r="AH40" i="6"/>
  <c r="AN40" i="6" s="1"/>
  <c r="G137" i="6"/>
  <c r="N29" i="6"/>
  <c r="AM29" i="6" s="1"/>
  <c r="G84" i="6"/>
  <c r="CF26" i="6"/>
  <c r="CI26" i="6" s="1"/>
  <c r="H197" i="6"/>
  <c r="G80" i="6"/>
  <c r="U26" i="6"/>
  <c r="W26" i="6" s="1"/>
  <c r="AX26" i="6" s="1"/>
  <c r="U33" i="6"/>
  <c r="W33" i="6" s="1"/>
  <c r="AK40" i="6"/>
  <c r="AL40" i="6" s="1"/>
  <c r="BC24" i="6"/>
  <c r="BB24" i="6"/>
  <c r="CJ24" i="6" s="1"/>
  <c r="CN24" i="6" s="1"/>
  <c r="BB2" i="6"/>
  <c r="CJ2" i="6" s="1"/>
  <c r="CN2" i="6" s="1"/>
  <c r="BC2" i="6"/>
  <c r="AK34" i="6"/>
  <c r="AL34" i="6" s="1"/>
  <c r="G83" i="6"/>
  <c r="G138" i="6"/>
  <c r="G189" i="6"/>
  <c r="N28" i="6"/>
  <c r="AM28" i="6" s="1"/>
  <c r="U37" i="6"/>
  <c r="W37" i="6" s="1"/>
  <c r="U38" i="6"/>
  <c r="W38" i="6" s="1"/>
  <c r="AK43" i="6"/>
  <c r="AL43" i="6" s="1"/>
  <c r="D113" i="6"/>
  <c r="G79" i="6"/>
  <c r="G150" i="6"/>
  <c r="G181" i="6"/>
  <c r="N24" i="6"/>
  <c r="AM24" i="6" s="1"/>
  <c r="AX24" i="6" s="1"/>
  <c r="N40" i="6"/>
  <c r="AM40" i="6" s="1"/>
  <c r="U27" i="6"/>
  <c r="W27" i="6" s="1"/>
  <c r="AX27" i="6" s="1"/>
  <c r="AH28" i="6"/>
  <c r="AN28" i="6" s="1"/>
  <c r="U29" i="6"/>
  <c r="W29" i="6" s="1"/>
  <c r="AX29" i="6" s="1"/>
  <c r="U35" i="6"/>
  <c r="W35" i="6" s="1"/>
  <c r="AX35" i="6" s="1"/>
  <c r="AH42" i="6"/>
  <c r="AN42" i="6" s="1"/>
  <c r="G195" i="6"/>
  <c r="G187" i="6"/>
  <c r="G76" i="6"/>
  <c r="G149" i="6"/>
  <c r="G157" i="6"/>
  <c r="G179" i="6"/>
  <c r="N25" i="6"/>
  <c r="AM25" i="6" s="1"/>
  <c r="N41" i="6"/>
  <c r="AM41" i="6" s="1"/>
  <c r="AH34" i="6"/>
  <c r="AN34" i="6" s="1"/>
  <c r="AX34" i="6" s="1"/>
  <c r="AK39" i="6"/>
  <c r="AL39" i="6" s="1"/>
  <c r="AK41" i="6"/>
  <c r="AL41" i="6" s="1"/>
  <c r="G75" i="6"/>
  <c r="G146" i="6"/>
  <c r="I157" i="6"/>
  <c r="I69" i="6"/>
  <c r="N36" i="6"/>
  <c r="AM36" i="6" s="1"/>
  <c r="N42" i="6"/>
  <c r="AM42" i="6" s="1"/>
  <c r="AH30" i="6"/>
  <c r="AN30" i="6" s="1"/>
  <c r="U31" i="6"/>
  <c r="W31" i="6" s="1"/>
  <c r="AK31" i="6"/>
  <c r="AL31" i="6" s="1"/>
  <c r="U43" i="6"/>
  <c r="W43" i="6" s="1"/>
  <c r="G72" i="6"/>
  <c r="G145" i="6"/>
  <c r="I71" i="6"/>
  <c r="CF24" i="6"/>
  <c r="CI24" i="6" s="1"/>
  <c r="CF39" i="6"/>
  <c r="CI39" i="6" s="1"/>
  <c r="N37" i="6"/>
  <c r="AM37" i="6" s="1"/>
  <c r="N43" i="6"/>
  <c r="AM43" i="6" s="1"/>
  <c r="U30" i="6"/>
  <c r="W30" i="6" s="1"/>
  <c r="AK37" i="6"/>
  <c r="AL37" i="6" s="1"/>
  <c r="U39" i="6"/>
  <c r="W39" i="6" s="1"/>
  <c r="U42" i="6"/>
  <c r="W42" i="6" s="1"/>
  <c r="I113" i="6"/>
  <c r="H153" i="6"/>
  <c r="G71" i="6"/>
  <c r="G142" i="6"/>
  <c r="G197" i="6"/>
  <c r="I141" i="6"/>
  <c r="N32" i="6"/>
  <c r="AM32" i="6" s="1"/>
  <c r="AX32" i="6" s="1"/>
  <c r="AH27" i="6"/>
  <c r="AN27" i="6" s="1"/>
  <c r="U28" i="6"/>
  <c r="W28" i="6" s="1"/>
  <c r="U36" i="6"/>
  <c r="W36" i="6" s="1"/>
  <c r="AH39" i="6"/>
  <c r="AN39" i="6" s="1"/>
  <c r="U41" i="6"/>
  <c r="W41" i="6" s="1"/>
  <c r="AK36" i="6"/>
  <c r="AL36" i="6" s="1"/>
  <c r="AH38" i="6"/>
  <c r="AN38" i="6" s="1"/>
  <c r="AX38" i="6" s="1"/>
  <c r="AH25" i="6"/>
  <c r="AN25" i="6" s="1"/>
  <c r="CF28" i="6"/>
  <c r="CI28" i="6" s="1"/>
  <c r="CF36" i="6"/>
  <c r="CI36" i="6" s="1"/>
  <c r="CF27" i="6"/>
  <c r="CI27" i="6" s="1"/>
  <c r="I194" i="6"/>
  <c r="I186" i="6"/>
  <c r="H192" i="6"/>
  <c r="H184" i="6"/>
  <c r="I139" i="6"/>
  <c r="I147" i="6"/>
  <c r="H71" i="6"/>
  <c r="H149" i="6"/>
  <c r="H145" i="6"/>
  <c r="H141" i="6"/>
  <c r="H137" i="6"/>
  <c r="G158" i="6"/>
  <c r="I193" i="6"/>
  <c r="I185" i="6"/>
  <c r="G196" i="6"/>
  <c r="G188" i="6"/>
  <c r="G180" i="6"/>
  <c r="H191" i="6"/>
  <c r="H183" i="6"/>
  <c r="I140" i="6"/>
  <c r="I148" i="6"/>
  <c r="I70" i="6"/>
  <c r="I192" i="6"/>
  <c r="I184" i="6"/>
  <c r="H190" i="6"/>
  <c r="H182" i="6"/>
  <c r="H70" i="6"/>
  <c r="H152" i="6"/>
  <c r="H148" i="6"/>
  <c r="H144" i="6"/>
  <c r="H140" i="6"/>
  <c r="H136" i="6"/>
  <c r="I191" i="6"/>
  <c r="I183" i="6"/>
  <c r="G194" i="6"/>
  <c r="G186" i="6"/>
  <c r="H189" i="6"/>
  <c r="H181" i="6"/>
  <c r="I142" i="6"/>
  <c r="I150" i="6"/>
  <c r="G86" i="6"/>
  <c r="G82" i="6"/>
  <c r="G78" i="6"/>
  <c r="G74" i="6"/>
  <c r="G70" i="6"/>
  <c r="G152" i="6"/>
  <c r="G148" i="6"/>
  <c r="G144" i="6"/>
  <c r="G140" i="6"/>
  <c r="G136" i="6"/>
  <c r="I190" i="6"/>
  <c r="I182" i="6"/>
  <c r="G193" i="6"/>
  <c r="G185" i="6"/>
  <c r="H196" i="6"/>
  <c r="H188" i="6"/>
  <c r="H180" i="6"/>
  <c r="I201" i="6"/>
  <c r="I135" i="6"/>
  <c r="I143" i="6"/>
  <c r="I151" i="6"/>
  <c r="I47" i="6"/>
  <c r="G48" i="6"/>
  <c r="H69" i="6"/>
  <c r="H151" i="6"/>
  <c r="H147" i="6"/>
  <c r="H143" i="6"/>
  <c r="H139" i="6"/>
  <c r="H135" i="6"/>
  <c r="I189" i="6"/>
  <c r="I181" i="6"/>
  <c r="G192" i="6"/>
  <c r="G184" i="6"/>
  <c r="H195" i="6"/>
  <c r="H187" i="6"/>
  <c r="H179" i="6"/>
  <c r="I202" i="6"/>
  <c r="I136" i="6"/>
  <c r="I144" i="6"/>
  <c r="I152" i="6"/>
  <c r="G47" i="6"/>
  <c r="G85" i="6"/>
  <c r="G81" i="6"/>
  <c r="G77" i="6"/>
  <c r="G73" i="6"/>
  <c r="G69" i="6"/>
  <c r="G151" i="6"/>
  <c r="G147" i="6"/>
  <c r="G143" i="6"/>
  <c r="G139" i="6"/>
  <c r="G135" i="6"/>
  <c r="I196" i="6"/>
  <c r="I188" i="6"/>
  <c r="I180" i="6"/>
  <c r="G191" i="6"/>
  <c r="G183" i="6"/>
  <c r="H194" i="6"/>
  <c r="H186" i="6"/>
  <c r="I203" i="6"/>
  <c r="I137" i="6"/>
  <c r="I145" i="6"/>
  <c r="I91" i="6"/>
  <c r="H72" i="6"/>
  <c r="H150" i="6"/>
  <c r="H146" i="6"/>
  <c r="H142" i="6"/>
  <c r="H138" i="6"/>
  <c r="I195" i="6"/>
  <c r="I187" i="6"/>
  <c r="I179" i="6"/>
  <c r="G190" i="6"/>
  <c r="G182" i="6"/>
  <c r="H193" i="6"/>
  <c r="H185" i="6"/>
  <c r="I204" i="6"/>
  <c r="I138" i="6"/>
  <c r="I146" i="6"/>
  <c r="BB3" i="6"/>
  <c r="CJ3" i="6" s="1"/>
  <c r="CN3" i="6" s="1"/>
  <c r="CV3" i="6" s="1"/>
  <c r="CW3" i="6" s="1"/>
  <c r="I26" i="6"/>
  <c r="CB26" i="6" s="1"/>
  <c r="I25" i="6"/>
  <c r="CB25" i="6" s="1"/>
  <c r="D157" i="6"/>
  <c r="B4" i="6"/>
  <c r="C26" i="6"/>
  <c r="C27" i="6" s="1"/>
  <c r="C28" i="6" s="1"/>
  <c r="G28" i="6" s="1"/>
  <c r="H25" i="6"/>
  <c r="CK74" i="3"/>
  <c r="CK77" i="3"/>
  <c r="CK85" i="3"/>
  <c r="D205" i="6"/>
  <c r="B206" i="6"/>
  <c r="I206" i="6" s="1"/>
  <c r="B159" i="6"/>
  <c r="D158" i="6"/>
  <c r="D138" i="6"/>
  <c r="B115" i="6"/>
  <c r="I115" i="6" s="1"/>
  <c r="D114" i="6"/>
  <c r="B93" i="6"/>
  <c r="I93" i="6" s="1"/>
  <c r="D92" i="6"/>
  <c r="D72" i="6"/>
  <c r="B73" i="6"/>
  <c r="B49" i="6"/>
  <c r="D48" i="6"/>
  <c r="D4" i="6"/>
  <c r="D181" i="6"/>
  <c r="D189" i="6"/>
  <c r="D193" i="6"/>
  <c r="D140" i="6"/>
  <c r="D183" i="6"/>
  <c r="D191" i="6"/>
  <c r="D196" i="6"/>
  <c r="D180" i="6"/>
  <c r="D188" i="6"/>
  <c r="D136" i="6"/>
  <c r="D185" i="6"/>
  <c r="D203" i="6"/>
  <c r="D204" i="6"/>
  <c r="D197" i="6"/>
  <c r="D202" i="6"/>
  <c r="D184" i="6"/>
  <c r="D192" i="6"/>
  <c r="D178" i="6"/>
  <c r="D187" i="6"/>
  <c r="D195" i="6"/>
  <c r="D134" i="6"/>
  <c r="D182" i="6"/>
  <c r="D190" i="6"/>
  <c r="D194" i="6"/>
  <c r="D24" i="6"/>
  <c r="D186" i="6"/>
  <c r="D179" i="6"/>
  <c r="D141" i="6"/>
  <c r="D137" i="6"/>
  <c r="D139" i="6"/>
  <c r="D135" i="6"/>
  <c r="D25" i="6"/>
  <c r="D71" i="6"/>
  <c r="D68" i="6"/>
  <c r="D70" i="6"/>
  <c r="D69" i="6"/>
  <c r="D3" i="6"/>
  <c r="D2" i="6"/>
  <c r="CA4" i="1"/>
  <c r="BD4" i="1" s="1"/>
  <c r="CA12" i="1"/>
  <c r="BD12" i="1" s="1"/>
  <c r="CA20" i="1"/>
  <c r="BD20" i="1" s="1"/>
  <c r="D17" i="1"/>
  <c r="D16" i="1"/>
  <c r="D10" i="1"/>
  <c r="D9" i="1"/>
  <c r="D8" i="1"/>
  <c r="D7" i="1"/>
  <c r="CA5" i="1"/>
  <c r="BD5" i="1" s="1"/>
  <c r="D14" i="1"/>
  <c r="D6" i="1"/>
  <c r="CA13" i="1"/>
  <c r="BD13" i="1" s="1"/>
  <c r="D21" i="1"/>
  <c r="D11" i="1"/>
  <c r="D3" i="1"/>
  <c r="CA15" i="1"/>
  <c r="BD15" i="1" s="1"/>
  <c r="CA18" i="1"/>
  <c r="BD18" i="1" s="1"/>
  <c r="CA19" i="1"/>
  <c r="BD19" i="1" s="1"/>
  <c r="CA2" i="1"/>
  <c r="BD2" i="1" s="1"/>
  <c r="BD45" i="1"/>
  <c r="BC9" i="1"/>
  <c r="CH9" i="1" s="1"/>
  <c r="CL9" i="1" s="1"/>
  <c r="CT9" i="1" s="1"/>
  <c r="CU9" i="1" s="1"/>
  <c r="BC11" i="1"/>
  <c r="CH11" i="1" s="1"/>
  <c r="CL11" i="1" s="1"/>
  <c r="CT11" i="1" s="1"/>
  <c r="CU11" i="1" s="1"/>
  <c r="BC17" i="1"/>
  <c r="CH17" i="1" s="1"/>
  <c r="CL17" i="1" s="1"/>
  <c r="CT17" i="1" s="1"/>
  <c r="CU17" i="1" s="1"/>
  <c r="BD52" i="1"/>
  <c r="BC21" i="1"/>
  <c r="CH21" i="1" s="1"/>
  <c r="CL21" i="1" s="1"/>
  <c r="CT21" i="1" s="1"/>
  <c r="CU21" i="1" s="1"/>
  <c r="BC3" i="1"/>
  <c r="CH3" i="1" s="1"/>
  <c r="CL3" i="1" s="1"/>
  <c r="CT3" i="1" s="1"/>
  <c r="CU3" i="1" s="1"/>
  <c r="BC7" i="1"/>
  <c r="CH7" i="1" s="1"/>
  <c r="CL7" i="1" s="1"/>
  <c r="CT7" i="1" s="1"/>
  <c r="CU7" i="1" s="1"/>
  <c r="BC6" i="1"/>
  <c r="CH6" i="1" s="1"/>
  <c r="CL6" i="1" s="1"/>
  <c r="CT6" i="1" s="1"/>
  <c r="CU6" i="1" s="1"/>
  <c r="BC10" i="1"/>
  <c r="CH10" i="1" s="1"/>
  <c r="CL10" i="1" s="1"/>
  <c r="CT10" i="1" s="1"/>
  <c r="CU10" i="1" s="1"/>
  <c r="BC14" i="1"/>
  <c r="CH14" i="1" s="1"/>
  <c r="CL14" i="1" s="1"/>
  <c r="CT14" i="1" s="1"/>
  <c r="CU14" i="1" s="1"/>
  <c r="BC8" i="1"/>
  <c r="CH8" i="1" s="1"/>
  <c r="CL8" i="1" s="1"/>
  <c r="CT8" i="1" s="1"/>
  <c r="CU8" i="1" s="1"/>
  <c r="BC16" i="1"/>
  <c r="CH16" i="1" s="1"/>
  <c r="CL16" i="1" s="1"/>
  <c r="CT16" i="1" s="1"/>
  <c r="CU16" i="1" s="1"/>
  <c r="AI128" i="1"/>
  <c r="AO128" i="1" s="1"/>
  <c r="CI75" i="3"/>
  <c r="CI80" i="3"/>
  <c r="AV3" i="3"/>
  <c r="AY59" i="3"/>
  <c r="CR2" i="4"/>
  <c r="CS78" i="4"/>
  <c r="CS74" i="4"/>
  <c r="CS70" i="4"/>
  <c r="CS66" i="4"/>
  <c r="CS62" i="4"/>
  <c r="CS58" i="4"/>
  <c r="CS54" i="4"/>
  <c r="CS50" i="4"/>
  <c r="CS46" i="4"/>
  <c r="CS42" i="4"/>
  <c r="CS38" i="4"/>
  <c r="CS34" i="4"/>
  <c r="CS30" i="4"/>
  <c r="CS26" i="4"/>
  <c r="CS22" i="4"/>
  <c r="CS18" i="4"/>
  <c r="CS14" i="4"/>
  <c r="CS10" i="4"/>
  <c r="CS6" i="4"/>
  <c r="O124" i="1"/>
  <c r="AN124" i="1" s="1"/>
  <c r="CP124" i="1" s="1"/>
  <c r="AI129" i="1"/>
  <c r="AO129" i="1" s="1"/>
  <c r="CQ129" i="1" s="1"/>
  <c r="CA12" i="3"/>
  <c r="CE12" i="3" s="1"/>
  <c r="O34" i="3"/>
  <c r="AB42" i="3"/>
  <c r="CC46" i="3"/>
  <c r="CO54" i="3"/>
  <c r="AB56" i="3"/>
  <c r="AH56" i="3" s="1"/>
  <c r="AX65" i="3"/>
  <c r="AB81" i="3"/>
  <c r="AH81" i="3" s="1"/>
  <c r="CJ81" i="3" s="1"/>
  <c r="H82" i="3"/>
  <c r="AG82" i="3" s="1"/>
  <c r="O88" i="3"/>
  <c r="Q88" i="3" s="1"/>
  <c r="CS2" i="4"/>
  <c r="CR66" i="4"/>
  <c r="CR54" i="4"/>
  <c r="CR50" i="4"/>
  <c r="CR34" i="4"/>
  <c r="CR18" i="4"/>
  <c r="CR14" i="4"/>
  <c r="CR10" i="4"/>
  <c r="CR6" i="4"/>
  <c r="AL130" i="1"/>
  <c r="AM130" i="1" s="1"/>
  <c r="CR130" i="1" s="1"/>
  <c r="CS81" i="4"/>
  <c r="CS77" i="4"/>
  <c r="CS73" i="4"/>
  <c r="CS69" i="4"/>
  <c r="CS65" i="4"/>
  <c r="CS61" i="4"/>
  <c r="CS57" i="4"/>
  <c r="CS53" i="4"/>
  <c r="CS49" i="4"/>
  <c r="CS45" i="4"/>
  <c r="CS41" i="4"/>
  <c r="CS37" i="4"/>
  <c r="CS33" i="4"/>
  <c r="CS29" i="4"/>
  <c r="CS25" i="4"/>
  <c r="CS21" i="4"/>
  <c r="CS17" i="4"/>
  <c r="CS13" i="4"/>
  <c r="CS9" i="4"/>
  <c r="CS5" i="4"/>
  <c r="AL127" i="1"/>
  <c r="AM127" i="1" s="1"/>
  <c r="CR127" i="1" s="1"/>
  <c r="AW2" i="3"/>
  <c r="CA7" i="3"/>
  <c r="CE7" i="3" s="1"/>
  <c r="CM7" i="3" s="1"/>
  <c r="CN7" i="3" s="1"/>
  <c r="CA18" i="3"/>
  <c r="CE18" i="3" s="1"/>
  <c r="CM18" i="3" s="1"/>
  <c r="CN18" i="3" s="1"/>
  <c r="CA20" i="3"/>
  <c r="CE20" i="3" s="1"/>
  <c r="O26" i="3"/>
  <c r="AB29" i="3"/>
  <c r="O36" i="3"/>
  <c r="AW50" i="3"/>
  <c r="AB73" i="3"/>
  <c r="AH73" i="3" s="1"/>
  <c r="CI77" i="3"/>
  <c r="AB80" i="3"/>
  <c r="AH80" i="3" s="1"/>
  <c r="CJ80" i="3" s="1"/>
  <c r="AB88" i="3"/>
  <c r="AH88" i="3" s="1"/>
  <c r="CJ88" i="3" s="1"/>
  <c r="CA18" i="4"/>
  <c r="CE18" i="4" s="1"/>
  <c r="CR21" i="4"/>
  <c r="CR17" i="4"/>
  <c r="CR13" i="4"/>
  <c r="CR9" i="4"/>
  <c r="CR5" i="4"/>
  <c r="CS80" i="4"/>
  <c r="CS76" i="4"/>
  <c r="CS72" i="4"/>
  <c r="CS68" i="4"/>
  <c r="CS64" i="4"/>
  <c r="CS60" i="4"/>
  <c r="CS56" i="4"/>
  <c r="CS52" i="4"/>
  <c r="CS48" i="4"/>
  <c r="CS44" i="4"/>
  <c r="CS40" i="4"/>
  <c r="CS36" i="4"/>
  <c r="CS32" i="4"/>
  <c r="CS28" i="4"/>
  <c r="CS24" i="4"/>
  <c r="CS20" i="4"/>
  <c r="CS16" i="4"/>
  <c r="CS12" i="4"/>
  <c r="CS8" i="4"/>
  <c r="CS4" i="4"/>
  <c r="AV15" i="3"/>
  <c r="CA15" i="3" s="1"/>
  <c r="CE15" i="3" s="1"/>
  <c r="AB31" i="3"/>
  <c r="AB35" i="3"/>
  <c r="AW54" i="3"/>
  <c r="AV55" i="3"/>
  <c r="CC55" i="3" s="1"/>
  <c r="CD55" i="3" s="1"/>
  <c r="CE55" i="3" s="1"/>
  <c r="CF55" i="3" s="1"/>
  <c r="AY58" i="3"/>
  <c r="AW62" i="3"/>
  <c r="BZ64" i="3"/>
  <c r="CK69" i="3"/>
  <c r="CK78" i="3"/>
  <c r="CI82" i="3"/>
  <c r="CI84" i="3"/>
  <c r="AB87" i="3"/>
  <c r="AH87" i="3" s="1"/>
  <c r="CR56" i="4"/>
  <c r="CR52" i="4"/>
  <c r="CR20" i="4"/>
  <c r="CR16" i="4"/>
  <c r="CR12" i="4"/>
  <c r="CR8" i="4"/>
  <c r="CR4" i="4"/>
  <c r="AI130" i="1"/>
  <c r="AO130" i="1" s="1"/>
  <c r="CQ130" i="1" s="1"/>
  <c r="CS79" i="4"/>
  <c r="CS75" i="4"/>
  <c r="CS71" i="4"/>
  <c r="CS67" i="4"/>
  <c r="CS63" i="4"/>
  <c r="CS59" i="4"/>
  <c r="CS55" i="4"/>
  <c r="CS51" i="4"/>
  <c r="CS47" i="4"/>
  <c r="CS43" i="4"/>
  <c r="CS39" i="4"/>
  <c r="CS35" i="4"/>
  <c r="CS31" i="4"/>
  <c r="CS27" i="4"/>
  <c r="CS23" i="4"/>
  <c r="CS19" i="4"/>
  <c r="CS15" i="4"/>
  <c r="CS11" i="4"/>
  <c r="CS7" i="4"/>
  <c r="CS3" i="4"/>
  <c r="AB54" i="3"/>
  <c r="AH54" i="3" s="1"/>
  <c r="AB63" i="3"/>
  <c r="AH63" i="3" s="1"/>
  <c r="O70" i="3"/>
  <c r="Q70" i="3" s="1"/>
  <c r="H71" i="3"/>
  <c r="AG71" i="3" s="1"/>
  <c r="CI71" i="3" s="1"/>
  <c r="CK71" i="3"/>
  <c r="H73" i="3"/>
  <c r="AG73" i="3" s="1"/>
  <c r="O76" i="3"/>
  <c r="Q76" i="3" s="1"/>
  <c r="O78" i="3"/>
  <c r="Q78" i="3" s="1"/>
  <c r="AE80" i="3"/>
  <c r="AF80" i="3" s="1"/>
  <c r="O81" i="3"/>
  <c r="Q81" i="3" s="1"/>
  <c r="AB83" i="3"/>
  <c r="AH83" i="3" s="1"/>
  <c r="CJ83" i="3" s="1"/>
  <c r="AB84" i="3"/>
  <c r="AH84" i="3" s="1"/>
  <c r="CJ84" i="3" s="1"/>
  <c r="H86" i="3"/>
  <c r="AG86" i="3" s="1"/>
  <c r="CR67" i="4"/>
  <c r="CR47" i="4"/>
  <c r="CR43" i="4"/>
  <c r="CR35" i="4"/>
  <c r="CR19" i="4"/>
  <c r="CR15" i="4"/>
  <c r="CR11" i="4"/>
  <c r="CR7" i="4"/>
  <c r="CR3" i="4"/>
  <c r="CA16" i="4"/>
  <c r="CE16" i="4" s="1"/>
  <c r="CM16" i="4" s="1"/>
  <c r="CN16" i="4" s="1"/>
  <c r="CO16" i="4" s="1"/>
  <c r="CK68" i="4"/>
  <c r="CK70" i="4"/>
  <c r="O81" i="4"/>
  <c r="Q81" i="4" s="1"/>
  <c r="AB52" i="4"/>
  <c r="AH52" i="4" s="1"/>
  <c r="AB60" i="4"/>
  <c r="AH60" i="4" s="1"/>
  <c r="AB73" i="4"/>
  <c r="AH73" i="4" s="1"/>
  <c r="CO36" i="4"/>
  <c r="CO68" i="4"/>
  <c r="CO37" i="4"/>
  <c r="CO69" i="4"/>
  <c r="CO22" i="4"/>
  <c r="CO38" i="4"/>
  <c r="CO70" i="4"/>
  <c r="CA11" i="4"/>
  <c r="CE11" i="4" s="1"/>
  <c r="H68" i="4"/>
  <c r="AG68" i="4" s="1"/>
  <c r="CO23" i="4"/>
  <c r="CO39" i="4"/>
  <c r="CO71" i="4"/>
  <c r="CO24" i="4"/>
  <c r="CO40" i="4"/>
  <c r="CO72" i="4"/>
  <c r="CO25" i="4"/>
  <c r="CO41" i="4"/>
  <c r="CO73" i="4"/>
  <c r="CO26" i="4"/>
  <c r="CO74" i="4"/>
  <c r="CO27" i="4"/>
  <c r="CO75" i="4"/>
  <c r="CO28" i="4"/>
  <c r="CO76" i="4"/>
  <c r="CO29" i="4"/>
  <c r="CO77" i="4"/>
  <c r="CO30" i="4"/>
  <c r="CO62" i="4"/>
  <c r="CO78" i="4"/>
  <c r="AB58" i="4"/>
  <c r="AH58" i="4" s="1"/>
  <c r="AY58" i="4" s="1"/>
  <c r="H67" i="4"/>
  <c r="AG67" i="4" s="1"/>
  <c r="CI67" i="4" s="1"/>
  <c r="CO31" i="4"/>
  <c r="CO63" i="4"/>
  <c r="CO79" i="4"/>
  <c r="CO32" i="4"/>
  <c r="CO64" i="4"/>
  <c r="CO80" i="4"/>
  <c r="AB64" i="4"/>
  <c r="AH64" i="4" s="1"/>
  <c r="AB68" i="4"/>
  <c r="AH68" i="4" s="1"/>
  <c r="CJ68" i="4" s="1"/>
  <c r="CO33" i="4"/>
  <c r="CO65" i="4"/>
  <c r="CO81" i="4"/>
  <c r="AB42" i="4"/>
  <c r="AH42" i="4" s="1"/>
  <c r="AY42" i="4" s="1"/>
  <c r="O71" i="4"/>
  <c r="Q71" i="4" s="1"/>
  <c r="AV49" i="4"/>
  <c r="CC49" i="4" s="1"/>
  <c r="AB69" i="4"/>
  <c r="AH69" i="4" s="1"/>
  <c r="O40" i="4"/>
  <c r="CA2" i="4"/>
  <c r="CE2" i="4" s="1"/>
  <c r="CA10" i="4"/>
  <c r="CE10" i="4" s="1"/>
  <c r="AW55" i="4"/>
  <c r="CK62" i="4"/>
  <c r="AB29" i="4"/>
  <c r="AX55" i="4"/>
  <c r="H76" i="4"/>
  <c r="AG76" i="4" s="1"/>
  <c r="CI76" i="4" s="1"/>
  <c r="BZ55" i="4"/>
  <c r="AV15" i="4"/>
  <c r="CA15" i="4" s="1"/>
  <c r="CE15" i="4" s="1"/>
  <c r="CM15" i="4" s="1"/>
  <c r="CN15" i="4" s="1"/>
  <c r="CO15" i="4" s="1"/>
  <c r="AB75" i="4"/>
  <c r="AH75" i="4" s="1"/>
  <c r="CJ75" i="4" s="1"/>
  <c r="AB30" i="4"/>
  <c r="AB81" i="4"/>
  <c r="AH81" i="4" s="1"/>
  <c r="CJ81" i="4" s="1"/>
  <c r="AB24" i="4"/>
  <c r="AB41" i="4"/>
  <c r="AB55" i="4"/>
  <c r="AH55" i="4" s="1"/>
  <c r="AW11" i="4"/>
  <c r="AV44" i="4"/>
  <c r="O33" i="4"/>
  <c r="AV51" i="4"/>
  <c r="CC51" i="4" s="1"/>
  <c r="CD51" i="4" s="1"/>
  <c r="CE51" i="4" s="1"/>
  <c r="AB63" i="4"/>
  <c r="AH63" i="4" s="1"/>
  <c r="CJ63" i="4" s="1"/>
  <c r="AB22" i="4"/>
  <c r="AW51" i="4"/>
  <c r="O80" i="4"/>
  <c r="Q80" i="4" s="1"/>
  <c r="AB27" i="4"/>
  <c r="H81" i="4"/>
  <c r="AG81" i="4" s="1"/>
  <c r="CI81" i="4" s="1"/>
  <c r="CC46" i="4"/>
  <c r="O63" i="4"/>
  <c r="Q63" i="4" s="1"/>
  <c r="AB26" i="4"/>
  <c r="AE72" i="4"/>
  <c r="AF72" i="4" s="1"/>
  <c r="CK72" i="4" s="1"/>
  <c r="CA17" i="4"/>
  <c r="CE17" i="4" s="1"/>
  <c r="AB31" i="4"/>
  <c r="O36" i="4"/>
  <c r="AB37" i="4"/>
  <c r="AV42" i="4"/>
  <c r="CC42" i="4" s="1"/>
  <c r="AB49" i="4"/>
  <c r="AH49" i="4" s="1"/>
  <c r="AB71" i="4"/>
  <c r="AH71" i="4" s="1"/>
  <c r="CJ71" i="4" s="1"/>
  <c r="H72" i="4"/>
  <c r="AG72" i="4" s="1"/>
  <c r="CI72" i="4" s="1"/>
  <c r="O24" i="4"/>
  <c r="O29" i="4"/>
  <c r="AW50" i="4"/>
  <c r="AB62" i="4"/>
  <c r="AH62" i="4" s="1"/>
  <c r="CJ62" i="4" s="1"/>
  <c r="CA7" i="4"/>
  <c r="CE7" i="4" s="1"/>
  <c r="AB45" i="4"/>
  <c r="AH45" i="4" s="1"/>
  <c r="AY45" i="4" s="1"/>
  <c r="AB61" i="4"/>
  <c r="AH61" i="4" s="1"/>
  <c r="AY61" i="4" s="1"/>
  <c r="AE73" i="4"/>
  <c r="AF73" i="4" s="1"/>
  <c r="CK73" i="4" s="1"/>
  <c r="AE76" i="4"/>
  <c r="AF76" i="4" s="1"/>
  <c r="CK76" i="4" s="1"/>
  <c r="O79" i="4"/>
  <c r="Q79" i="4" s="1"/>
  <c r="AB44" i="4"/>
  <c r="AH44" i="4" s="1"/>
  <c r="AY44" i="4" s="1"/>
  <c r="H69" i="4"/>
  <c r="AG69" i="4" s="1"/>
  <c r="H80" i="4"/>
  <c r="AG80" i="4" s="1"/>
  <c r="CI80" i="4" s="1"/>
  <c r="O68" i="4"/>
  <c r="Q68" i="4" s="1"/>
  <c r="AB23" i="4"/>
  <c r="AY52" i="4"/>
  <c r="AB57" i="4"/>
  <c r="AH57" i="4" s="1"/>
  <c r="AY57" i="4" s="1"/>
  <c r="H71" i="4"/>
  <c r="AG71" i="4" s="1"/>
  <c r="H75" i="4"/>
  <c r="AG75" i="4" s="1"/>
  <c r="CI75" i="4" s="1"/>
  <c r="AE79" i="4"/>
  <c r="AF79" i="4" s="1"/>
  <c r="CK79" i="4" s="1"/>
  <c r="CA4" i="4"/>
  <c r="CE4" i="4" s="1"/>
  <c r="O77" i="4"/>
  <c r="Q77" i="4" s="1"/>
  <c r="AW12" i="4"/>
  <c r="H78" i="4"/>
  <c r="AG78" i="4" s="1"/>
  <c r="CI78" i="4" s="1"/>
  <c r="AB51" i="4"/>
  <c r="AH51" i="4" s="1"/>
  <c r="AY51" i="4" s="1"/>
  <c r="AW16" i="4"/>
  <c r="O37" i="4"/>
  <c r="AB39" i="4"/>
  <c r="CC43" i="4"/>
  <c r="H64" i="4"/>
  <c r="AG64" i="4" s="1"/>
  <c r="CI64" i="4" s="1"/>
  <c r="O26" i="4"/>
  <c r="AK26" i="4" s="1"/>
  <c r="AQ26" i="4" s="1"/>
  <c r="AB33" i="4"/>
  <c r="AK33" i="4" s="1"/>
  <c r="AQ33" i="4" s="1"/>
  <c r="AX44" i="4"/>
  <c r="AB50" i="4"/>
  <c r="AH50" i="4" s="1"/>
  <c r="AY50" i="4" s="1"/>
  <c r="AB59" i="4"/>
  <c r="AH59" i="4" s="1"/>
  <c r="AY59" i="4" s="1"/>
  <c r="AW43" i="4"/>
  <c r="AV52" i="4"/>
  <c r="CC52" i="4" s="1"/>
  <c r="O76" i="4"/>
  <c r="Q76" i="4" s="1"/>
  <c r="AX43" i="4"/>
  <c r="AB46" i="4"/>
  <c r="AH46" i="4" s="1"/>
  <c r="AY46" i="4" s="1"/>
  <c r="AW52" i="4"/>
  <c r="CC55" i="4"/>
  <c r="CQ59" i="4"/>
  <c r="CR59" i="4" s="1"/>
  <c r="CQ42" i="4"/>
  <c r="CR42" i="4" s="1"/>
  <c r="CQ43" i="4"/>
  <c r="CQ44" i="4"/>
  <c r="CR44" i="4" s="1"/>
  <c r="CQ45" i="4"/>
  <c r="CR45" i="4" s="1"/>
  <c r="CQ56" i="4"/>
  <c r="CQ47" i="4"/>
  <c r="CQ46" i="4"/>
  <c r="CR46" i="4" s="1"/>
  <c r="CQ48" i="4"/>
  <c r="CR48" i="4" s="1"/>
  <c r="CQ51" i="4"/>
  <c r="CR51" i="4" s="1"/>
  <c r="CQ50" i="4"/>
  <c r="CQ49" i="4"/>
  <c r="CR49" i="4" s="1"/>
  <c r="AE78" i="4"/>
  <c r="AF78" i="4" s="1"/>
  <c r="CK78" i="4" s="1"/>
  <c r="AE74" i="4"/>
  <c r="AF74" i="4" s="1"/>
  <c r="CK74" i="4" s="1"/>
  <c r="AW7" i="4"/>
  <c r="AW17" i="4"/>
  <c r="CA20" i="4"/>
  <c r="CE20" i="4" s="1"/>
  <c r="AB28" i="4"/>
  <c r="AB40" i="4"/>
  <c r="AK40" i="4" s="1"/>
  <c r="AQ40" i="4" s="1"/>
  <c r="BU40" i="4" s="1"/>
  <c r="BR40" i="4" s="1"/>
  <c r="AV50" i="4"/>
  <c r="CC50" i="4" s="1"/>
  <c r="CD50" i="4" s="1"/>
  <c r="CE50" i="4" s="1"/>
  <c r="H66" i="4"/>
  <c r="AG66" i="4" s="1"/>
  <c r="CI66" i="4" s="1"/>
  <c r="CI70" i="4"/>
  <c r="O72" i="4"/>
  <c r="Q72" i="4" s="1"/>
  <c r="AB77" i="4"/>
  <c r="AH77" i="4" s="1"/>
  <c r="CJ77" i="4" s="1"/>
  <c r="AW4" i="4"/>
  <c r="AB34" i="4"/>
  <c r="O38" i="4"/>
  <c r="AX50" i="4"/>
  <c r="O64" i="4"/>
  <c r="Q64" i="4" s="1"/>
  <c r="CK67" i="4"/>
  <c r="AB70" i="4"/>
  <c r="AH70" i="4" s="1"/>
  <c r="CJ70" i="4" s="1"/>
  <c r="AB67" i="4"/>
  <c r="AH67" i="4" s="1"/>
  <c r="AY55" i="4"/>
  <c r="O32" i="4"/>
  <c r="AB43" i="4"/>
  <c r="AH43" i="4" s="1"/>
  <c r="AY43" i="4" s="1"/>
  <c r="AW47" i="4"/>
  <c r="AV48" i="4"/>
  <c r="CC48" i="4" s="1"/>
  <c r="AB56" i="4"/>
  <c r="AH56" i="4" s="1"/>
  <c r="H63" i="4"/>
  <c r="AG63" i="4" s="1"/>
  <c r="O74" i="4"/>
  <c r="Q74" i="4" s="1"/>
  <c r="AW46" i="4"/>
  <c r="AX47" i="4"/>
  <c r="BZ48" i="4"/>
  <c r="AV57" i="4"/>
  <c r="CC57" i="4" s="1"/>
  <c r="CD57" i="4" s="1"/>
  <c r="CE57" i="4" s="1"/>
  <c r="O66" i="4"/>
  <c r="Q66" i="4" s="1"/>
  <c r="CI69" i="4"/>
  <c r="CJ72" i="4"/>
  <c r="AD75" i="4"/>
  <c r="AE75" i="4" s="1"/>
  <c r="AF75" i="4" s="1"/>
  <c r="O25" i="4"/>
  <c r="AB38" i="4"/>
  <c r="BZ46" i="4"/>
  <c r="BZ47" i="4"/>
  <c r="AX57" i="4"/>
  <c r="H73" i="4"/>
  <c r="AG73" i="4" s="1"/>
  <c r="CI73" i="4" s="1"/>
  <c r="AB74" i="4"/>
  <c r="AH74" i="4" s="1"/>
  <c r="CJ74" i="4" s="1"/>
  <c r="O78" i="4"/>
  <c r="Q78" i="4" s="1"/>
  <c r="AB25" i="4"/>
  <c r="O31" i="4"/>
  <c r="AK31" i="4" s="1"/>
  <c r="AQ31" i="4" s="1"/>
  <c r="AB32" i="4"/>
  <c r="AB54" i="4"/>
  <c r="AH54" i="4" s="1"/>
  <c r="AY54" i="4" s="1"/>
  <c r="H65" i="4"/>
  <c r="AG65" i="4" s="1"/>
  <c r="CI65" i="4" s="1"/>
  <c r="O23" i="4"/>
  <c r="O73" i="4"/>
  <c r="Q73" i="4" s="1"/>
  <c r="AB76" i="4"/>
  <c r="AH76" i="4" s="1"/>
  <c r="H77" i="4"/>
  <c r="AG77" i="4" s="1"/>
  <c r="CI77" i="4" s="1"/>
  <c r="AB78" i="4"/>
  <c r="AH78" i="4" s="1"/>
  <c r="CJ78" i="4" s="1"/>
  <c r="AW9" i="4"/>
  <c r="CA12" i="4"/>
  <c r="CE12" i="4" s="1"/>
  <c r="CM12" i="4" s="1"/>
  <c r="CN12" i="4" s="1"/>
  <c r="CO12" i="4" s="1"/>
  <c r="AV19" i="4"/>
  <c r="CA19" i="4" s="1"/>
  <c r="CE19" i="4" s="1"/>
  <c r="CM19" i="4" s="1"/>
  <c r="CN19" i="4" s="1"/>
  <c r="CO19" i="4" s="1"/>
  <c r="CJ64" i="4"/>
  <c r="CM17" i="4"/>
  <c r="CN17" i="4" s="1"/>
  <c r="CO17" i="4" s="1"/>
  <c r="CA9" i="4"/>
  <c r="CE9" i="4" s="1"/>
  <c r="O30" i="4"/>
  <c r="O41" i="4"/>
  <c r="AK41" i="4" s="1"/>
  <c r="AQ41" i="4" s="1"/>
  <c r="O35" i="4"/>
  <c r="AV54" i="4"/>
  <c r="CC54" i="4" s="1"/>
  <c r="CD54" i="4" s="1"/>
  <c r="CE54" i="4" s="1"/>
  <c r="O70" i="4"/>
  <c r="Q70" i="4" s="1"/>
  <c r="AR70" i="4" s="1"/>
  <c r="BX70" i="4" s="1"/>
  <c r="BZ70" i="4" s="1"/>
  <c r="H79" i="4"/>
  <c r="AG79" i="4" s="1"/>
  <c r="CI79" i="4" s="1"/>
  <c r="AV3" i="4"/>
  <c r="CA3" i="4" s="1"/>
  <c r="CE3" i="4" s="1"/>
  <c r="CM3" i="4" s="1"/>
  <c r="CN3" i="4" s="1"/>
  <c r="CO3" i="4" s="1"/>
  <c r="O34" i="4"/>
  <c r="AB36" i="4"/>
  <c r="AK36" i="4" s="1"/>
  <c r="AQ36" i="4" s="1"/>
  <c r="O39" i="4"/>
  <c r="AK39" i="4" s="1"/>
  <c r="AQ39" i="4" s="1"/>
  <c r="AW42" i="4"/>
  <c r="BZ43" i="4"/>
  <c r="CC44" i="4"/>
  <c r="CD44" i="4" s="1"/>
  <c r="CE44" i="4" s="1"/>
  <c r="AB53" i="4"/>
  <c r="AH53" i="4" s="1"/>
  <c r="AY53" i="4" s="1"/>
  <c r="AW54" i="4"/>
  <c r="BZ60" i="4"/>
  <c r="H62" i="4"/>
  <c r="AG62" i="4" s="1"/>
  <c r="CI62" i="4" s="1"/>
  <c r="O65" i="4"/>
  <c r="Q65" i="4" s="1"/>
  <c r="O22" i="4"/>
  <c r="BZ42" i="4"/>
  <c r="CD42" i="4" s="1"/>
  <c r="CE42" i="4" s="1"/>
  <c r="AB47" i="4"/>
  <c r="AH47" i="4" s="1"/>
  <c r="AY47" i="4" s="1"/>
  <c r="AB48" i="4"/>
  <c r="AH48" i="4" s="1"/>
  <c r="AY48" i="4" s="1"/>
  <c r="CJ73" i="4"/>
  <c r="O27" i="4"/>
  <c r="AW59" i="4"/>
  <c r="O62" i="4"/>
  <c r="Q62" i="4" s="1"/>
  <c r="O67" i="4"/>
  <c r="Q67" i="4" s="1"/>
  <c r="O75" i="4"/>
  <c r="Q75" i="4" s="1"/>
  <c r="AW20" i="4"/>
  <c r="O28" i="4"/>
  <c r="AB35" i="4"/>
  <c r="BZ59" i="4"/>
  <c r="O69" i="4"/>
  <c r="Q69" i="4" s="1"/>
  <c r="AR69" i="4" s="1"/>
  <c r="BX69" i="4" s="1"/>
  <c r="BZ69" i="4" s="1"/>
  <c r="H74" i="4"/>
  <c r="AG74" i="4" s="1"/>
  <c r="CI74" i="4" s="1"/>
  <c r="CJ67" i="4"/>
  <c r="AE77" i="4"/>
  <c r="AF77" i="4" s="1"/>
  <c r="CK77" i="4" s="1"/>
  <c r="CK64" i="4"/>
  <c r="CJ69" i="4"/>
  <c r="AE81" i="4"/>
  <c r="AF81" i="4" s="1"/>
  <c r="CK81" i="4" s="1"/>
  <c r="CC47" i="4"/>
  <c r="AY56" i="4"/>
  <c r="AK37" i="4"/>
  <c r="AQ37" i="4" s="1"/>
  <c r="CK66" i="4"/>
  <c r="CJ80" i="4"/>
  <c r="CJ79" i="4"/>
  <c r="AY49" i="4"/>
  <c r="AY60" i="4"/>
  <c r="CK63" i="4"/>
  <c r="CK71" i="4"/>
  <c r="AE80" i="4"/>
  <c r="AF80" i="4" s="1"/>
  <c r="CK80" i="4" s="1"/>
  <c r="CK65" i="4"/>
  <c r="AW2" i="4"/>
  <c r="CM2" i="4" s="1"/>
  <c r="CN2" i="4" s="1"/>
  <c r="CO2" i="4" s="1"/>
  <c r="AW10" i="4"/>
  <c r="CM10" i="4" s="1"/>
  <c r="CN10" i="4" s="1"/>
  <c r="CO10" i="4" s="1"/>
  <c r="AW18" i="4"/>
  <c r="CM18" i="4" s="1"/>
  <c r="CN18" i="4" s="1"/>
  <c r="CO18" i="4" s="1"/>
  <c r="AX46" i="4"/>
  <c r="BZ49" i="4"/>
  <c r="BZ52" i="4"/>
  <c r="AW57" i="4"/>
  <c r="AB66" i="4"/>
  <c r="AH66" i="4" s="1"/>
  <c r="AW48" i="4"/>
  <c r="AX51" i="4"/>
  <c r="CQ53" i="4"/>
  <c r="CR53" i="4" s="1"/>
  <c r="AX54" i="4"/>
  <c r="AV59" i="4"/>
  <c r="CC59" i="4" s="1"/>
  <c r="CQ61" i="4"/>
  <c r="CR61" i="4" s="1"/>
  <c r="AV45" i="4"/>
  <c r="CC45" i="4" s="1"/>
  <c r="CD45" i="4" s="1"/>
  <c r="CE45" i="4" s="1"/>
  <c r="AW45" i="4"/>
  <c r="AV56" i="4"/>
  <c r="CC56" i="4" s="1"/>
  <c r="CD56" i="4" s="1"/>
  <c r="CE56" i="4" s="1"/>
  <c r="CQ58" i="4"/>
  <c r="CR58" i="4" s="1"/>
  <c r="AB65" i="4"/>
  <c r="AH65" i="4" s="1"/>
  <c r="CJ65" i="4" s="1"/>
  <c r="AX45" i="4"/>
  <c r="AW56" i="4"/>
  <c r="AV6" i="4"/>
  <c r="CA6" i="4" s="1"/>
  <c r="CE6" i="4" s="1"/>
  <c r="CM6" i="4" s="1"/>
  <c r="CN6" i="4" s="1"/>
  <c r="CO6" i="4" s="1"/>
  <c r="AV14" i="4"/>
  <c r="CA14" i="4" s="1"/>
  <c r="CE14" i="4" s="1"/>
  <c r="CM14" i="4" s="1"/>
  <c r="CN14" i="4" s="1"/>
  <c r="CO14" i="4" s="1"/>
  <c r="AV53" i="4"/>
  <c r="CC53" i="4" s="1"/>
  <c r="CD53" i="4" s="1"/>
  <c r="CE53" i="4" s="1"/>
  <c r="CQ55" i="4"/>
  <c r="CR55" i="4" s="1"/>
  <c r="AX56" i="4"/>
  <c r="AV61" i="4"/>
  <c r="CC61" i="4" s="1"/>
  <c r="CD61" i="4" s="1"/>
  <c r="CE61" i="4" s="1"/>
  <c r="CQ52" i="4"/>
  <c r="AW53" i="4"/>
  <c r="AW61" i="4"/>
  <c r="AX53" i="4"/>
  <c r="AV58" i="4"/>
  <c r="CC58" i="4" s="1"/>
  <c r="CD58" i="4" s="1"/>
  <c r="CE58" i="4" s="1"/>
  <c r="CQ60" i="4"/>
  <c r="CR60" i="4" s="1"/>
  <c r="AX61" i="4"/>
  <c r="AW58" i="4"/>
  <c r="AV8" i="4"/>
  <c r="CA8" i="4" s="1"/>
  <c r="CE8" i="4" s="1"/>
  <c r="CM8" i="4" s="1"/>
  <c r="CN8" i="4" s="1"/>
  <c r="CO8" i="4" s="1"/>
  <c r="AW44" i="4"/>
  <c r="CQ57" i="4"/>
  <c r="CR57" i="4" s="1"/>
  <c r="AX58" i="4"/>
  <c r="AV5" i="4"/>
  <c r="CA5" i="4" s="1"/>
  <c r="CE5" i="4" s="1"/>
  <c r="CM5" i="4" s="1"/>
  <c r="CN5" i="4" s="1"/>
  <c r="CO5" i="4" s="1"/>
  <c r="AV13" i="4"/>
  <c r="CA13" i="4" s="1"/>
  <c r="CE13" i="4" s="1"/>
  <c r="CM13" i="4" s="1"/>
  <c r="CN13" i="4" s="1"/>
  <c r="CO13" i="4" s="1"/>
  <c r="AV21" i="4"/>
  <c r="CA21" i="4" s="1"/>
  <c r="CE21" i="4" s="1"/>
  <c r="CM21" i="4" s="1"/>
  <c r="CN21" i="4" s="1"/>
  <c r="CO21" i="4" s="1"/>
  <c r="AW49" i="4"/>
  <c r="CQ54" i="4"/>
  <c r="AV60" i="4"/>
  <c r="CC60" i="4" s="1"/>
  <c r="AW60" i="4"/>
  <c r="AK26" i="3"/>
  <c r="AQ26" i="3" s="1"/>
  <c r="AW10" i="3"/>
  <c r="CA16" i="3"/>
  <c r="CE16" i="3" s="1"/>
  <c r="CM16" i="3" s="1"/>
  <c r="CN16" i="3" s="1"/>
  <c r="O25" i="3"/>
  <c r="AK25" i="3" s="1"/>
  <c r="AQ25" i="3" s="1"/>
  <c r="O38" i="3"/>
  <c r="CC62" i="3"/>
  <c r="CD62" i="3" s="1"/>
  <c r="CE62" i="3" s="1"/>
  <c r="O77" i="3"/>
  <c r="Q77" i="3" s="1"/>
  <c r="O82" i="3"/>
  <c r="Q82" i="3" s="1"/>
  <c r="AE83" i="3"/>
  <c r="AF83" i="3" s="1"/>
  <c r="O84" i="3"/>
  <c r="Q84" i="3" s="1"/>
  <c r="O86" i="3"/>
  <c r="Q86" i="3" s="1"/>
  <c r="CA10" i="3"/>
  <c r="CE10" i="3" s="1"/>
  <c r="AB25" i="3"/>
  <c r="O43" i="3"/>
  <c r="BZ53" i="3"/>
  <c r="O80" i="3"/>
  <c r="Q80" i="3" s="1"/>
  <c r="CJ82" i="3"/>
  <c r="O24" i="3"/>
  <c r="AK24" i="3" s="1"/>
  <c r="AQ24" i="3" s="1"/>
  <c r="AV51" i="3"/>
  <c r="CC51" i="3" s="1"/>
  <c r="CD51" i="3" s="1"/>
  <c r="CE51" i="3" s="1"/>
  <c r="CF51" i="3" s="1"/>
  <c r="CI69" i="3"/>
  <c r="O30" i="3"/>
  <c r="CD46" i="3"/>
  <c r="CE46" i="3" s="1"/>
  <c r="AW51" i="3"/>
  <c r="O71" i="3"/>
  <c r="Q71" i="3" s="1"/>
  <c r="AB75" i="3"/>
  <c r="AH75" i="3" s="1"/>
  <c r="CJ75" i="3" s="1"/>
  <c r="AR76" i="3"/>
  <c r="BX76" i="3" s="1"/>
  <c r="BZ76" i="3" s="1"/>
  <c r="H79" i="3"/>
  <c r="AG79" i="3" s="1"/>
  <c r="CI79" i="3" s="1"/>
  <c r="H85" i="3"/>
  <c r="AG85" i="3" s="1"/>
  <c r="H87" i="3"/>
  <c r="AG87" i="3" s="1"/>
  <c r="CI87" i="3" s="1"/>
  <c r="AW20" i="3"/>
  <c r="CM20" i="3" s="1"/>
  <c r="CN20" i="3" s="1"/>
  <c r="AB30" i="3"/>
  <c r="AV48" i="3"/>
  <c r="CC48" i="3" s="1"/>
  <c r="CD48" i="3" s="1"/>
  <c r="CE48" i="3" s="1"/>
  <c r="CO49" i="3"/>
  <c r="AX51" i="3"/>
  <c r="AV52" i="3"/>
  <c r="CC52" i="3" s="1"/>
  <c r="AX61" i="3"/>
  <c r="AB65" i="3"/>
  <c r="AH65" i="3" s="1"/>
  <c r="AY65" i="3" s="1"/>
  <c r="H70" i="3"/>
  <c r="AG70" i="3" s="1"/>
  <c r="AB78" i="3"/>
  <c r="AH78" i="3" s="1"/>
  <c r="H83" i="3"/>
  <c r="AG83" i="3" s="1"/>
  <c r="CI83" i="3" s="1"/>
  <c r="AV11" i="3"/>
  <c r="CA11" i="3" s="1"/>
  <c r="CE11" i="3" s="1"/>
  <c r="CM11" i="3" s="1"/>
  <c r="CN11" i="3" s="1"/>
  <c r="O29" i="3"/>
  <c r="AK29" i="3" s="1"/>
  <c r="AQ29" i="3" s="1"/>
  <c r="BU29" i="3" s="1"/>
  <c r="BR29" i="3" s="1"/>
  <c r="AW46" i="3"/>
  <c r="AV47" i="3"/>
  <c r="CC47" i="3" s="1"/>
  <c r="CD47" i="3" s="1"/>
  <c r="CE47" i="3" s="1"/>
  <c r="CF47" i="3" s="1"/>
  <c r="CD50" i="3"/>
  <c r="CE50" i="3" s="1"/>
  <c r="CF50" i="3" s="1"/>
  <c r="AX52" i="3"/>
  <c r="AY60" i="3"/>
  <c r="CC61" i="3"/>
  <c r="CA4" i="3"/>
  <c r="CE4" i="3" s="1"/>
  <c r="CM4" i="3" s="1"/>
  <c r="CN4" i="3" s="1"/>
  <c r="AX46" i="3"/>
  <c r="AW47" i="3"/>
  <c r="CO50" i="3"/>
  <c r="AB74" i="3"/>
  <c r="AH74" i="3" s="1"/>
  <c r="CJ74" i="3" s="1"/>
  <c r="AE82" i="3"/>
  <c r="AF82" i="3" s="1"/>
  <c r="CK82" i="3" s="1"/>
  <c r="AY56" i="3"/>
  <c r="CO60" i="3"/>
  <c r="AY64" i="3"/>
  <c r="AE86" i="3"/>
  <c r="AF86" i="3" s="1"/>
  <c r="CK86" i="3" s="1"/>
  <c r="AW18" i="3"/>
  <c r="O27" i="3"/>
  <c r="O28" i="3"/>
  <c r="AK28" i="3" s="1"/>
  <c r="AQ28" i="3" s="1"/>
  <c r="AB43" i="3"/>
  <c r="CO51" i="3"/>
  <c r="AB55" i="3"/>
  <c r="AH55" i="3" s="1"/>
  <c r="AY55" i="3" s="1"/>
  <c r="CM55" i="3" s="1"/>
  <c r="CN55" i="3" s="1"/>
  <c r="BZ59" i="3"/>
  <c r="AB77" i="3"/>
  <c r="AH77" i="3" s="1"/>
  <c r="CJ77" i="3" s="1"/>
  <c r="O83" i="3"/>
  <c r="Q83" i="3" s="1"/>
  <c r="O85" i="3"/>
  <c r="Q85" i="3" s="1"/>
  <c r="O87" i="3"/>
  <c r="Q87" i="3" s="1"/>
  <c r="CM15" i="3"/>
  <c r="CN15" i="3" s="1"/>
  <c r="AK36" i="3"/>
  <c r="AQ36" i="3" s="1"/>
  <c r="AR36" i="3" s="1"/>
  <c r="BV36" i="3" s="1"/>
  <c r="BS36" i="3" s="1"/>
  <c r="O41" i="3"/>
  <c r="AK41" i="3" s="1"/>
  <c r="AQ41" i="3" s="1"/>
  <c r="CO46" i="3"/>
  <c r="CI73" i="3"/>
  <c r="AK42" i="3"/>
  <c r="AQ42" i="3" s="1"/>
  <c r="BU42" i="3" s="1"/>
  <c r="BR42" i="3" s="1"/>
  <c r="AY49" i="3"/>
  <c r="AV58" i="3"/>
  <c r="CC58" i="3" s="1"/>
  <c r="AB71" i="3"/>
  <c r="AH71" i="3" s="1"/>
  <c r="CJ71" i="3" s="1"/>
  <c r="CJ73" i="3"/>
  <c r="AK35" i="3"/>
  <c r="AQ35" i="3" s="1"/>
  <c r="AR35" i="3" s="1"/>
  <c r="BV35" i="3" s="1"/>
  <c r="BS35" i="3" s="1"/>
  <c r="O39" i="3"/>
  <c r="AW58" i="3"/>
  <c r="CI72" i="3"/>
  <c r="CI76" i="3"/>
  <c r="CI86" i="3"/>
  <c r="AW12" i="3"/>
  <c r="CM12" i="3" s="1"/>
  <c r="CN12" i="3" s="1"/>
  <c r="AB27" i="3"/>
  <c r="AK27" i="3" s="1"/>
  <c r="AQ27" i="3" s="1"/>
  <c r="O33" i="3"/>
  <c r="AB34" i="3"/>
  <c r="O40" i="3"/>
  <c r="AB53" i="3"/>
  <c r="AH53" i="3" s="1"/>
  <c r="AY53" i="3" s="1"/>
  <c r="CC54" i="3"/>
  <c r="CD54" i="3" s="1"/>
  <c r="CE54" i="3" s="1"/>
  <c r="CF54" i="3" s="1"/>
  <c r="BZ58" i="3"/>
  <c r="AB62" i="3"/>
  <c r="AH62" i="3" s="1"/>
  <c r="AY62" i="3" s="1"/>
  <c r="H74" i="3"/>
  <c r="AG74" i="3" s="1"/>
  <c r="CI74" i="3" s="1"/>
  <c r="CJ76" i="3"/>
  <c r="AV19" i="3"/>
  <c r="CA19" i="3" s="1"/>
  <c r="CE19" i="3" s="1"/>
  <c r="CM19" i="3" s="1"/>
  <c r="CN19" i="3" s="1"/>
  <c r="O31" i="3"/>
  <c r="AK31" i="3" s="1"/>
  <c r="AQ31" i="3" s="1"/>
  <c r="AY46" i="3"/>
  <c r="AB52" i="3"/>
  <c r="AH52" i="3" s="1"/>
  <c r="AY52" i="3" s="1"/>
  <c r="AX57" i="3"/>
  <c r="O69" i="3"/>
  <c r="Q69" i="3" s="1"/>
  <c r="CJ70" i="3"/>
  <c r="O75" i="3"/>
  <c r="Q75" i="3" s="1"/>
  <c r="AR75" i="3" s="1"/>
  <c r="BX75" i="3" s="1"/>
  <c r="BZ75" i="3" s="1"/>
  <c r="AE79" i="3"/>
  <c r="AF79" i="3" s="1"/>
  <c r="CK79" i="3" s="1"/>
  <c r="CA3" i="3"/>
  <c r="CE3" i="3" s="1"/>
  <c r="CM3" i="3" s="1"/>
  <c r="CN3" i="3" s="1"/>
  <c r="O32" i="3"/>
  <c r="AK32" i="3" s="1"/>
  <c r="AQ32" i="3" s="1"/>
  <c r="AB47" i="3"/>
  <c r="AH47" i="3" s="1"/>
  <c r="AY47" i="3" s="1"/>
  <c r="AB48" i="3"/>
  <c r="AH48" i="3" s="1"/>
  <c r="AY48" i="3" s="1"/>
  <c r="O37" i="3"/>
  <c r="AK37" i="3" s="1"/>
  <c r="AQ37" i="3" s="1"/>
  <c r="AB40" i="3"/>
  <c r="AK40" i="3" s="1"/>
  <c r="AQ40" i="3" s="1"/>
  <c r="CK80" i="3"/>
  <c r="CJ86" i="3"/>
  <c r="CM2" i="3"/>
  <c r="CN2" i="3" s="1"/>
  <c r="AY61" i="3"/>
  <c r="AK39" i="3"/>
  <c r="AQ39" i="3" s="1"/>
  <c r="BZ63" i="3"/>
  <c r="AX63" i="3"/>
  <c r="AW63" i="3"/>
  <c r="AV63" i="3"/>
  <c r="CC63" i="3" s="1"/>
  <c r="AE88" i="3"/>
  <c r="AF88" i="3" s="1"/>
  <c r="CK88" i="3" s="1"/>
  <c r="AK38" i="3"/>
  <c r="AQ38" i="3" s="1"/>
  <c r="AY51" i="3"/>
  <c r="CK73" i="3"/>
  <c r="AY63" i="3"/>
  <c r="AR78" i="3"/>
  <c r="CJ79" i="3"/>
  <c r="AE84" i="3"/>
  <c r="AF84" i="3" s="1"/>
  <c r="CK84" i="3" s="1"/>
  <c r="BU26" i="3"/>
  <c r="BR26" i="3" s="1"/>
  <c r="AR26" i="3"/>
  <c r="BV26" i="3" s="1"/>
  <c r="BS26" i="3" s="1"/>
  <c r="AR69" i="3"/>
  <c r="BX69" i="3" s="1"/>
  <c r="BZ69" i="3" s="1"/>
  <c r="CI81" i="3"/>
  <c r="CI85" i="3"/>
  <c r="CJ87" i="3"/>
  <c r="AK34" i="3"/>
  <c r="AQ34" i="3" s="1"/>
  <c r="BU35" i="3"/>
  <c r="BR35" i="3" s="1"/>
  <c r="CD52" i="3"/>
  <c r="CE52" i="3" s="1"/>
  <c r="CK70" i="3"/>
  <c r="AB33" i="3"/>
  <c r="AK33" i="3" s="1"/>
  <c r="AQ33" i="3" s="1"/>
  <c r="CJ69" i="3"/>
  <c r="CK81" i="3"/>
  <c r="AB57" i="3"/>
  <c r="AH57" i="3" s="1"/>
  <c r="AY57" i="3" s="1"/>
  <c r="AK43" i="3"/>
  <c r="AQ43" i="3" s="1"/>
  <c r="AY54" i="3"/>
  <c r="CK83" i="3"/>
  <c r="AK30" i="3"/>
  <c r="AQ30" i="3" s="1"/>
  <c r="AR73" i="3"/>
  <c r="CG73" i="3" s="1"/>
  <c r="AR42" i="3"/>
  <c r="BV42" i="3" s="1"/>
  <c r="BS42" i="3" s="1"/>
  <c r="AY50" i="3"/>
  <c r="CM50" i="3" s="1"/>
  <c r="CN50" i="3" s="1"/>
  <c r="CD61" i="3"/>
  <c r="CE61" i="3" s="1"/>
  <c r="CF61" i="3" s="1"/>
  <c r="CM61" i="3" s="1"/>
  <c r="CN61" i="3" s="1"/>
  <c r="CK72" i="3"/>
  <c r="O74" i="3"/>
  <c r="Q74" i="3" s="1"/>
  <c r="CI78" i="3"/>
  <c r="CK75" i="3"/>
  <c r="CJ78" i="3"/>
  <c r="AE87" i="3"/>
  <c r="AF87" i="3" s="1"/>
  <c r="CK87" i="3" s="1"/>
  <c r="CI88" i="3"/>
  <c r="AW52" i="3"/>
  <c r="CO57" i="3"/>
  <c r="CO65" i="3"/>
  <c r="AV49" i="3"/>
  <c r="CC49" i="3" s="1"/>
  <c r="CD49" i="3" s="1"/>
  <c r="CE49" i="3" s="1"/>
  <c r="AB85" i="3"/>
  <c r="AH85" i="3" s="1"/>
  <c r="AR85" i="3" s="1"/>
  <c r="AV9" i="3"/>
  <c r="CA9" i="3" s="1"/>
  <c r="CE9" i="3" s="1"/>
  <c r="CM9" i="3" s="1"/>
  <c r="CN9" i="3" s="1"/>
  <c r="AV17" i="3"/>
  <c r="CA17" i="3" s="1"/>
  <c r="CE17" i="3" s="1"/>
  <c r="CM17" i="3" s="1"/>
  <c r="CN17" i="3" s="1"/>
  <c r="AW49" i="3"/>
  <c r="AV60" i="3"/>
  <c r="CC60" i="3" s="1"/>
  <c r="CD60" i="3" s="1"/>
  <c r="CE60" i="3" s="1"/>
  <c r="CO62" i="3"/>
  <c r="AB72" i="3"/>
  <c r="AH72" i="3" s="1"/>
  <c r="AR72" i="3" s="1"/>
  <c r="CO48" i="3"/>
  <c r="AX49" i="3"/>
  <c r="AW60" i="3"/>
  <c r="AV6" i="3"/>
  <c r="CA6" i="3" s="1"/>
  <c r="CE6" i="3" s="1"/>
  <c r="CM6" i="3" s="1"/>
  <c r="CN6" i="3" s="1"/>
  <c r="AV14" i="3"/>
  <c r="CA14" i="3" s="1"/>
  <c r="CE14" i="3" s="1"/>
  <c r="CM14" i="3" s="1"/>
  <c r="CN14" i="3" s="1"/>
  <c r="AV57" i="3"/>
  <c r="CC57" i="3" s="1"/>
  <c r="CD57" i="3" s="1"/>
  <c r="CE57" i="3" s="1"/>
  <c r="CO59" i="3"/>
  <c r="AX60" i="3"/>
  <c r="AV65" i="3"/>
  <c r="CC65" i="3" s="1"/>
  <c r="CD65" i="3" s="1"/>
  <c r="CE65" i="3" s="1"/>
  <c r="CO53" i="3"/>
  <c r="CO56" i="3"/>
  <c r="AW57" i="3"/>
  <c r="AW65" i="3"/>
  <c r="CO64" i="3"/>
  <c r="AV8" i="3"/>
  <c r="CA8" i="3" s="1"/>
  <c r="CE8" i="3" s="1"/>
  <c r="CM8" i="3" s="1"/>
  <c r="CN8" i="3" s="1"/>
  <c r="AW48" i="3"/>
  <c r="AV59" i="3"/>
  <c r="CC59" i="3" s="1"/>
  <c r="CD59" i="3" s="1"/>
  <c r="CE59" i="3" s="1"/>
  <c r="CO61" i="3"/>
  <c r="CO47" i="3"/>
  <c r="AX48" i="3"/>
  <c r="AV53" i="3"/>
  <c r="CC53" i="3" s="1"/>
  <c r="CD53" i="3" s="1"/>
  <c r="CE53" i="3" s="1"/>
  <c r="AV56" i="3"/>
  <c r="CC56" i="3" s="1"/>
  <c r="CD56" i="3" s="1"/>
  <c r="CE56" i="3" s="1"/>
  <c r="CF56" i="3" s="1"/>
  <c r="AW59" i="3"/>
  <c r="AV5" i="3"/>
  <c r="CA5" i="3" s="1"/>
  <c r="CE5" i="3" s="1"/>
  <c r="CM5" i="3" s="1"/>
  <c r="CN5" i="3" s="1"/>
  <c r="AV13" i="3"/>
  <c r="CA13" i="3" s="1"/>
  <c r="CE13" i="3" s="1"/>
  <c r="CM13" i="3" s="1"/>
  <c r="CN13" i="3" s="1"/>
  <c r="AV21" i="3"/>
  <c r="CA21" i="3" s="1"/>
  <c r="CE21" i="3" s="1"/>
  <c r="CM21" i="3" s="1"/>
  <c r="CN21" i="3" s="1"/>
  <c r="AW53" i="3"/>
  <c r="CO55" i="3"/>
  <c r="AW56" i="3"/>
  <c r="CO58" i="3"/>
  <c r="AV64" i="3"/>
  <c r="CC64" i="3" s="1"/>
  <c r="CO52" i="3"/>
  <c r="AW64" i="3"/>
  <c r="V131" i="1"/>
  <c r="X131" i="1" s="1"/>
  <c r="O122" i="1"/>
  <c r="AN122" i="1" s="1"/>
  <c r="CP122" i="1" s="1"/>
  <c r="O120" i="1"/>
  <c r="AN120" i="1" s="1"/>
  <c r="CP120" i="1" s="1"/>
  <c r="AI70" i="1"/>
  <c r="AI120" i="1"/>
  <c r="AO120" i="1" s="1"/>
  <c r="CQ120" i="1" s="1"/>
  <c r="O113" i="1"/>
  <c r="AN113" i="1" s="1"/>
  <c r="CP113" i="1" s="1"/>
  <c r="AI74" i="1"/>
  <c r="CJ92" i="1"/>
  <c r="O131" i="1"/>
  <c r="AN131" i="1" s="1"/>
  <c r="CP131" i="1" s="1"/>
  <c r="AI131" i="1"/>
  <c r="AO131" i="1" s="1"/>
  <c r="CQ131" i="1" s="1"/>
  <c r="CR115" i="1"/>
  <c r="O114" i="1"/>
  <c r="AN114" i="1" s="1"/>
  <c r="CP114" i="1" s="1"/>
  <c r="O116" i="1"/>
  <c r="AN116" i="1" s="1"/>
  <c r="CP116" i="1" s="1"/>
  <c r="BD54" i="1"/>
  <c r="O118" i="1"/>
  <c r="AN118" i="1" s="1"/>
  <c r="CP118" i="1" s="1"/>
  <c r="CR119" i="1"/>
  <c r="AL124" i="1"/>
  <c r="AM124" i="1" s="1"/>
  <c r="CR124" i="1" s="1"/>
  <c r="AI122" i="1"/>
  <c r="AO122" i="1" s="1"/>
  <c r="CQ122" i="1" s="1"/>
  <c r="AI107" i="1"/>
  <c r="AO107" i="1" s="1"/>
  <c r="BF107" i="1" s="1"/>
  <c r="AI78" i="1"/>
  <c r="AI82" i="1"/>
  <c r="AI86" i="1"/>
  <c r="AI118" i="1"/>
  <c r="AO118" i="1" s="1"/>
  <c r="CQ118" i="1" s="1"/>
  <c r="CQ128" i="1"/>
  <c r="V69" i="1"/>
  <c r="V73" i="1"/>
  <c r="V77" i="1"/>
  <c r="V81" i="1"/>
  <c r="O121" i="1"/>
  <c r="AN121" i="1" s="1"/>
  <c r="CP121" i="1" s="1"/>
  <c r="AI95" i="1"/>
  <c r="AO95" i="1" s="1"/>
  <c r="BF95" i="1" s="1"/>
  <c r="AI101" i="1"/>
  <c r="AO101" i="1" s="1"/>
  <c r="BF101" i="1" s="1"/>
  <c r="O115" i="1"/>
  <c r="AN115" i="1" s="1"/>
  <c r="CP115" i="1" s="1"/>
  <c r="CH57" i="1"/>
  <c r="CL57" i="1" s="1"/>
  <c r="AI97" i="1"/>
  <c r="AO97" i="1" s="1"/>
  <c r="BF97" i="1" s="1"/>
  <c r="BE92" i="1"/>
  <c r="O125" i="1"/>
  <c r="AN125" i="1" s="1"/>
  <c r="CP125" i="1" s="1"/>
  <c r="V114" i="1"/>
  <c r="X114" i="1" s="1"/>
  <c r="O119" i="1"/>
  <c r="AN119" i="1" s="1"/>
  <c r="CP119" i="1" s="1"/>
  <c r="AI67" i="1"/>
  <c r="AI71" i="1"/>
  <c r="AI123" i="1"/>
  <c r="AO123" i="1" s="1"/>
  <c r="CQ123" i="1" s="1"/>
  <c r="O127" i="1"/>
  <c r="AN127" i="1" s="1"/>
  <c r="CP127" i="1" s="1"/>
  <c r="CH45" i="1"/>
  <c r="CL45" i="1" s="1"/>
  <c r="CT45" i="1" s="1"/>
  <c r="CU45" i="1" s="1"/>
  <c r="V70" i="1"/>
  <c r="AR70" i="1" s="1"/>
  <c r="AX70" i="1" s="1"/>
  <c r="V74" i="1"/>
  <c r="AL123" i="1"/>
  <c r="AM123" i="1" s="1"/>
  <c r="CR123" i="1" s="1"/>
  <c r="O128" i="1"/>
  <c r="AN128" i="1" s="1"/>
  <c r="CP128" i="1" s="1"/>
  <c r="AI108" i="1"/>
  <c r="AO108" i="1" s="1"/>
  <c r="BF108" i="1" s="1"/>
  <c r="BE94" i="1"/>
  <c r="V85" i="1"/>
  <c r="AI121" i="1"/>
  <c r="AO121" i="1" s="1"/>
  <c r="CQ121" i="1" s="1"/>
  <c r="AI119" i="1"/>
  <c r="AO119" i="1" s="1"/>
  <c r="CQ119" i="1" s="1"/>
  <c r="CH61" i="1"/>
  <c r="CL61" i="1" s="1"/>
  <c r="O112" i="1"/>
  <c r="AN112" i="1" s="1"/>
  <c r="CP112" i="1" s="1"/>
  <c r="AI115" i="1"/>
  <c r="AO115" i="1" s="1"/>
  <c r="CQ115" i="1" s="1"/>
  <c r="O123" i="1"/>
  <c r="AN123" i="1" s="1"/>
  <c r="CP123" i="1" s="1"/>
  <c r="O126" i="1"/>
  <c r="AN126" i="1" s="1"/>
  <c r="CP126" i="1" s="1"/>
  <c r="AI89" i="1"/>
  <c r="AO89" i="1" s="1"/>
  <c r="BF89" i="1" s="1"/>
  <c r="AI98" i="1"/>
  <c r="AO98" i="1" s="1"/>
  <c r="BF98" i="1" s="1"/>
  <c r="BC94" i="1"/>
  <c r="CJ94" i="1" s="1"/>
  <c r="CK94" i="1" s="1"/>
  <c r="CL94" i="1" s="1"/>
  <c r="BD94" i="1"/>
  <c r="BC99" i="1"/>
  <c r="CJ99" i="1" s="1"/>
  <c r="CG99" i="1"/>
  <c r="CG92" i="1"/>
  <c r="BE99" i="1"/>
  <c r="BE102" i="1"/>
  <c r="AI93" i="1"/>
  <c r="AO93" i="1" s="1"/>
  <c r="BF93" i="1" s="1"/>
  <c r="AI106" i="1"/>
  <c r="AO106" i="1" s="1"/>
  <c r="BF106" i="1" s="1"/>
  <c r="AI96" i="1"/>
  <c r="AO96" i="1" s="1"/>
  <c r="BF96" i="1" s="1"/>
  <c r="BD90" i="1"/>
  <c r="BC106" i="1"/>
  <c r="CJ106" i="1" s="1"/>
  <c r="BE90" i="1"/>
  <c r="CG106" i="1"/>
  <c r="AI102" i="1"/>
  <c r="AO102" i="1" s="1"/>
  <c r="BF102" i="1" s="1"/>
  <c r="BD106" i="1"/>
  <c r="AI91" i="1"/>
  <c r="AO91" i="1" s="1"/>
  <c r="BF91" i="1" s="1"/>
  <c r="CV104" i="1"/>
  <c r="CH47" i="1"/>
  <c r="CL47" i="1" s="1"/>
  <c r="AL125" i="1"/>
  <c r="AM125" i="1" s="1"/>
  <c r="CR125" i="1" s="1"/>
  <c r="AI69" i="1"/>
  <c r="AI73" i="1"/>
  <c r="AI90" i="1"/>
  <c r="AO90" i="1" s="1"/>
  <c r="BF90" i="1" s="1"/>
  <c r="BD92" i="1"/>
  <c r="AI94" i="1"/>
  <c r="AO94" i="1" s="1"/>
  <c r="BF94" i="1" s="1"/>
  <c r="AI100" i="1"/>
  <c r="AO100" i="1" s="1"/>
  <c r="BF100" i="1" s="1"/>
  <c r="CV103" i="1"/>
  <c r="AI116" i="1"/>
  <c r="AO116" i="1" s="1"/>
  <c r="CQ116" i="1" s="1"/>
  <c r="CR118" i="1"/>
  <c r="BC104" i="1"/>
  <c r="CJ104" i="1" s="1"/>
  <c r="CV102" i="1"/>
  <c r="V113" i="1"/>
  <c r="X113" i="1" s="1"/>
  <c r="V129" i="1"/>
  <c r="X129" i="1" s="1"/>
  <c r="AI99" i="1"/>
  <c r="AO99" i="1" s="1"/>
  <c r="BF99" i="1" s="1"/>
  <c r="CG104" i="1"/>
  <c r="CV101" i="1"/>
  <c r="V115" i="1"/>
  <c r="X115" i="1" s="1"/>
  <c r="BD47" i="1"/>
  <c r="V68" i="1"/>
  <c r="V72" i="1"/>
  <c r="V76" i="1"/>
  <c r="AI77" i="1"/>
  <c r="V80" i="1"/>
  <c r="AI81" i="1"/>
  <c r="V84" i="1"/>
  <c r="AI85" i="1"/>
  <c r="AI103" i="1"/>
  <c r="AO103" i="1" s="1"/>
  <c r="BF103" i="1" s="1"/>
  <c r="BD104" i="1"/>
  <c r="CV100" i="1"/>
  <c r="V117" i="1"/>
  <c r="X117" i="1" s="1"/>
  <c r="AI126" i="1"/>
  <c r="AO126" i="1" s="1"/>
  <c r="CQ126" i="1" s="1"/>
  <c r="O130" i="1"/>
  <c r="AN130" i="1" s="1"/>
  <c r="CH58" i="1"/>
  <c r="CL58" i="1" s="1"/>
  <c r="AI68" i="1"/>
  <c r="AI72" i="1"/>
  <c r="AI76" i="1"/>
  <c r="CV99" i="1"/>
  <c r="V125" i="1"/>
  <c r="X125" i="1" s="1"/>
  <c r="V127" i="1"/>
  <c r="X127" i="1" s="1"/>
  <c r="BC108" i="1"/>
  <c r="CJ108" i="1" s="1"/>
  <c r="CV98" i="1"/>
  <c r="CR113" i="1"/>
  <c r="V119" i="1"/>
  <c r="X119" i="1" s="1"/>
  <c r="V123" i="1"/>
  <c r="X123" i="1" s="1"/>
  <c r="CG108" i="1"/>
  <c r="CV97" i="1"/>
  <c r="V121" i="1"/>
  <c r="X121" i="1" s="1"/>
  <c r="AI125" i="1"/>
  <c r="AO125" i="1" s="1"/>
  <c r="AI127" i="1"/>
  <c r="AO127" i="1" s="1"/>
  <c r="CQ127" i="1" s="1"/>
  <c r="V130" i="1"/>
  <c r="X130" i="1" s="1"/>
  <c r="V67" i="1"/>
  <c r="V71" i="1"/>
  <c r="V75" i="1"/>
  <c r="V79" i="1"/>
  <c r="AI80" i="1"/>
  <c r="V83" i="1"/>
  <c r="AI84" i="1"/>
  <c r="BD108" i="1"/>
  <c r="CV96" i="1"/>
  <c r="CR117" i="1"/>
  <c r="AL120" i="1"/>
  <c r="AM120" i="1" s="1"/>
  <c r="CR120" i="1" s="1"/>
  <c r="AL129" i="1"/>
  <c r="AM129" i="1" s="1"/>
  <c r="CR129" i="1" s="1"/>
  <c r="AI75" i="1"/>
  <c r="AI92" i="1"/>
  <c r="AO92" i="1" s="1"/>
  <c r="BF92" i="1" s="1"/>
  <c r="CV95" i="1"/>
  <c r="V112" i="1"/>
  <c r="X112" i="1" s="1"/>
  <c r="AI117" i="1"/>
  <c r="AO117" i="1" s="1"/>
  <c r="CQ117" i="1" s="1"/>
  <c r="CV94" i="1"/>
  <c r="CH52" i="1"/>
  <c r="CL52" i="1" s="1"/>
  <c r="CV89" i="1"/>
  <c r="CV93" i="1"/>
  <c r="V128" i="1"/>
  <c r="X128" i="1" s="1"/>
  <c r="V78" i="1"/>
  <c r="AI79" i="1"/>
  <c r="V82" i="1"/>
  <c r="AI83" i="1"/>
  <c r="V86" i="1"/>
  <c r="CV108" i="1"/>
  <c r="CV92" i="1"/>
  <c r="BE97" i="1"/>
  <c r="AI105" i="1"/>
  <c r="AO105" i="1" s="1"/>
  <c r="BF105" i="1" s="1"/>
  <c r="CV107" i="1"/>
  <c r="CV91" i="1"/>
  <c r="AI112" i="1"/>
  <c r="AO112" i="1" s="1"/>
  <c r="CQ112" i="1" s="1"/>
  <c r="V116" i="1"/>
  <c r="X116" i="1" s="1"/>
  <c r="V118" i="1"/>
  <c r="X118" i="1" s="1"/>
  <c r="V124" i="1"/>
  <c r="X124" i="1" s="1"/>
  <c r="V126" i="1"/>
  <c r="X126" i="1" s="1"/>
  <c r="O129" i="1"/>
  <c r="AN129" i="1" s="1"/>
  <c r="CP129" i="1" s="1"/>
  <c r="CV106" i="1"/>
  <c r="CV90" i="1"/>
  <c r="V122" i="1"/>
  <c r="X122" i="1" s="1"/>
  <c r="AL128" i="1"/>
  <c r="AM128" i="1" s="1"/>
  <c r="CR128" i="1" s="1"/>
  <c r="AI104" i="1"/>
  <c r="AO104" i="1" s="1"/>
  <c r="BF104" i="1" s="1"/>
  <c r="CR114" i="1"/>
  <c r="O117" i="1"/>
  <c r="AN117" i="1" s="1"/>
  <c r="CP117" i="1" s="1"/>
  <c r="V120" i="1"/>
  <c r="X120" i="1" s="1"/>
  <c r="AI124" i="1"/>
  <c r="AO124" i="1" s="1"/>
  <c r="CQ124" i="1" s="1"/>
  <c r="AL126" i="1"/>
  <c r="AM126" i="1" s="1"/>
  <c r="CR126" i="1" s="1"/>
  <c r="AL122" i="1"/>
  <c r="AM122" i="1" s="1"/>
  <c r="CR122" i="1" s="1"/>
  <c r="AL131" i="1"/>
  <c r="AM131" i="1" s="1"/>
  <c r="CR121" i="1"/>
  <c r="CR112" i="1"/>
  <c r="AI113" i="1"/>
  <c r="AO113" i="1" s="1"/>
  <c r="AL116" i="1"/>
  <c r="AM116" i="1" s="1"/>
  <c r="AI114" i="1"/>
  <c r="AO114" i="1" s="1"/>
  <c r="CQ114" i="1" s="1"/>
  <c r="BC96" i="1"/>
  <c r="CJ96" i="1" s="1"/>
  <c r="BC101" i="1"/>
  <c r="CJ101" i="1" s="1"/>
  <c r="BC89" i="1"/>
  <c r="CJ89" i="1" s="1"/>
  <c r="CG96" i="1"/>
  <c r="CG101" i="1"/>
  <c r="CG89" i="1"/>
  <c r="BD96" i="1"/>
  <c r="BD101" i="1"/>
  <c r="BC103" i="1"/>
  <c r="CJ103" i="1" s="1"/>
  <c r="BD89" i="1"/>
  <c r="BC91" i="1"/>
  <c r="CJ91" i="1" s="1"/>
  <c r="BC98" i="1"/>
  <c r="CJ98" i="1" s="1"/>
  <c r="CG103" i="1"/>
  <c r="CG91" i="1"/>
  <c r="CG98" i="1"/>
  <c r="BD103" i="1"/>
  <c r="BC105" i="1"/>
  <c r="CJ105" i="1" s="1"/>
  <c r="BD91" i="1"/>
  <c r="BC93" i="1"/>
  <c r="CJ93" i="1" s="1"/>
  <c r="BD98" i="1"/>
  <c r="CG105" i="1"/>
  <c r="CG93" i="1"/>
  <c r="BD105" i="1"/>
  <c r="BC107" i="1"/>
  <c r="CJ107" i="1" s="1"/>
  <c r="BD93" i="1"/>
  <c r="BC95" i="1"/>
  <c r="CJ95" i="1" s="1"/>
  <c r="BC100" i="1"/>
  <c r="CJ100" i="1" s="1"/>
  <c r="CG107" i="1"/>
  <c r="CG95" i="1"/>
  <c r="CG100" i="1"/>
  <c r="BD107" i="1"/>
  <c r="BD95" i="1"/>
  <c r="BC97" i="1"/>
  <c r="CJ97" i="1" s="1"/>
  <c r="BD100" i="1"/>
  <c r="BC102" i="1"/>
  <c r="CJ102" i="1" s="1"/>
  <c r="BC90" i="1"/>
  <c r="CJ90" i="1" s="1"/>
  <c r="CK90" i="1" s="1"/>
  <c r="CL90" i="1" s="1"/>
  <c r="CG97" i="1"/>
  <c r="CG102" i="1"/>
  <c r="BD55" i="1"/>
  <c r="BC63" i="1"/>
  <c r="CH63" i="1" s="1"/>
  <c r="CL63" i="1" s="1"/>
  <c r="CT63" i="1" s="1"/>
  <c r="CU63" i="1" s="1"/>
  <c r="CH55" i="1"/>
  <c r="CL55" i="1" s="1"/>
  <c r="CH60" i="1"/>
  <c r="CL60" i="1" s="1"/>
  <c r="CH56" i="1"/>
  <c r="CL56" i="1" s="1"/>
  <c r="BD57" i="1"/>
  <c r="CH53" i="1"/>
  <c r="CL53" i="1" s="1"/>
  <c r="CH49" i="1"/>
  <c r="CL49" i="1" s="1"/>
  <c r="CH54" i="1"/>
  <c r="CL54" i="1" s="1"/>
  <c r="BD60" i="1"/>
  <c r="BD61" i="1"/>
  <c r="BD49" i="1"/>
  <c r="BC51" i="1"/>
  <c r="CH51" i="1" s="1"/>
  <c r="CL51" i="1" s="1"/>
  <c r="CT51" i="1" s="1"/>
  <c r="CU51" i="1" s="1"/>
  <c r="BD58" i="1"/>
  <c r="BD56" i="1"/>
  <c r="BC46" i="1"/>
  <c r="CH46" i="1" s="1"/>
  <c r="CL46" i="1" s="1"/>
  <c r="CT46" i="1" s="1"/>
  <c r="CU46" i="1" s="1"/>
  <c r="BC62" i="1"/>
  <c r="CH62" i="1" s="1"/>
  <c r="CL62" i="1" s="1"/>
  <c r="CT62" i="1" s="1"/>
  <c r="CU62" i="1" s="1"/>
  <c r="BD53" i="1"/>
  <c r="BC48" i="1"/>
  <c r="CH48" i="1" s="1"/>
  <c r="CL48" i="1" s="1"/>
  <c r="CT48" i="1" s="1"/>
  <c r="CU48" i="1" s="1"/>
  <c r="BC64" i="1"/>
  <c r="CH64" i="1" s="1"/>
  <c r="CL64" i="1" s="1"/>
  <c r="CT64" i="1" s="1"/>
  <c r="CU64" i="1" s="1"/>
  <c r="BC50" i="1"/>
  <c r="CH50" i="1" s="1"/>
  <c r="CL50" i="1" s="1"/>
  <c r="CT50" i="1" s="1"/>
  <c r="CU50" i="1" s="1"/>
  <c r="BC59" i="1"/>
  <c r="CH59" i="1" s="1"/>
  <c r="CL59" i="1" s="1"/>
  <c r="CT59" i="1" s="1"/>
  <c r="CU59" i="1" s="1"/>
  <c r="DB26" i="6" l="1"/>
  <c r="CF32" i="6"/>
  <c r="CI32" i="6" s="1"/>
  <c r="CF29" i="6"/>
  <c r="CI29" i="6" s="1"/>
  <c r="CF25" i="6"/>
  <c r="CI25" i="6" s="1"/>
  <c r="AX31" i="6"/>
  <c r="CV2" i="6"/>
  <c r="CW2" i="6" s="1"/>
  <c r="AX39" i="6"/>
  <c r="AX40" i="6"/>
  <c r="CV24" i="6"/>
  <c r="CW24" i="6" s="1"/>
  <c r="G27" i="6"/>
  <c r="AX37" i="6"/>
  <c r="AX30" i="6"/>
  <c r="CF31" i="6"/>
  <c r="CF33" i="6"/>
  <c r="CI33" i="6" s="1"/>
  <c r="AX36" i="6"/>
  <c r="AX42" i="6"/>
  <c r="CQ32" i="6"/>
  <c r="CZ32" i="6" s="1"/>
  <c r="DA32" i="6" s="1"/>
  <c r="D27" i="6"/>
  <c r="G26" i="6"/>
  <c r="BC25" i="6"/>
  <c r="BB25" i="6"/>
  <c r="CJ25" i="6" s="1"/>
  <c r="CN25" i="6" s="1"/>
  <c r="AX41" i="6"/>
  <c r="D26" i="6"/>
  <c r="H26" i="6"/>
  <c r="BC26" i="6"/>
  <c r="BB26" i="6"/>
  <c r="AX43" i="6"/>
  <c r="AX25" i="6"/>
  <c r="AX28" i="6"/>
  <c r="H27" i="6"/>
  <c r="CF40" i="6"/>
  <c r="AR82" i="3"/>
  <c r="BX82" i="3" s="1"/>
  <c r="BZ82" i="3" s="1"/>
  <c r="CQ26" i="6"/>
  <c r="CZ26" i="6" s="1"/>
  <c r="DA26" i="6" s="1"/>
  <c r="CQ36" i="6"/>
  <c r="CZ36" i="6" s="1"/>
  <c r="DA36" i="6" s="1"/>
  <c r="CQ28" i="6"/>
  <c r="CZ28" i="6" s="1"/>
  <c r="DA28" i="6" s="1"/>
  <c r="CF41" i="6"/>
  <c r="CI41" i="6" s="1"/>
  <c r="CF35" i="6"/>
  <c r="CI35" i="6" s="1"/>
  <c r="CQ27" i="6"/>
  <c r="CZ27" i="6" s="1"/>
  <c r="DA27" i="6" s="1"/>
  <c r="CQ24" i="6"/>
  <c r="CZ24" i="6" s="1"/>
  <c r="DA24" i="6" s="1"/>
  <c r="CF34" i="6"/>
  <c r="CI34" i="6" s="1"/>
  <c r="CF38" i="6"/>
  <c r="CI38" i="6" s="1"/>
  <c r="CF43" i="6"/>
  <c r="CQ39" i="6"/>
  <c r="CF37" i="6"/>
  <c r="CF30" i="6"/>
  <c r="CI30" i="6" s="1"/>
  <c r="CF42" i="6"/>
  <c r="CI42" i="6" s="1"/>
  <c r="I49" i="6"/>
  <c r="G49" i="6"/>
  <c r="B74" i="6"/>
  <c r="I73" i="6"/>
  <c r="I159" i="6"/>
  <c r="G159" i="6"/>
  <c r="H73" i="6"/>
  <c r="B5" i="6"/>
  <c r="I4" i="6"/>
  <c r="CB4" i="6" s="1"/>
  <c r="I27" i="6"/>
  <c r="CB27" i="6" s="1"/>
  <c r="D73" i="6"/>
  <c r="C29" i="6"/>
  <c r="H28" i="6"/>
  <c r="D206" i="6"/>
  <c r="B207" i="6"/>
  <c r="I207" i="6" s="1"/>
  <c r="B160" i="6"/>
  <c r="D159" i="6"/>
  <c r="D142" i="6"/>
  <c r="B116" i="6"/>
  <c r="I116" i="6" s="1"/>
  <c r="D115" i="6"/>
  <c r="D93" i="6"/>
  <c r="B94" i="6"/>
  <c r="I94" i="6" s="1"/>
  <c r="D49" i="6"/>
  <c r="B50" i="6"/>
  <c r="BC4" i="1"/>
  <c r="CH4" i="1" s="1"/>
  <c r="CL4" i="1" s="1"/>
  <c r="CT4" i="1" s="1"/>
  <c r="CU4" i="1" s="1"/>
  <c r="BC12" i="1"/>
  <c r="CH12" i="1" s="1"/>
  <c r="CL12" i="1" s="1"/>
  <c r="CT12" i="1" s="1"/>
  <c r="CU12" i="1" s="1"/>
  <c r="BC20" i="1"/>
  <c r="CH20" i="1" s="1"/>
  <c r="CL20" i="1" s="1"/>
  <c r="CT20" i="1" s="1"/>
  <c r="CU20" i="1" s="1"/>
  <c r="BC5" i="1"/>
  <c r="CH5" i="1" s="1"/>
  <c r="CL5" i="1" s="1"/>
  <c r="CT5" i="1" s="1"/>
  <c r="CU5" i="1" s="1"/>
  <c r="BC15" i="1"/>
  <c r="CH15" i="1" s="1"/>
  <c r="CL15" i="1" s="1"/>
  <c r="CT15" i="1" s="1"/>
  <c r="CU15" i="1" s="1"/>
  <c r="BC18" i="1"/>
  <c r="CH18" i="1" s="1"/>
  <c r="CL18" i="1" s="1"/>
  <c r="CT18" i="1" s="1"/>
  <c r="CU18" i="1" s="1"/>
  <c r="BC13" i="1"/>
  <c r="CH13" i="1" s="1"/>
  <c r="CL13" i="1" s="1"/>
  <c r="CT13" i="1" s="1"/>
  <c r="CU13" i="1" s="1"/>
  <c r="BC19" i="1"/>
  <c r="CH19" i="1" s="1"/>
  <c r="CL19" i="1" s="1"/>
  <c r="CT19" i="1" s="1"/>
  <c r="CU19" i="1" s="1"/>
  <c r="BC2" i="1"/>
  <c r="CH2" i="1" s="1"/>
  <c r="CL2" i="1" s="1"/>
  <c r="CT2" i="1" s="1"/>
  <c r="CU2" i="1" s="1"/>
  <c r="CT52" i="1"/>
  <c r="CU52" i="1" s="1"/>
  <c r="AR86" i="3"/>
  <c r="BX86" i="3" s="1"/>
  <c r="BZ86" i="3" s="1"/>
  <c r="AR41" i="3"/>
  <c r="BV41" i="3" s="1"/>
  <c r="BS41" i="3" s="1"/>
  <c r="BU41" i="3"/>
  <c r="BR41" i="3" s="1"/>
  <c r="AR84" i="3"/>
  <c r="BX84" i="3" s="1"/>
  <c r="BZ84" i="3" s="1"/>
  <c r="AR83" i="3"/>
  <c r="AR71" i="1"/>
  <c r="AX71" i="1" s="1"/>
  <c r="AY71" i="1" s="1"/>
  <c r="CC71" i="1" s="1"/>
  <c r="BZ71" i="1" s="1"/>
  <c r="CF59" i="3"/>
  <c r="CM59" i="3" s="1"/>
  <c r="CN59" i="3" s="1"/>
  <c r="AR81" i="3"/>
  <c r="CG81" i="3" s="1"/>
  <c r="AR71" i="3"/>
  <c r="AR68" i="4"/>
  <c r="CG68" i="4" s="1"/>
  <c r="AY131" i="1"/>
  <c r="AR74" i="1"/>
  <c r="AX74" i="1" s="1"/>
  <c r="AY74" i="1" s="1"/>
  <c r="CC74" i="1" s="1"/>
  <c r="BZ74" i="1" s="1"/>
  <c r="CG76" i="3"/>
  <c r="AR88" i="3"/>
  <c r="BX88" i="3" s="1"/>
  <c r="BZ88" i="3" s="1"/>
  <c r="AR70" i="3"/>
  <c r="CG70" i="3" s="1"/>
  <c r="CD64" i="3"/>
  <c r="CE64" i="3" s="1"/>
  <c r="CF64" i="3" s="1"/>
  <c r="CM64" i="3" s="1"/>
  <c r="CN64" i="3" s="1"/>
  <c r="BZ35" i="3"/>
  <c r="CM35" i="3" s="1"/>
  <c r="CN35" i="3" s="1"/>
  <c r="AR80" i="3"/>
  <c r="CG80" i="3" s="1"/>
  <c r="CF46" i="3"/>
  <c r="CD55" i="4"/>
  <c r="CE55" i="4" s="1"/>
  <c r="CF55" i="4" s="1"/>
  <c r="CM55" i="4" s="1"/>
  <c r="CN55" i="4" s="1"/>
  <c r="CO55" i="4" s="1"/>
  <c r="CM56" i="3"/>
  <c r="CN56" i="3" s="1"/>
  <c r="CF57" i="3"/>
  <c r="CM57" i="3" s="1"/>
  <c r="CN57" i="3" s="1"/>
  <c r="CF60" i="3"/>
  <c r="CM60" i="3" s="1"/>
  <c r="CN60" i="3" s="1"/>
  <c r="BU36" i="3"/>
  <c r="BR36" i="3" s="1"/>
  <c r="BZ36" i="3" s="1"/>
  <c r="CM36" i="3" s="1"/>
  <c r="CN36" i="3" s="1"/>
  <c r="CF62" i="3"/>
  <c r="AR63" i="4"/>
  <c r="BX63" i="4" s="1"/>
  <c r="BZ63" i="4" s="1"/>
  <c r="AR71" i="4"/>
  <c r="AK29" i="4"/>
  <c r="AQ29" i="4" s="1"/>
  <c r="AR80" i="1"/>
  <c r="AX80" i="1" s="1"/>
  <c r="CB80" i="1" s="1"/>
  <c r="BY80" i="1" s="1"/>
  <c r="AR29" i="3"/>
  <c r="BV29" i="3" s="1"/>
  <c r="BS29" i="3" s="1"/>
  <c r="CD43" i="4"/>
  <c r="CE43" i="4" s="1"/>
  <c r="CF43" i="4" s="1"/>
  <c r="CM43" i="4" s="1"/>
  <c r="CN43" i="4" s="1"/>
  <c r="CO43" i="4" s="1"/>
  <c r="AK24" i="4"/>
  <c r="AQ24" i="4" s="1"/>
  <c r="BU24" i="4" s="1"/>
  <c r="BR24" i="4" s="1"/>
  <c r="CD46" i="4"/>
  <c r="CE46" i="4" s="1"/>
  <c r="CM7" i="4"/>
  <c r="CN7" i="4" s="1"/>
  <c r="CO7" i="4" s="1"/>
  <c r="CI63" i="4"/>
  <c r="CI68" i="4"/>
  <c r="AR76" i="4"/>
  <c r="CG76" i="4" s="1"/>
  <c r="CF51" i="4"/>
  <c r="CD49" i="4"/>
  <c r="CE49" i="4" s="1"/>
  <c r="CF49" i="4" s="1"/>
  <c r="CM49" i="4" s="1"/>
  <c r="CN49" i="4" s="1"/>
  <c r="CO49" i="4" s="1"/>
  <c r="CM11" i="4"/>
  <c r="CN11" i="4" s="1"/>
  <c r="CO11" i="4" s="1"/>
  <c r="AK35" i="4"/>
  <c r="AQ35" i="4" s="1"/>
  <c r="AK22" i="4"/>
  <c r="AQ22" i="4" s="1"/>
  <c r="AR22" i="4" s="1"/>
  <c r="BV22" i="4" s="1"/>
  <c r="BS22" i="4" s="1"/>
  <c r="CF56" i="4"/>
  <c r="AR67" i="4"/>
  <c r="BX67" i="4" s="1"/>
  <c r="BZ67" i="4" s="1"/>
  <c r="AR64" i="4"/>
  <c r="CG64" i="4" s="1"/>
  <c r="AR72" i="4"/>
  <c r="CG72" i="4" s="1"/>
  <c r="CF44" i="4"/>
  <c r="CM44" i="4" s="1"/>
  <c r="CN44" i="4" s="1"/>
  <c r="CO44" i="4" s="1"/>
  <c r="AK30" i="4"/>
  <c r="AQ30" i="4" s="1"/>
  <c r="AR30" i="4" s="1"/>
  <c r="BV30" i="4" s="1"/>
  <c r="BS30" i="4" s="1"/>
  <c r="CD59" i="4"/>
  <c r="CE59" i="4" s="1"/>
  <c r="CF59" i="4" s="1"/>
  <c r="CM59" i="4" s="1"/>
  <c r="CN59" i="4" s="1"/>
  <c r="CO59" i="4" s="1"/>
  <c r="CF50" i="4"/>
  <c r="CM50" i="4" s="1"/>
  <c r="CN50" i="4" s="1"/>
  <c r="CO50" i="4" s="1"/>
  <c r="BU29" i="4"/>
  <c r="BR29" i="4" s="1"/>
  <c r="AR29" i="4"/>
  <c r="BV29" i="4" s="1"/>
  <c r="BS29" i="4" s="1"/>
  <c r="BZ29" i="4" s="1"/>
  <c r="CM29" i="4" s="1"/>
  <c r="CN29" i="4" s="1"/>
  <c r="CP29" i="4" s="1"/>
  <c r="BU26" i="4"/>
  <c r="BR26" i="4" s="1"/>
  <c r="AR26" i="4"/>
  <c r="BV26" i="4" s="1"/>
  <c r="BS26" i="4" s="1"/>
  <c r="CI71" i="4"/>
  <c r="AK32" i="4"/>
  <c r="AQ32" i="4" s="1"/>
  <c r="AR32" i="4" s="1"/>
  <c r="BV32" i="4" s="1"/>
  <c r="BS32" i="4" s="1"/>
  <c r="AK27" i="4"/>
  <c r="AQ27" i="4" s="1"/>
  <c r="AR27" i="4" s="1"/>
  <c r="BV27" i="4" s="1"/>
  <c r="BS27" i="4" s="1"/>
  <c r="AR40" i="4"/>
  <c r="BV40" i="4" s="1"/>
  <c r="BS40" i="4" s="1"/>
  <c r="BZ40" i="4" s="1"/>
  <c r="CM40" i="4" s="1"/>
  <c r="CN40" i="4" s="1"/>
  <c r="CP40" i="4" s="1"/>
  <c r="AR79" i="4"/>
  <c r="CG79" i="4" s="1"/>
  <c r="AK38" i="4"/>
  <c r="AQ38" i="4" s="1"/>
  <c r="AR38" i="4" s="1"/>
  <c r="BV38" i="4" s="1"/>
  <c r="BS38" i="4" s="1"/>
  <c r="CF46" i="4"/>
  <c r="CM46" i="4" s="1"/>
  <c r="CN46" i="4" s="1"/>
  <c r="CO46" i="4" s="1"/>
  <c r="CM4" i="4"/>
  <c r="CN4" i="4" s="1"/>
  <c r="CO4" i="4" s="1"/>
  <c r="AR81" i="4"/>
  <c r="CG81" i="4" s="1"/>
  <c r="CF42" i="4"/>
  <c r="CM42" i="4" s="1"/>
  <c r="CN42" i="4" s="1"/>
  <c r="CO42" i="4" s="1"/>
  <c r="AK23" i="4"/>
  <c r="AQ23" i="4" s="1"/>
  <c r="AR23" i="4" s="1"/>
  <c r="BV23" i="4" s="1"/>
  <c r="BS23" i="4" s="1"/>
  <c r="CM56" i="4"/>
  <c r="CN56" i="4" s="1"/>
  <c r="CO56" i="4" s="1"/>
  <c r="AK34" i="4"/>
  <c r="AQ34" i="4" s="1"/>
  <c r="CF58" i="4"/>
  <c r="CJ76" i="4"/>
  <c r="CG69" i="4"/>
  <c r="CH69" i="4" s="1"/>
  <c r="CM69" i="4" s="1"/>
  <c r="CN69" i="4" s="1"/>
  <c r="CP69" i="4" s="1"/>
  <c r="CD60" i="4"/>
  <c r="CE60" i="4" s="1"/>
  <c r="CF60" i="4" s="1"/>
  <c r="CM60" i="4" s="1"/>
  <c r="CN60" i="4" s="1"/>
  <c r="CO60" i="4" s="1"/>
  <c r="CD47" i="4"/>
  <c r="CE47" i="4" s="1"/>
  <c r="CF47" i="4" s="1"/>
  <c r="CM47" i="4" s="1"/>
  <c r="CN47" i="4" s="1"/>
  <c r="CO47" i="4" s="1"/>
  <c r="AK25" i="4"/>
  <c r="AQ25" i="4" s="1"/>
  <c r="AR78" i="4"/>
  <c r="BX78" i="4" s="1"/>
  <c r="BZ78" i="4" s="1"/>
  <c r="CD52" i="4"/>
  <c r="CE52" i="4" s="1"/>
  <c r="CF52" i="4" s="1"/>
  <c r="CM52" i="4" s="1"/>
  <c r="CN52" i="4" s="1"/>
  <c r="CO52" i="4" s="1"/>
  <c r="CF54" i="4"/>
  <c r="CM54" i="4" s="1"/>
  <c r="CN54" i="4" s="1"/>
  <c r="CO54" i="4" s="1"/>
  <c r="CK75" i="4"/>
  <c r="AR75" i="4"/>
  <c r="CG75" i="4" s="1"/>
  <c r="BU39" i="4"/>
  <c r="BR39" i="4" s="1"/>
  <c r="AR39" i="4"/>
  <c r="BV39" i="4" s="1"/>
  <c r="BS39" i="4" s="1"/>
  <c r="BU31" i="4"/>
  <c r="BR31" i="4" s="1"/>
  <c r="AR31" i="4"/>
  <c r="BV31" i="4" s="1"/>
  <c r="BS31" i="4" s="1"/>
  <c r="CM58" i="4"/>
  <c r="CN58" i="4" s="1"/>
  <c r="CO58" i="4" s="1"/>
  <c r="BX68" i="4"/>
  <c r="BZ68" i="4" s="1"/>
  <c r="CH68" i="4" s="1"/>
  <c r="CM68" i="4" s="1"/>
  <c r="CN68" i="4" s="1"/>
  <c r="CP68" i="4" s="1"/>
  <c r="AR62" i="4"/>
  <c r="BX62" i="4" s="1"/>
  <c r="BZ62" i="4" s="1"/>
  <c r="CD48" i="4"/>
  <c r="CE48" i="4" s="1"/>
  <c r="CF48" i="4" s="1"/>
  <c r="CM48" i="4" s="1"/>
  <c r="CN48" i="4" s="1"/>
  <c r="CO48" i="4" s="1"/>
  <c r="AR74" i="4"/>
  <c r="CG74" i="4" s="1"/>
  <c r="CM9" i="4"/>
  <c r="CN9" i="4" s="1"/>
  <c r="CO9" i="4" s="1"/>
  <c r="CF53" i="4"/>
  <c r="CM53" i="4" s="1"/>
  <c r="CN53" i="4" s="1"/>
  <c r="CO53" i="4" s="1"/>
  <c r="CG70" i="4"/>
  <c r="CH70" i="4" s="1"/>
  <c r="CM70" i="4" s="1"/>
  <c r="CN70" i="4" s="1"/>
  <c r="CP70" i="4" s="1"/>
  <c r="AK28" i="4"/>
  <c r="AQ28" i="4" s="1"/>
  <c r="AR66" i="4"/>
  <c r="BX66" i="4" s="1"/>
  <c r="BZ66" i="4" s="1"/>
  <c r="CM20" i="4"/>
  <c r="CN20" i="4" s="1"/>
  <c r="CO20" i="4" s="1"/>
  <c r="AR73" i="4"/>
  <c r="AR77" i="4"/>
  <c r="BX77" i="4" s="1"/>
  <c r="BZ77" i="4" s="1"/>
  <c r="AR65" i="4"/>
  <c r="CG65" i="4" s="1"/>
  <c r="BU41" i="4"/>
  <c r="BR41" i="4" s="1"/>
  <c r="AR41" i="4"/>
  <c r="BV41" i="4" s="1"/>
  <c r="BS41" i="4" s="1"/>
  <c r="CG63" i="4"/>
  <c r="CF45" i="4"/>
  <c r="CM45" i="4" s="1"/>
  <c r="CN45" i="4" s="1"/>
  <c r="CO45" i="4" s="1"/>
  <c r="CJ66" i="4"/>
  <c r="BU35" i="4"/>
  <c r="BR35" i="4" s="1"/>
  <c r="AR35" i="4"/>
  <c r="BV35" i="4" s="1"/>
  <c r="BS35" i="4" s="1"/>
  <c r="CF61" i="4"/>
  <c r="CM61" i="4" s="1"/>
  <c r="CN61" i="4" s="1"/>
  <c r="CO61" i="4" s="1"/>
  <c r="CF57" i="4"/>
  <c r="CM57" i="4" s="1"/>
  <c r="CN57" i="4" s="1"/>
  <c r="CO57" i="4" s="1"/>
  <c r="BU36" i="4"/>
  <c r="BR36" i="4" s="1"/>
  <c r="AR36" i="4"/>
  <c r="BV36" i="4" s="1"/>
  <c r="BS36" i="4" s="1"/>
  <c r="AR80" i="4"/>
  <c r="BU38" i="4"/>
  <c r="BR38" i="4" s="1"/>
  <c r="BU33" i="4"/>
  <c r="BR33" i="4" s="1"/>
  <c r="AR33" i="4"/>
  <c r="BV33" i="4" s="1"/>
  <c r="BS33" i="4" s="1"/>
  <c r="CM51" i="4"/>
  <c r="CN51" i="4" s="1"/>
  <c r="CO51" i="4" s="1"/>
  <c r="BX76" i="4"/>
  <c r="BZ76" i="4" s="1"/>
  <c r="CH76" i="4" s="1"/>
  <c r="CM76" i="4" s="1"/>
  <c r="CN76" i="4" s="1"/>
  <c r="CP76" i="4" s="1"/>
  <c r="BU37" i="4"/>
  <c r="BR37" i="4" s="1"/>
  <c r="AR37" i="4"/>
  <c r="BV37" i="4" s="1"/>
  <c r="BS37" i="4" s="1"/>
  <c r="CG71" i="4"/>
  <c r="BX71" i="4"/>
  <c r="BZ71" i="4" s="1"/>
  <c r="BU31" i="3"/>
  <c r="BR31" i="3" s="1"/>
  <c r="AR31" i="3"/>
  <c r="BV31" i="3" s="1"/>
  <c r="BS31" i="3" s="1"/>
  <c r="BU24" i="3"/>
  <c r="BR24" i="3" s="1"/>
  <c r="AR24" i="3"/>
  <c r="BV24" i="3" s="1"/>
  <c r="BS24" i="3" s="1"/>
  <c r="BZ24" i="3" s="1"/>
  <c r="CM24" i="3" s="1"/>
  <c r="CN24" i="3" s="1"/>
  <c r="AR32" i="3"/>
  <c r="BV32" i="3" s="1"/>
  <c r="BS32" i="3" s="1"/>
  <c r="BU32" i="3"/>
  <c r="BR32" i="3" s="1"/>
  <c r="AR74" i="3"/>
  <c r="CG74" i="3" s="1"/>
  <c r="CI70" i="3"/>
  <c r="CD58" i="3"/>
  <c r="CE58" i="3" s="1"/>
  <c r="CF58" i="3" s="1"/>
  <c r="CM58" i="3" s="1"/>
  <c r="CN58" i="3" s="1"/>
  <c r="CM46" i="3"/>
  <c r="CN46" i="3" s="1"/>
  <c r="CF65" i="3"/>
  <c r="CM65" i="3" s="1"/>
  <c r="CN65" i="3" s="1"/>
  <c r="CF49" i="3"/>
  <c r="CM49" i="3" s="1"/>
  <c r="CN49" i="3" s="1"/>
  <c r="CM62" i="3"/>
  <c r="CN62" i="3" s="1"/>
  <c r="CF53" i="3"/>
  <c r="CM53" i="3" s="1"/>
  <c r="CN53" i="3" s="1"/>
  <c r="CG82" i="3"/>
  <c r="CH82" i="3" s="1"/>
  <c r="CM82" i="3" s="1"/>
  <c r="CN82" i="3" s="1"/>
  <c r="BX73" i="3"/>
  <c r="BZ73" i="3" s="1"/>
  <c r="CH73" i="3" s="1"/>
  <c r="CM73" i="3" s="1"/>
  <c r="CN73" i="3" s="1"/>
  <c r="CM51" i="3"/>
  <c r="CN51" i="3" s="1"/>
  <c r="AR79" i="3"/>
  <c r="AR77" i="3"/>
  <c r="BX77" i="3" s="1"/>
  <c r="BZ77" i="3" s="1"/>
  <c r="CD63" i="3"/>
  <c r="CE63" i="3" s="1"/>
  <c r="CF63" i="3" s="1"/>
  <c r="CM63" i="3" s="1"/>
  <c r="CN63" i="3" s="1"/>
  <c r="CM54" i="3"/>
  <c r="CN54" i="3" s="1"/>
  <c r="CM10" i="3"/>
  <c r="CN10" i="3" s="1"/>
  <c r="BX85" i="3"/>
  <c r="BZ85" i="3" s="1"/>
  <c r="CG85" i="3"/>
  <c r="BU37" i="3"/>
  <c r="BR37" i="3" s="1"/>
  <c r="AR37" i="3"/>
  <c r="BV37" i="3" s="1"/>
  <c r="BS37" i="3" s="1"/>
  <c r="CG72" i="3"/>
  <c r="BX72" i="3"/>
  <c r="BZ72" i="3" s="1"/>
  <c r="CJ85" i="3"/>
  <c r="BU39" i="3"/>
  <c r="BR39" i="3" s="1"/>
  <c r="AR39" i="3"/>
  <c r="BV39" i="3" s="1"/>
  <c r="BS39" i="3" s="1"/>
  <c r="BU33" i="3"/>
  <c r="BR33" i="3" s="1"/>
  <c r="AR33" i="3"/>
  <c r="BV33" i="3" s="1"/>
  <c r="BS33" i="3" s="1"/>
  <c r="CG78" i="3"/>
  <c r="BX78" i="3"/>
  <c r="BZ78" i="3" s="1"/>
  <c r="CG75" i="3"/>
  <c r="CH75" i="3" s="1"/>
  <c r="CM75" i="3" s="1"/>
  <c r="CN75" i="3" s="1"/>
  <c r="BU38" i="3"/>
  <c r="BR38" i="3" s="1"/>
  <c r="AR38" i="3"/>
  <c r="BV38" i="3" s="1"/>
  <c r="BS38" i="3" s="1"/>
  <c r="CG71" i="3"/>
  <c r="BX71" i="3"/>
  <c r="BZ71" i="3" s="1"/>
  <c r="BU40" i="3"/>
  <c r="BR40" i="3" s="1"/>
  <c r="AR40" i="3"/>
  <c r="BV40" i="3" s="1"/>
  <c r="BS40" i="3" s="1"/>
  <c r="BX80" i="3"/>
  <c r="BZ80" i="3" s="1"/>
  <c r="CH80" i="3" s="1"/>
  <c r="CM80" i="3" s="1"/>
  <c r="CN80" i="3" s="1"/>
  <c r="CF48" i="3"/>
  <c r="CM48" i="3" s="1"/>
  <c r="CN48" i="3" s="1"/>
  <c r="CF52" i="3"/>
  <c r="CM52" i="3" s="1"/>
  <c r="CN52" i="3" s="1"/>
  <c r="CJ72" i="3"/>
  <c r="BZ41" i="3"/>
  <c r="CM41" i="3" s="1"/>
  <c r="CN41" i="3" s="1"/>
  <c r="BU30" i="3"/>
  <c r="BR30" i="3" s="1"/>
  <c r="AR30" i="3"/>
  <c r="BV30" i="3" s="1"/>
  <c r="BS30" i="3" s="1"/>
  <c r="BU43" i="3"/>
  <c r="BR43" i="3" s="1"/>
  <c r="BZ43" i="3" s="1"/>
  <c r="CM43" i="3" s="1"/>
  <c r="CN43" i="3" s="1"/>
  <c r="AR43" i="3"/>
  <c r="BV43" i="3" s="1"/>
  <c r="BS43" i="3" s="1"/>
  <c r="CG86" i="3"/>
  <c r="CH86" i="3" s="1"/>
  <c r="CM86" i="3" s="1"/>
  <c r="CN86" i="3" s="1"/>
  <c r="BZ42" i="3"/>
  <c r="CM42" i="3" s="1"/>
  <c r="CN42" i="3" s="1"/>
  <c r="BU28" i="3"/>
  <c r="BR28" i="3" s="1"/>
  <c r="AR28" i="3"/>
  <c r="BV28" i="3" s="1"/>
  <c r="BS28" i="3" s="1"/>
  <c r="AR87" i="3"/>
  <c r="AR34" i="3"/>
  <c r="BV34" i="3" s="1"/>
  <c r="BS34" i="3" s="1"/>
  <c r="BU34" i="3"/>
  <c r="BR34" i="3" s="1"/>
  <c r="BZ34" i="3" s="1"/>
  <c r="CM34" i="3" s="1"/>
  <c r="CN34" i="3" s="1"/>
  <c r="BZ26" i="3"/>
  <c r="CM26" i="3" s="1"/>
  <c r="CN26" i="3" s="1"/>
  <c r="AR25" i="3"/>
  <c r="BV25" i="3" s="1"/>
  <c r="BS25" i="3" s="1"/>
  <c r="BU25" i="3"/>
  <c r="BR25" i="3" s="1"/>
  <c r="BU27" i="3"/>
  <c r="BR27" i="3" s="1"/>
  <c r="AR27" i="3"/>
  <c r="BV27" i="3" s="1"/>
  <c r="BS27" i="3" s="1"/>
  <c r="CM47" i="3"/>
  <c r="CN47" i="3" s="1"/>
  <c r="CG69" i="3"/>
  <c r="CH69" i="3" s="1"/>
  <c r="CM69" i="3" s="1"/>
  <c r="CN69" i="3" s="1"/>
  <c r="CH76" i="3"/>
  <c r="CM76" i="3" s="1"/>
  <c r="CN76" i="3" s="1"/>
  <c r="BZ29" i="3"/>
  <c r="CM29" i="3" s="1"/>
  <c r="CN29" i="3" s="1"/>
  <c r="CG84" i="3"/>
  <c r="CH84" i="3" s="1"/>
  <c r="CM84" i="3" s="1"/>
  <c r="CN84" i="3" s="1"/>
  <c r="CK92" i="1"/>
  <c r="CL92" i="1" s="1"/>
  <c r="CM92" i="1" s="1"/>
  <c r="CT92" i="1" s="1"/>
  <c r="CU92" i="1" s="1"/>
  <c r="AR69" i="1"/>
  <c r="AX69" i="1" s="1"/>
  <c r="CB69" i="1" s="1"/>
  <c r="BY69" i="1" s="1"/>
  <c r="AY123" i="1"/>
  <c r="CE123" i="1" s="1"/>
  <c r="CG123" i="1" s="1"/>
  <c r="CT54" i="1"/>
  <c r="CU54" i="1" s="1"/>
  <c r="AR78" i="1"/>
  <c r="AX78" i="1" s="1"/>
  <c r="AY78" i="1" s="1"/>
  <c r="CC78" i="1" s="1"/>
  <c r="BZ78" i="1" s="1"/>
  <c r="AR86" i="1"/>
  <c r="AX86" i="1" s="1"/>
  <c r="CB86" i="1" s="1"/>
  <c r="BY86" i="1" s="1"/>
  <c r="AR82" i="1"/>
  <c r="AX82" i="1" s="1"/>
  <c r="CB82" i="1" s="1"/>
  <c r="BY82" i="1" s="1"/>
  <c r="AR85" i="1"/>
  <c r="AX85" i="1" s="1"/>
  <c r="AY85" i="1" s="1"/>
  <c r="CC85" i="1" s="1"/>
  <c r="BZ85" i="1" s="1"/>
  <c r="AY115" i="1"/>
  <c r="CN115" i="1" s="1"/>
  <c r="AY118" i="1"/>
  <c r="CE118" i="1" s="1"/>
  <c r="CG118" i="1" s="1"/>
  <c r="AR84" i="1"/>
  <c r="AX84" i="1" s="1"/>
  <c r="CB84" i="1" s="1"/>
  <c r="BY84" i="1" s="1"/>
  <c r="AR79" i="1"/>
  <c r="AX79" i="1" s="1"/>
  <c r="CB79" i="1" s="1"/>
  <c r="BY79" i="1" s="1"/>
  <c r="AR77" i="1"/>
  <c r="AX77" i="1" s="1"/>
  <c r="AY77" i="1" s="1"/>
  <c r="CC77" i="1" s="1"/>
  <c r="BZ77" i="1" s="1"/>
  <c r="AY125" i="1"/>
  <c r="CN125" i="1" s="1"/>
  <c r="AR73" i="1"/>
  <c r="AX73" i="1" s="1"/>
  <c r="AY73" i="1" s="1"/>
  <c r="CC73" i="1" s="1"/>
  <c r="BZ73" i="1" s="1"/>
  <c r="CK99" i="1"/>
  <c r="CL99" i="1" s="1"/>
  <c r="CM99" i="1" s="1"/>
  <c r="CT99" i="1" s="1"/>
  <c r="CU99" i="1" s="1"/>
  <c r="AR81" i="1"/>
  <c r="AX81" i="1" s="1"/>
  <c r="CM94" i="1"/>
  <c r="CT94" i="1" s="1"/>
  <c r="CU94" i="1" s="1"/>
  <c r="AY117" i="1"/>
  <c r="CN117" i="1" s="1"/>
  <c r="AR75" i="1"/>
  <c r="AX75" i="1" s="1"/>
  <c r="CB75" i="1" s="1"/>
  <c r="BY75" i="1" s="1"/>
  <c r="AR76" i="1"/>
  <c r="AX76" i="1" s="1"/>
  <c r="CB76" i="1" s="1"/>
  <c r="BY76" i="1" s="1"/>
  <c r="AR67" i="1"/>
  <c r="AX67" i="1" s="1"/>
  <c r="AY67" i="1" s="1"/>
  <c r="CC67" i="1" s="1"/>
  <c r="BZ67" i="1" s="1"/>
  <c r="AR83" i="1"/>
  <c r="AX83" i="1" s="1"/>
  <c r="CB83" i="1" s="1"/>
  <c r="BY83" i="1" s="1"/>
  <c r="CQ125" i="1"/>
  <c r="AY124" i="1"/>
  <c r="CE124" i="1" s="1"/>
  <c r="CG124" i="1" s="1"/>
  <c r="CT57" i="1"/>
  <c r="CU57" i="1" s="1"/>
  <c r="AY128" i="1"/>
  <c r="CE128" i="1" s="1"/>
  <c r="CG128" i="1" s="1"/>
  <c r="AY119" i="1"/>
  <c r="CE119" i="1" s="1"/>
  <c r="CG119" i="1" s="1"/>
  <c r="AY129" i="1"/>
  <c r="CN129" i="1" s="1"/>
  <c r="AY120" i="1"/>
  <c r="CE120" i="1" s="1"/>
  <c r="CG120" i="1" s="1"/>
  <c r="CT61" i="1"/>
  <c r="CU61" i="1" s="1"/>
  <c r="AY127" i="1"/>
  <c r="CE127" i="1" s="1"/>
  <c r="CG127" i="1" s="1"/>
  <c r="AR72" i="1"/>
  <c r="AX72" i="1" s="1"/>
  <c r="CB72" i="1" s="1"/>
  <c r="BY72" i="1" s="1"/>
  <c r="CK102" i="1"/>
  <c r="CL102" i="1" s="1"/>
  <c r="CM102" i="1" s="1"/>
  <c r="CT102" i="1" s="1"/>
  <c r="CU102" i="1" s="1"/>
  <c r="CK93" i="1"/>
  <c r="CL93" i="1" s="1"/>
  <c r="CM93" i="1" s="1"/>
  <c r="CT93" i="1" s="1"/>
  <c r="CU93" i="1" s="1"/>
  <c r="CK89" i="1"/>
  <c r="CL89" i="1" s="1"/>
  <c r="CM89" i="1" s="1"/>
  <c r="CT89" i="1" s="1"/>
  <c r="CU89" i="1" s="1"/>
  <c r="AY112" i="1"/>
  <c r="CE112" i="1" s="1"/>
  <c r="CG112" i="1" s="1"/>
  <c r="AY116" i="1"/>
  <c r="CN116" i="1" s="1"/>
  <c r="AR68" i="1"/>
  <c r="AX68" i="1" s="1"/>
  <c r="CB68" i="1" s="1"/>
  <c r="BY68" i="1" s="1"/>
  <c r="AY121" i="1"/>
  <c r="CE121" i="1" s="1"/>
  <c r="CG121" i="1" s="1"/>
  <c r="AY130" i="1"/>
  <c r="CN130" i="1" s="1"/>
  <c r="CK95" i="1"/>
  <c r="CL95" i="1" s="1"/>
  <c r="CM95" i="1" s="1"/>
  <c r="CT95" i="1" s="1"/>
  <c r="CU95" i="1" s="1"/>
  <c r="CK103" i="1"/>
  <c r="CL103" i="1" s="1"/>
  <c r="CM103" i="1" s="1"/>
  <c r="CT103" i="1" s="1"/>
  <c r="CU103" i="1" s="1"/>
  <c r="CK106" i="1"/>
  <c r="CL106" i="1" s="1"/>
  <c r="CM106" i="1" s="1"/>
  <c r="CT106" i="1" s="1"/>
  <c r="CU106" i="1" s="1"/>
  <c r="CK104" i="1"/>
  <c r="CL104" i="1" s="1"/>
  <c r="CM104" i="1" s="1"/>
  <c r="CT104" i="1" s="1"/>
  <c r="CU104" i="1" s="1"/>
  <c r="CM90" i="1"/>
  <c r="CT90" i="1" s="1"/>
  <c r="CU90" i="1" s="1"/>
  <c r="CT47" i="1"/>
  <c r="CU47" i="1" s="1"/>
  <c r="CT55" i="1"/>
  <c r="CU55" i="1" s="1"/>
  <c r="CK101" i="1"/>
  <c r="CL101" i="1" s="1"/>
  <c r="CM101" i="1" s="1"/>
  <c r="CT101" i="1" s="1"/>
  <c r="CU101" i="1" s="1"/>
  <c r="CK97" i="1"/>
  <c r="CL97" i="1" s="1"/>
  <c r="CM97" i="1" s="1"/>
  <c r="CT97" i="1" s="1"/>
  <c r="CU97" i="1" s="1"/>
  <c r="CT58" i="1"/>
  <c r="CU58" i="1" s="1"/>
  <c r="CT49" i="1"/>
  <c r="CU49" i="1" s="1"/>
  <c r="CK96" i="1"/>
  <c r="CL96" i="1" s="1"/>
  <c r="CM96" i="1" s="1"/>
  <c r="CT96" i="1" s="1"/>
  <c r="CU96" i="1" s="1"/>
  <c r="AY113" i="1"/>
  <c r="CE113" i="1" s="1"/>
  <c r="CG113" i="1" s="1"/>
  <c r="CK108" i="1"/>
  <c r="CL108" i="1" s="1"/>
  <c r="CM108" i="1" s="1"/>
  <c r="CT108" i="1" s="1"/>
  <c r="CU108" i="1" s="1"/>
  <c r="CK98" i="1"/>
  <c r="CL98" i="1" s="1"/>
  <c r="CM98" i="1" s="1"/>
  <c r="CT98" i="1" s="1"/>
  <c r="CU98" i="1" s="1"/>
  <c r="CK100" i="1"/>
  <c r="CL100" i="1" s="1"/>
  <c r="CM100" i="1" s="1"/>
  <c r="CT100" i="1" s="1"/>
  <c r="CU100" i="1" s="1"/>
  <c r="CK91" i="1"/>
  <c r="CL91" i="1" s="1"/>
  <c r="CM91" i="1" s="1"/>
  <c r="CT91" i="1" s="1"/>
  <c r="CU91" i="1" s="1"/>
  <c r="CR116" i="1"/>
  <c r="CT60" i="1"/>
  <c r="CU60" i="1" s="1"/>
  <c r="CP130" i="1"/>
  <c r="CE131" i="1"/>
  <c r="CG131" i="1" s="1"/>
  <c r="CN131" i="1"/>
  <c r="CQ113" i="1"/>
  <c r="AY126" i="1"/>
  <c r="CR131" i="1"/>
  <c r="AY122" i="1"/>
  <c r="AY114" i="1"/>
  <c r="CK107" i="1"/>
  <c r="CL107" i="1" s="1"/>
  <c r="CM107" i="1" s="1"/>
  <c r="CT107" i="1" s="1"/>
  <c r="CU107" i="1" s="1"/>
  <c r="CK105" i="1"/>
  <c r="CL105" i="1" s="1"/>
  <c r="CM105" i="1" s="1"/>
  <c r="CT105" i="1" s="1"/>
  <c r="CU105" i="1" s="1"/>
  <c r="CB70" i="1"/>
  <c r="BY70" i="1" s="1"/>
  <c r="AY70" i="1"/>
  <c r="CC70" i="1" s="1"/>
  <c r="BZ70" i="1" s="1"/>
  <c r="AY86" i="1"/>
  <c r="CC86" i="1" s="1"/>
  <c r="BZ86" i="1" s="1"/>
  <c r="CT56" i="1"/>
  <c r="CU56" i="1" s="1"/>
  <c r="CT53" i="1"/>
  <c r="CU53" i="1" s="1"/>
  <c r="DB27" i="6" l="1"/>
  <c r="CI37" i="6"/>
  <c r="CQ37" i="6" s="1"/>
  <c r="CZ37" i="6" s="1"/>
  <c r="DA37" i="6" s="1"/>
  <c r="CI43" i="6"/>
  <c r="CQ43" i="6" s="1"/>
  <c r="CZ43" i="6" s="1"/>
  <c r="DA43" i="6" s="1"/>
  <c r="CI31" i="6"/>
  <c r="CQ31" i="6" s="1"/>
  <c r="CZ31" i="6" s="1"/>
  <c r="DA31" i="6" s="1"/>
  <c r="CI40" i="6"/>
  <c r="CQ40" i="6" s="1"/>
  <c r="CZ40" i="6" s="1"/>
  <c r="DA40" i="6" s="1"/>
  <c r="CQ25" i="6"/>
  <c r="CZ25" i="6" s="1"/>
  <c r="DA25" i="6" s="1"/>
  <c r="CQ29" i="6"/>
  <c r="CZ29" i="6" s="1"/>
  <c r="DA29" i="6" s="1"/>
  <c r="CQ33" i="6"/>
  <c r="CZ33" i="6" s="1"/>
  <c r="DA33" i="6" s="1"/>
  <c r="CJ26" i="6"/>
  <c r="CN26" i="6" s="1"/>
  <c r="CV26" i="6" s="1"/>
  <c r="CW26" i="6" s="1"/>
  <c r="CV25" i="6"/>
  <c r="CW25" i="6" s="1"/>
  <c r="CZ39" i="6"/>
  <c r="DA39" i="6" s="1"/>
  <c r="CQ35" i="6"/>
  <c r="CZ35" i="6" s="1"/>
  <c r="DA35" i="6" s="1"/>
  <c r="CQ41" i="6"/>
  <c r="CZ41" i="6" s="1"/>
  <c r="DA41" i="6" s="1"/>
  <c r="BC27" i="6"/>
  <c r="BB27" i="6"/>
  <c r="CJ27" i="6" s="1"/>
  <c r="CN27" i="6" s="1"/>
  <c r="CV27" i="6" s="1"/>
  <c r="CW27" i="6" s="1"/>
  <c r="BB4" i="6"/>
  <c r="CJ4" i="6" s="1"/>
  <c r="CN4" i="6" s="1"/>
  <c r="CV4" i="6" s="1"/>
  <c r="CW4" i="6" s="1"/>
  <c r="BC4" i="6"/>
  <c r="CQ42" i="6"/>
  <c r="CZ42" i="6" s="1"/>
  <c r="DA42" i="6" s="1"/>
  <c r="BX70" i="3"/>
  <c r="BZ70" i="3" s="1"/>
  <c r="CH70" i="3" s="1"/>
  <c r="CQ38" i="6"/>
  <c r="CZ38" i="6" s="1"/>
  <c r="DA38" i="6" s="1"/>
  <c r="CQ34" i="6"/>
  <c r="CZ34" i="6" s="1"/>
  <c r="DA34" i="6" s="1"/>
  <c r="CQ30" i="6"/>
  <c r="CZ30" i="6" s="1"/>
  <c r="DA30" i="6" s="1"/>
  <c r="B6" i="6"/>
  <c r="I5" i="6"/>
  <c r="CB5" i="6" s="1"/>
  <c r="D5" i="6"/>
  <c r="I50" i="6"/>
  <c r="G50" i="6"/>
  <c r="B75" i="6"/>
  <c r="I74" i="6"/>
  <c r="D74" i="6"/>
  <c r="H74" i="6"/>
  <c r="I160" i="6"/>
  <c r="G160" i="6"/>
  <c r="I28" i="6"/>
  <c r="CB28" i="6" s="1"/>
  <c r="D28" i="6"/>
  <c r="C30" i="6"/>
  <c r="G29" i="6"/>
  <c r="H29" i="6"/>
  <c r="D29" i="6"/>
  <c r="CH71" i="3"/>
  <c r="CM71" i="3" s="1"/>
  <c r="CN71" i="3" s="1"/>
  <c r="D207" i="6"/>
  <c r="B208" i="6"/>
  <c r="I208" i="6" s="1"/>
  <c r="D160" i="6"/>
  <c r="B161" i="6"/>
  <c r="D143" i="6"/>
  <c r="B117" i="6"/>
  <c r="I117" i="6" s="1"/>
  <c r="D116" i="6"/>
  <c r="D94" i="6"/>
  <c r="B95" i="6"/>
  <c r="I95" i="6" s="1"/>
  <c r="D50" i="6"/>
  <c r="B51" i="6"/>
  <c r="AY84" i="1"/>
  <c r="CC84" i="1" s="1"/>
  <c r="BZ84" i="1" s="1"/>
  <c r="CB74" i="1"/>
  <c r="BY74" i="1" s="1"/>
  <c r="CN123" i="1"/>
  <c r="AY69" i="1"/>
  <c r="CC69" i="1" s="1"/>
  <c r="BZ69" i="1" s="1"/>
  <c r="AY80" i="1"/>
  <c r="CC80" i="1" s="1"/>
  <c r="BZ80" i="1" s="1"/>
  <c r="CN118" i="1"/>
  <c r="CB71" i="1"/>
  <c r="BY71" i="1" s="1"/>
  <c r="CB77" i="1"/>
  <c r="BY77" i="1" s="1"/>
  <c r="CG77" i="1" s="1"/>
  <c r="CT77" i="1" s="1"/>
  <c r="CU77" i="1" s="1"/>
  <c r="AY79" i="1"/>
  <c r="CC79" i="1" s="1"/>
  <c r="BZ79" i="1" s="1"/>
  <c r="CG79" i="1" s="1"/>
  <c r="CT79" i="1" s="1"/>
  <c r="CU79" i="1" s="1"/>
  <c r="CB78" i="1"/>
  <c r="BY78" i="1" s="1"/>
  <c r="CG78" i="1" s="1"/>
  <c r="CT78" i="1" s="1"/>
  <c r="CU78" i="1" s="1"/>
  <c r="CG88" i="3"/>
  <c r="CH88" i="3" s="1"/>
  <c r="CM88" i="3" s="1"/>
  <c r="CN88" i="3" s="1"/>
  <c r="CH72" i="3"/>
  <c r="BX74" i="3"/>
  <c r="BZ74" i="3" s="1"/>
  <c r="CH74" i="3" s="1"/>
  <c r="CM74" i="3" s="1"/>
  <c r="CN74" i="3" s="1"/>
  <c r="BZ33" i="3"/>
  <c r="CM33" i="3" s="1"/>
  <c r="CN33" i="3" s="1"/>
  <c r="AY82" i="1"/>
  <c r="CC82" i="1" s="1"/>
  <c r="BZ82" i="1" s="1"/>
  <c r="CG82" i="1" s="1"/>
  <c r="CT82" i="1" s="1"/>
  <c r="CU82" i="1" s="1"/>
  <c r="CB73" i="1"/>
  <c r="BY73" i="1" s="1"/>
  <c r="CG73" i="1" s="1"/>
  <c r="CT73" i="1" s="1"/>
  <c r="CU73" i="1" s="1"/>
  <c r="BX81" i="3"/>
  <c r="BZ81" i="3" s="1"/>
  <c r="CH81" i="3" s="1"/>
  <c r="CM81" i="3" s="1"/>
  <c r="CN81" i="3" s="1"/>
  <c r="AR24" i="4"/>
  <c r="BV24" i="4" s="1"/>
  <c r="BS24" i="4" s="1"/>
  <c r="BZ24" i="4" s="1"/>
  <c r="CM24" i="4" s="1"/>
  <c r="CN24" i="4" s="1"/>
  <c r="CP24" i="4" s="1"/>
  <c r="CG83" i="3"/>
  <c r="BX83" i="3"/>
  <c r="BZ83" i="3" s="1"/>
  <c r="CH78" i="3"/>
  <c r="CM78" i="3" s="1"/>
  <c r="CN78" i="3" s="1"/>
  <c r="BX72" i="4"/>
  <c r="BZ72" i="4" s="1"/>
  <c r="CH72" i="4" s="1"/>
  <c r="CM72" i="4" s="1"/>
  <c r="CN72" i="4" s="1"/>
  <c r="CP72" i="4" s="1"/>
  <c r="BX64" i="4"/>
  <c r="BZ64" i="4" s="1"/>
  <c r="CH64" i="4" s="1"/>
  <c r="CM64" i="4" s="1"/>
  <c r="CN64" i="4" s="1"/>
  <c r="CP64" i="4" s="1"/>
  <c r="BU22" i="4"/>
  <c r="BR22" i="4" s="1"/>
  <c r="BZ22" i="4" s="1"/>
  <c r="CM22" i="4" s="1"/>
  <c r="CN22" i="4" s="1"/>
  <c r="CP22" i="4" s="1"/>
  <c r="CG67" i="4"/>
  <c r="CH67" i="4" s="1"/>
  <c r="CM67" i="4" s="1"/>
  <c r="CN67" i="4" s="1"/>
  <c r="CP67" i="4" s="1"/>
  <c r="BX74" i="4"/>
  <c r="BZ74" i="4" s="1"/>
  <c r="CH74" i="4" s="1"/>
  <c r="CM74" i="4" s="1"/>
  <c r="CN74" i="4" s="1"/>
  <c r="CP74" i="4" s="1"/>
  <c r="BZ26" i="4"/>
  <c r="CM26" i="4" s="1"/>
  <c r="CN26" i="4" s="1"/>
  <c r="CP26" i="4" s="1"/>
  <c r="BU30" i="4"/>
  <c r="BR30" i="4" s="1"/>
  <c r="BZ30" i="4" s="1"/>
  <c r="CM30" i="4" s="1"/>
  <c r="CN30" i="4" s="1"/>
  <c r="CP30" i="4" s="1"/>
  <c r="BX81" i="4"/>
  <c r="BZ81" i="4" s="1"/>
  <c r="CH81" i="4" s="1"/>
  <c r="CM81" i="4" s="1"/>
  <c r="CN81" i="4" s="1"/>
  <c r="CP81" i="4" s="1"/>
  <c r="BU23" i="4"/>
  <c r="BR23" i="4" s="1"/>
  <c r="BZ23" i="4" s="1"/>
  <c r="CM23" i="4" s="1"/>
  <c r="CN23" i="4" s="1"/>
  <c r="CP23" i="4" s="1"/>
  <c r="CH63" i="4"/>
  <c r="CM63" i="4" s="1"/>
  <c r="CN63" i="4" s="1"/>
  <c r="CP63" i="4" s="1"/>
  <c r="BZ31" i="4"/>
  <c r="CM31" i="4" s="1"/>
  <c r="CN31" i="4" s="1"/>
  <c r="CP31" i="4" s="1"/>
  <c r="BU27" i="4"/>
  <c r="BR27" i="4" s="1"/>
  <c r="BZ27" i="4" s="1"/>
  <c r="CM27" i="4" s="1"/>
  <c r="CN27" i="4" s="1"/>
  <c r="CP27" i="4" s="1"/>
  <c r="BX75" i="4"/>
  <c r="BZ75" i="4" s="1"/>
  <c r="CH75" i="4" s="1"/>
  <c r="CM75" i="4" s="1"/>
  <c r="CN75" i="4" s="1"/>
  <c r="CP75" i="4" s="1"/>
  <c r="BZ39" i="4"/>
  <c r="CM39" i="4" s="1"/>
  <c r="CN39" i="4" s="1"/>
  <c r="CP39" i="4" s="1"/>
  <c r="BX79" i="4"/>
  <c r="BZ79" i="4" s="1"/>
  <c r="CH79" i="4" s="1"/>
  <c r="CM79" i="4" s="1"/>
  <c r="CN79" i="4" s="1"/>
  <c r="CP79" i="4" s="1"/>
  <c r="BU32" i="4"/>
  <c r="BR32" i="4" s="1"/>
  <c r="BZ32" i="4" s="1"/>
  <c r="CM32" i="4" s="1"/>
  <c r="CN32" i="4" s="1"/>
  <c r="CP32" i="4" s="1"/>
  <c r="AR25" i="4"/>
  <c r="BV25" i="4" s="1"/>
  <c r="BS25" i="4" s="1"/>
  <c r="BU25" i="4"/>
  <c r="BR25" i="4" s="1"/>
  <c r="CG78" i="4"/>
  <c r="CH78" i="4" s="1"/>
  <c r="CM78" i="4" s="1"/>
  <c r="CN78" i="4" s="1"/>
  <c r="CP78" i="4" s="1"/>
  <c r="BU34" i="4"/>
  <c r="BR34" i="4" s="1"/>
  <c r="AR34" i="4"/>
  <c r="BV34" i="4" s="1"/>
  <c r="BS34" i="4" s="1"/>
  <c r="BX65" i="4"/>
  <c r="BZ65" i="4" s="1"/>
  <c r="CH65" i="4" s="1"/>
  <c r="CM65" i="4" s="1"/>
  <c r="CN65" i="4" s="1"/>
  <c r="CP65" i="4" s="1"/>
  <c r="CG77" i="4"/>
  <c r="CH77" i="4" s="1"/>
  <c r="CM77" i="4" s="1"/>
  <c r="CN77" i="4" s="1"/>
  <c r="CP77" i="4" s="1"/>
  <c r="CG73" i="4"/>
  <c r="BX73" i="4"/>
  <c r="BZ73" i="4" s="1"/>
  <c r="BU28" i="4"/>
  <c r="BR28" i="4" s="1"/>
  <c r="AR28" i="4"/>
  <c r="BV28" i="4" s="1"/>
  <c r="BS28" i="4" s="1"/>
  <c r="CG62" i="4"/>
  <c r="CH62" i="4" s="1"/>
  <c r="CM62" i="4" s="1"/>
  <c r="CN62" i="4" s="1"/>
  <c r="CP62" i="4" s="1"/>
  <c r="CG66" i="4"/>
  <c r="CH66" i="4" s="1"/>
  <c r="CM66" i="4" s="1"/>
  <c r="CN66" i="4" s="1"/>
  <c r="CP66" i="4" s="1"/>
  <c r="CH71" i="4"/>
  <c r="CM71" i="4" s="1"/>
  <c r="CN71" i="4" s="1"/>
  <c r="CP71" i="4" s="1"/>
  <c r="BZ33" i="4"/>
  <c r="CM33" i="4" s="1"/>
  <c r="CN33" i="4" s="1"/>
  <c r="CP33" i="4" s="1"/>
  <c r="BZ37" i="4"/>
  <c r="CM37" i="4" s="1"/>
  <c r="CN37" i="4" s="1"/>
  <c r="CP37" i="4" s="1"/>
  <c r="BZ38" i="4"/>
  <c r="CM38" i="4" s="1"/>
  <c r="CN38" i="4" s="1"/>
  <c r="CP38" i="4" s="1"/>
  <c r="BX80" i="4"/>
  <c r="BZ80" i="4" s="1"/>
  <c r="CG80" i="4"/>
  <c r="BZ36" i="4"/>
  <c r="CM36" i="4" s="1"/>
  <c r="CN36" i="4" s="1"/>
  <c r="CP36" i="4" s="1"/>
  <c r="BZ41" i="4"/>
  <c r="CM41" i="4" s="1"/>
  <c r="CN41" i="4" s="1"/>
  <c r="CP41" i="4" s="1"/>
  <c r="BZ35" i="4"/>
  <c r="CM35" i="4" s="1"/>
  <c r="CN35" i="4" s="1"/>
  <c r="CP35" i="4" s="1"/>
  <c r="CH85" i="3"/>
  <c r="CM85" i="3" s="1"/>
  <c r="CN85" i="3" s="1"/>
  <c r="BZ25" i="3"/>
  <c r="CM25" i="3" s="1"/>
  <c r="CN25" i="3" s="1"/>
  <c r="CG79" i="3"/>
  <c r="BX79" i="3"/>
  <c r="BZ79" i="3" s="1"/>
  <c r="BZ32" i="3"/>
  <c r="CM32" i="3" s="1"/>
  <c r="CN32" i="3" s="1"/>
  <c r="CM72" i="3"/>
  <c r="CN72" i="3" s="1"/>
  <c r="BZ31" i="3"/>
  <c r="CM31" i="3" s="1"/>
  <c r="CN31" i="3" s="1"/>
  <c r="CM70" i="3"/>
  <c r="CN70" i="3" s="1"/>
  <c r="CG77" i="3"/>
  <c r="CH77" i="3" s="1"/>
  <c r="CM77" i="3" s="1"/>
  <c r="CN77" i="3" s="1"/>
  <c r="BZ39" i="3"/>
  <c r="CM39" i="3" s="1"/>
  <c r="CN39" i="3" s="1"/>
  <c r="BZ28" i="3"/>
  <c r="CM28" i="3" s="1"/>
  <c r="CN28" i="3" s="1"/>
  <c r="BZ40" i="3"/>
  <c r="CM40" i="3" s="1"/>
  <c r="CN40" i="3" s="1"/>
  <c r="BX87" i="3"/>
  <c r="BZ87" i="3" s="1"/>
  <c r="CH87" i="3" s="1"/>
  <c r="CM87" i="3" s="1"/>
  <c r="CN87" i="3" s="1"/>
  <c r="CG87" i="3"/>
  <c r="BZ38" i="3"/>
  <c r="CM38" i="3" s="1"/>
  <c r="CN38" i="3" s="1"/>
  <c r="BZ37" i="3"/>
  <c r="CM37" i="3" s="1"/>
  <c r="CN37" i="3" s="1"/>
  <c r="BZ27" i="3"/>
  <c r="CM27" i="3" s="1"/>
  <c r="CN27" i="3" s="1"/>
  <c r="BZ30" i="3"/>
  <c r="CM30" i="3" s="1"/>
  <c r="CN30" i="3" s="1"/>
  <c r="CB85" i="1"/>
  <c r="BY85" i="1" s="1"/>
  <c r="CG85" i="1" s="1"/>
  <c r="CT85" i="1" s="1"/>
  <c r="CU85" i="1" s="1"/>
  <c r="CO123" i="1"/>
  <c r="CT123" i="1" s="1"/>
  <c r="CU123" i="1" s="1"/>
  <c r="CE125" i="1"/>
  <c r="CG125" i="1" s="1"/>
  <c r="CO125" i="1" s="1"/>
  <c r="CT125" i="1" s="1"/>
  <c r="CU125" i="1" s="1"/>
  <c r="AY72" i="1"/>
  <c r="CC72" i="1" s="1"/>
  <c r="BZ72" i="1" s="1"/>
  <c r="CG72" i="1" s="1"/>
  <c r="CT72" i="1" s="1"/>
  <c r="CU72" i="1" s="1"/>
  <c r="CN120" i="1"/>
  <c r="CO120" i="1" s="1"/>
  <c r="CT120" i="1" s="1"/>
  <c r="CU120" i="1" s="1"/>
  <c r="CE115" i="1"/>
  <c r="CG115" i="1" s="1"/>
  <c r="CO115" i="1" s="1"/>
  <c r="CT115" i="1" s="1"/>
  <c r="CU115" i="1" s="1"/>
  <c r="CE129" i="1"/>
  <c r="CG129" i="1" s="1"/>
  <c r="CO129" i="1" s="1"/>
  <c r="CT129" i="1" s="1"/>
  <c r="CU129" i="1" s="1"/>
  <c r="AY76" i="1"/>
  <c r="CC76" i="1" s="1"/>
  <c r="BZ76" i="1" s="1"/>
  <c r="CG76" i="1" s="1"/>
  <c r="CT76" i="1" s="1"/>
  <c r="CU76" i="1" s="1"/>
  <c r="CN124" i="1"/>
  <c r="CO124" i="1" s="1"/>
  <c r="CT124" i="1" s="1"/>
  <c r="CU124" i="1" s="1"/>
  <c r="AY75" i="1"/>
  <c r="CC75" i="1" s="1"/>
  <c r="BZ75" i="1" s="1"/>
  <c r="CG75" i="1" s="1"/>
  <c r="CT75" i="1" s="1"/>
  <c r="CU75" i="1" s="1"/>
  <c r="CB67" i="1"/>
  <c r="BY67" i="1" s="1"/>
  <c r="CG67" i="1" s="1"/>
  <c r="CT67" i="1" s="1"/>
  <c r="CU67" i="1" s="1"/>
  <c r="AY83" i="1"/>
  <c r="CC83" i="1" s="1"/>
  <c r="BZ83" i="1" s="1"/>
  <c r="CG83" i="1" s="1"/>
  <c r="CT83" i="1" s="1"/>
  <c r="CU83" i="1" s="1"/>
  <c r="CN127" i="1"/>
  <c r="CO127" i="1" s="1"/>
  <c r="CT127" i="1" s="1"/>
  <c r="CU127" i="1" s="1"/>
  <c r="CE117" i="1"/>
  <c r="CG117" i="1" s="1"/>
  <c r="CO117" i="1" s="1"/>
  <c r="CT117" i="1" s="1"/>
  <c r="CU117" i="1" s="1"/>
  <c r="CN113" i="1"/>
  <c r="CO113" i="1" s="1"/>
  <c r="CT113" i="1" s="1"/>
  <c r="CU113" i="1" s="1"/>
  <c r="CO118" i="1"/>
  <c r="CT118" i="1" s="1"/>
  <c r="CU118" i="1" s="1"/>
  <c r="CE116" i="1"/>
  <c r="CG116" i="1" s="1"/>
  <c r="CO116" i="1" s="1"/>
  <c r="CT116" i="1" s="1"/>
  <c r="CU116" i="1" s="1"/>
  <c r="AY81" i="1"/>
  <c r="CC81" i="1" s="1"/>
  <c r="BZ81" i="1" s="1"/>
  <c r="CB81" i="1"/>
  <c r="BY81" i="1" s="1"/>
  <c r="CN128" i="1"/>
  <c r="CO128" i="1" s="1"/>
  <c r="CT128" i="1" s="1"/>
  <c r="CU128" i="1" s="1"/>
  <c r="CN121" i="1"/>
  <c r="CO121" i="1" s="1"/>
  <c r="CT121" i="1" s="1"/>
  <c r="CU121" i="1" s="1"/>
  <c r="CO131" i="1"/>
  <c r="CT131" i="1" s="1"/>
  <c r="CU131" i="1" s="1"/>
  <c r="CN119" i="1"/>
  <c r="CO119" i="1" s="1"/>
  <c r="CT119" i="1" s="1"/>
  <c r="CU119" i="1" s="1"/>
  <c r="AY68" i="1"/>
  <c r="CC68" i="1" s="1"/>
  <c r="BZ68" i="1" s="1"/>
  <c r="CG68" i="1" s="1"/>
  <c r="CT68" i="1" s="1"/>
  <c r="CU68" i="1" s="1"/>
  <c r="CN112" i="1"/>
  <c r="CO112" i="1" s="1"/>
  <c r="CT112" i="1" s="1"/>
  <c r="CU112" i="1" s="1"/>
  <c r="CE130" i="1"/>
  <c r="CG130" i="1" s="1"/>
  <c r="CO130" i="1" s="1"/>
  <c r="CT130" i="1" s="1"/>
  <c r="CU130" i="1" s="1"/>
  <c r="CE114" i="1"/>
  <c r="CG114" i="1" s="1"/>
  <c r="CN114" i="1"/>
  <c r="CN122" i="1"/>
  <c r="CE122" i="1"/>
  <c r="CG122" i="1" s="1"/>
  <c r="CE126" i="1"/>
  <c r="CG126" i="1" s="1"/>
  <c r="CN126" i="1"/>
  <c r="CG86" i="1"/>
  <c r="CT86" i="1" s="1"/>
  <c r="CU86" i="1" s="1"/>
  <c r="CG80" i="1"/>
  <c r="CT80" i="1" s="1"/>
  <c r="CU80" i="1" s="1"/>
  <c r="CG71" i="1"/>
  <c r="CT71" i="1" s="1"/>
  <c r="CU71" i="1" s="1"/>
  <c r="CG84" i="1"/>
  <c r="CT84" i="1" s="1"/>
  <c r="CU84" i="1" s="1"/>
  <c r="CG74" i="1"/>
  <c r="CT74" i="1" s="1"/>
  <c r="CU74" i="1" s="1"/>
  <c r="CG69" i="1"/>
  <c r="CT69" i="1" s="1"/>
  <c r="CU69" i="1" s="1"/>
  <c r="CG70" i="1"/>
  <c r="CT70" i="1" s="1"/>
  <c r="CU70" i="1" s="1"/>
  <c r="DB28" i="6" l="1"/>
  <c r="BC5" i="6"/>
  <c r="BB5" i="6"/>
  <c r="CJ5" i="6" s="1"/>
  <c r="CN5" i="6" s="1"/>
  <c r="BC28" i="6"/>
  <c r="BB28" i="6"/>
  <c r="CJ28" i="6" s="1"/>
  <c r="CN28" i="6" s="1"/>
  <c r="G51" i="6"/>
  <c r="I51" i="6"/>
  <c r="I161" i="6"/>
  <c r="G161" i="6"/>
  <c r="B76" i="6"/>
  <c r="I75" i="6"/>
  <c r="H75" i="6"/>
  <c r="D75" i="6"/>
  <c r="B7" i="6"/>
  <c r="I6" i="6"/>
  <c r="CB6" i="6" s="1"/>
  <c r="D6" i="6"/>
  <c r="I29" i="6"/>
  <c r="CB29" i="6" s="1"/>
  <c r="C31" i="6"/>
  <c r="G30" i="6"/>
  <c r="H30" i="6"/>
  <c r="D208" i="6"/>
  <c r="B209" i="6"/>
  <c r="I209" i="6" s="1"/>
  <c r="D161" i="6"/>
  <c r="B162" i="6"/>
  <c r="D144" i="6"/>
  <c r="B118" i="6"/>
  <c r="I118" i="6" s="1"/>
  <c r="D117" i="6"/>
  <c r="D95" i="6"/>
  <c r="B96" i="6"/>
  <c r="I96" i="6" s="1"/>
  <c r="D51" i="6"/>
  <c r="B52" i="6"/>
  <c r="CO126" i="1"/>
  <c r="CT126" i="1" s="1"/>
  <c r="CU126" i="1" s="1"/>
  <c r="CH83" i="3"/>
  <c r="CM83" i="3" s="1"/>
  <c r="CN83" i="3" s="1"/>
  <c r="CH79" i="3"/>
  <c r="CM79" i="3" s="1"/>
  <c r="CN79" i="3" s="1"/>
  <c r="CH73" i="4"/>
  <c r="CM73" i="4" s="1"/>
  <c r="CN73" i="4" s="1"/>
  <c r="CP73" i="4" s="1"/>
  <c r="CH80" i="4"/>
  <c r="CM80" i="4" s="1"/>
  <c r="CN80" i="4" s="1"/>
  <c r="CP80" i="4" s="1"/>
  <c r="BZ34" i="4"/>
  <c r="CM34" i="4" s="1"/>
  <c r="CN34" i="4" s="1"/>
  <c r="CP34" i="4" s="1"/>
  <c r="BZ25" i="4"/>
  <c r="CM25" i="4" s="1"/>
  <c r="CN25" i="4" s="1"/>
  <c r="CP25" i="4" s="1"/>
  <c r="BZ28" i="4"/>
  <c r="CM28" i="4" s="1"/>
  <c r="CN28" i="4" s="1"/>
  <c r="CP28" i="4" s="1"/>
  <c r="CO114" i="1"/>
  <c r="CT114" i="1" s="1"/>
  <c r="CU114" i="1" s="1"/>
  <c r="CO122" i="1"/>
  <c r="CT122" i="1" s="1"/>
  <c r="CU122" i="1" s="1"/>
  <c r="CG81" i="1"/>
  <c r="CT81" i="1" s="1"/>
  <c r="CU81" i="1" s="1"/>
  <c r="DB29" i="6" l="1"/>
  <c r="CV5" i="6"/>
  <c r="CW5" i="6" s="1"/>
  <c r="CV28" i="6"/>
  <c r="CW28" i="6" s="1"/>
  <c r="BB6" i="6"/>
  <c r="CJ6" i="6" s="1"/>
  <c r="CN6" i="6" s="1"/>
  <c r="CV6" i="6" s="1"/>
  <c r="CW6" i="6" s="1"/>
  <c r="BC6" i="6"/>
  <c r="BC29" i="6"/>
  <c r="BB29" i="6"/>
  <c r="CJ29" i="6" s="1"/>
  <c r="CN29" i="6" s="1"/>
  <c r="CV29" i="6" s="1"/>
  <c r="CW29" i="6" s="1"/>
  <c r="I52" i="6"/>
  <c r="G52" i="6"/>
  <c r="I76" i="6"/>
  <c r="H76" i="6"/>
  <c r="B77" i="6"/>
  <c r="D76" i="6"/>
  <c r="I162" i="6"/>
  <c r="G162" i="6"/>
  <c r="B8" i="6"/>
  <c r="I7" i="6"/>
  <c r="CB7" i="6" s="1"/>
  <c r="D7" i="6"/>
  <c r="I30" i="6"/>
  <c r="CB30" i="6" s="1"/>
  <c r="D30" i="6"/>
  <c r="C32" i="6"/>
  <c r="H31" i="6"/>
  <c r="G31" i="6"/>
  <c r="B210" i="6"/>
  <c r="I210" i="6" s="1"/>
  <c r="D209" i="6"/>
  <c r="D162" i="6"/>
  <c r="B163" i="6"/>
  <c r="D145" i="6"/>
  <c r="D118" i="6"/>
  <c r="B119" i="6"/>
  <c r="I119" i="6" s="1"/>
  <c r="D96" i="6"/>
  <c r="B97" i="6"/>
  <c r="I97" i="6" s="1"/>
  <c r="B53" i="6"/>
  <c r="D52" i="6"/>
  <c r="DB30" i="6" l="1"/>
  <c r="BC7" i="6"/>
  <c r="BB7" i="6"/>
  <c r="CJ7" i="6" s="1"/>
  <c r="CN7" i="6" s="1"/>
  <c r="CV7" i="6" s="1"/>
  <c r="CW7" i="6" s="1"/>
  <c r="BC30" i="6"/>
  <c r="BB30" i="6"/>
  <c r="CJ30" i="6" s="1"/>
  <c r="CN30" i="6" s="1"/>
  <c r="CV30" i="6" s="1"/>
  <c r="CW30" i="6" s="1"/>
  <c r="I77" i="6"/>
  <c r="H77" i="6"/>
  <c r="D77" i="6"/>
  <c r="B78" i="6"/>
  <c r="I53" i="6"/>
  <c r="G53" i="6"/>
  <c r="I163" i="6"/>
  <c r="G163" i="6"/>
  <c r="B9" i="6"/>
  <c r="I8" i="6"/>
  <c r="CB8" i="6" s="1"/>
  <c r="D8" i="6"/>
  <c r="I31" i="6"/>
  <c r="CB31" i="6" s="1"/>
  <c r="D31" i="6"/>
  <c r="C33" i="6"/>
  <c r="H32" i="6"/>
  <c r="G32" i="6"/>
  <c r="B211" i="6"/>
  <c r="I211" i="6" s="1"/>
  <c r="D210" i="6"/>
  <c r="D163" i="6"/>
  <c r="B164" i="6"/>
  <c r="D146" i="6"/>
  <c r="D119" i="6"/>
  <c r="B120" i="6"/>
  <c r="I120" i="6" s="1"/>
  <c r="D97" i="6"/>
  <c r="B98" i="6"/>
  <c r="I98" i="6" s="1"/>
  <c r="B54" i="6"/>
  <c r="D53" i="6"/>
  <c r="DB31" i="6" l="1"/>
  <c r="BC31" i="6"/>
  <c r="BB31" i="6"/>
  <c r="CJ31" i="6" s="1"/>
  <c r="CN31" i="6" s="1"/>
  <c r="CV31" i="6" s="1"/>
  <c r="CW31" i="6" s="1"/>
  <c r="BC8" i="6"/>
  <c r="BB8" i="6"/>
  <c r="CJ8" i="6" s="1"/>
  <c r="CN8" i="6" s="1"/>
  <c r="CV8" i="6" s="1"/>
  <c r="CW8" i="6" s="1"/>
  <c r="G54" i="6"/>
  <c r="I54" i="6"/>
  <c r="I164" i="6"/>
  <c r="G164" i="6"/>
  <c r="I78" i="6"/>
  <c r="H78" i="6"/>
  <c r="B79" i="6"/>
  <c r="D78" i="6"/>
  <c r="B10" i="6"/>
  <c r="I9" i="6"/>
  <c r="CB9" i="6" s="1"/>
  <c r="D9" i="6"/>
  <c r="I32" i="6"/>
  <c r="CB32" i="6" s="1"/>
  <c r="D32" i="6"/>
  <c r="C34" i="6"/>
  <c r="G33" i="6"/>
  <c r="H33" i="6"/>
  <c r="D33" i="6"/>
  <c r="D211" i="6"/>
  <c r="B212" i="6"/>
  <c r="I212" i="6" s="1"/>
  <c r="B165" i="6"/>
  <c r="D164" i="6"/>
  <c r="D147" i="6"/>
  <c r="D120" i="6"/>
  <c r="B121" i="6"/>
  <c r="I121" i="6" s="1"/>
  <c r="B99" i="6"/>
  <c r="I99" i="6" s="1"/>
  <c r="D98" i="6"/>
  <c r="B55" i="6"/>
  <c r="D54" i="6"/>
  <c r="DB32" i="6" l="1"/>
  <c r="BC9" i="6"/>
  <c r="BB9" i="6"/>
  <c r="CJ9" i="6" s="1"/>
  <c r="CN9" i="6" s="1"/>
  <c r="CV9" i="6" s="1"/>
  <c r="CW9" i="6" s="1"/>
  <c r="BC32" i="6"/>
  <c r="BB32" i="6"/>
  <c r="CJ32" i="6" s="1"/>
  <c r="CN32" i="6" s="1"/>
  <c r="CV32" i="6" s="1"/>
  <c r="CW32" i="6" s="1"/>
  <c r="I79" i="6"/>
  <c r="H79" i="6"/>
  <c r="B80" i="6"/>
  <c r="D79" i="6"/>
  <c r="I165" i="6"/>
  <c r="G165" i="6"/>
  <c r="G55" i="6"/>
  <c r="I55" i="6"/>
  <c r="B11" i="6"/>
  <c r="I10" i="6"/>
  <c r="CB10" i="6" s="1"/>
  <c r="D10" i="6"/>
  <c r="I33" i="6"/>
  <c r="CB33" i="6" s="1"/>
  <c r="C35" i="6"/>
  <c r="H34" i="6"/>
  <c r="G34" i="6"/>
  <c r="D34" i="6"/>
  <c r="B213" i="6"/>
  <c r="I213" i="6" s="1"/>
  <c r="D212" i="6"/>
  <c r="B166" i="6"/>
  <c r="D165" i="6"/>
  <c r="D148" i="6"/>
  <c r="B122" i="6"/>
  <c r="I122" i="6" s="1"/>
  <c r="D121" i="6"/>
  <c r="B100" i="6"/>
  <c r="I100" i="6" s="1"/>
  <c r="D99" i="6"/>
  <c r="B56" i="6"/>
  <c r="D55" i="6"/>
  <c r="DB33" i="6" l="1"/>
  <c r="BC10" i="6"/>
  <c r="BB10" i="6"/>
  <c r="CJ10" i="6" s="1"/>
  <c r="CN10" i="6" s="1"/>
  <c r="CV10" i="6" s="1"/>
  <c r="CW10" i="6" s="1"/>
  <c r="BC33" i="6"/>
  <c r="BB33" i="6"/>
  <c r="CJ33" i="6" s="1"/>
  <c r="CN33" i="6" s="1"/>
  <c r="I56" i="6"/>
  <c r="G56" i="6"/>
  <c r="I166" i="6"/>
  <c r="G166" i="6"/>
  <c r="I80" i="6"/>
  <c r="H80" i="6"/>
  <c r="D80" i="6"/>
  <c r="B81" i="6"/>
  <c r="B12" i="6"/>
  <c r="I11" i="6"/>
  <c r="CB11" i="6" s="1"/>
  <c r="D11" i="6"/>
  <c r="I34" i="6"/>
  <c r="CB34" i="6" s="1"/>
  <c r="C36" i="6"/>
  <c r="H35" i="6"/>
  <c r="G35" i="6"/>
  <c r="D35" i="6"/>
  <c r="D213" i="6"/>
  <c r="B214" i="6"/>
  <c r="I214" i="6" s="1"/>
  <c r="B167" i="6"/>
  <c r="D166" i="6"/>
  <c r="D149" i="6"/>
  <c r="B123" i="6"/>
  <c r="I123" i="6" s="1"/>
  <c r="D122" i="6"/>
  <c r="B101" i="6"/>
  <c r="I101" i="6" s="1"/>
  <c r="D100" i="6"/>
  <c r="B57" i="6"/>
  <c r="D56" i="6"/>
  <c r="DB34" i="6" l="1"/>
  <c r="CV33" i="6"/>
  <c r="CW33" i="6" s="1"/>
  <c r="BC34" i="6"/>
  <c r="BB34" i="6"/>
  <c r="CJ34" i="6" s="1"/>
  <c r="CN34" i="6" s="1"/>
  <c r="CV34" i="6" s="1"/>
  <c r="CW34" i="6" s="1"/>
  <c r="BC11" i="6"/>
  <c r="BB11" i="6"/>
  <c r="CJ11" i="6" s="1"/>
  <c r="CN11" i="6" s="1"/>
  <c r="CV11" i="6" s="1"/>
  <c r="CW11" i="6" s="1"/>
  <c r="I81" i="6"/>
  <c r="H81" i="6"/>
  <c r="B82" i="6"/>
  <c r="D81" i="6"/>
  <c r="I167" i="6"/>
  <c r="G167" i="6"/>
  <c r="I57" i="6"/>
  <c r="G57" i="6"/>
  <c r="B13" i="6"/>
  <c r="I12" i="6"/>
  <c r="CB12" i="6" s="1"/>
  <c r="D12" i="6"/>
  <c r="I35" i="6"/>
  <c r="CB35" i="6" s="1"/>
  <c r="C37" i="6"/>
  <c r="H36" i="6"/>
  <c r="G36" i="6"/>
  <c r="D214" i="6"/>
  <c r="B215" i="6"/>
  <c r="I215" i="6" s="1"/>
  <c r="D167" i="6"/>
  <c r="B168" i="6"/>
  <c r="D150" i="6"/>
  <c r="D123" i="6"/>
  <c r="B124" i="6"/>
  <c r="I124" i="6" s="1"/>
  <c r="D101" i="6"/>
  <c r="B102" i="6"/>
  <c r="I102" i="6" s="1"/>
  <c r="D57" i="6"/>
  <c r="B58" i="6"/>
  <c r="DB35" i="6" l="1"/>
  <c r="BC35" i="6"/>
  <c r="BB35" i="6"/>
  <c r="CJ35" i="6" s="1"/>
  <c r="CN35" i="6" s="1"/>
  <c r="CV35" i="6" s="1"/>
  <c r="CW35" i="6" s="1"/>
  <c r="BB12" i="6"/>
  <c r="CJ12" i="6" s="1"/>
  <c r="CN12" i="6" s="1"/>
  <c r="BC12" i="6"/>
  <c r="I168" i="6"/>
  <c r="G168" i="6"/>
  <c r="I82" i="6"/>
  <c r="H82" i="6"/>
  <c r="B83" i="6"/>
  <c r="D82" i="6"/>
  <c r="I58" i="6"/>
  <c r="G58" i="6"/>
  <c r="B14" i="6"/>
  <c r="I13" i="6"/>
  <c r="CB13" i="6" s="1"/>
  <c r="D13" i="6"/>
  <c r="I36" i="6"/>
  <c r="CB36" i="6" s="1"/>
  <c r="D37" i="6"/>
  <c r="D36" i="6"/>
  <c r="C38" i="6"/>
  <c r="H37" i="6"/>
  <c r="G37" i="6"/>
  <c r="D215" i="6"/>
  <c r="B216" i="6"/>
  <c r="I216" i="6" s="1"/>
  <c r="D168" i="6"/>
  <c r="B169" i="6"/>
  <c r="D151" i="6"/>
  <c r="D124" i="6"/>
  <c r="B125" i="6"/>
  <c r="I125" i="6" s="1"/>
  <c r="D102" i="6"/>
  <c r="B103" i="6"/>
  <c r="I103" i="6" s="1"/>
  <c r="D58" i="6"/>
  <c r="B59" i="6"/>
  <c r="DB36" i="6" l="1"/>
  <c r="BC36" i="6"/>
  <c r="BB36" i="6"/>
  <c r="CJ36" i="6" s="1"/>
  <c r="CN36" i="6" s="1"/>
  <c r="CV36" i="6" s="1"/>
  <c r="CW36" i="6" s="1"/>
  <c r="BC13" i="6"/>
  <c r="BB13" i="6"/>
  <c r="CJ13" i="6" s="1"/>
  <c r="CN13" i="6" s="1"/>
  <c r="CV13" i="6" s="1"/>
  <c r="CW13" i="6" s="1"/>
  <c r="CV12" i="6"/>
  <c r="CW12" i="6" s="1"/>
  <c r="G59" i="6"/>
  <c r="I59" i="6"/>
  <c r="I83" i="6"/>
  <c r="H83" i="6"/>
  <c r="B84" i="6"/>
  <c r="D83" i="6"/>
  <c r="I169" i="6"/>
  <c r="G169" i="6"/>
  <c r="B15" i="6"/>
  <c r="I14" i="6"/>
  <c r="CB14" i="6" s="1"/>
  <c r="D14" i="6"/>
  <c r="I37" i="6"/>
  <c r="CB37" i="6" s="1"/>
  <c r="C39" i="6"/>
  <c r="H38" i="6"/>
  <c r="G38" i="6"/>
  <c r="D216" i="6"/>
  <c r="B217" i="6"/>
  <c r="I217" i="6" s="1"/>
  <c r="D169" i="6"/>
  <c r="B170" i="6"/>
  <c r="D153" i="6"/>
  <c r="D152" i="6"/>
  <c r="B126" i="6"/>
  <c r="I126" i="6" s="1"/>
  <c r="D125" i="6"/>
  <c r="D103" i="6"/>
  <c r="B104" i="6"/>
  <c r="I104" i="6" s="1"/>
  <c r="D59" i="6"/>
  <c r="B60" i="6"/>
  <c r="DB37" i="6" l="1"/>
  <c r="BB14" i="6"/>
  <c r="CJ14" i="6" s="1"/>
  <c r="CN14" i="6" s="1"/>
  <c r="BC14" i="6"/>
  <c r="BC37" i="6"/>
  <c r="BB37" i="6"/>
  <c r="CJ37" i="6" s="1"/>
  <c r="CN37" i="6" s="1"/>
  <c r="CV37" i="6" s="1"/>
  <c r="CW37" i="6" s="1"/>
  <c r="I84" i="6"/>
  <c r="H84" i="6"/>
  <c r="B85" i="6"/>
  <c r="D84" i="6"/>
  <c r="I170" i="6"/>
  <c r="G170" i="6"/>
  <c r="I60" i="6"/>
  <c r="G60" i="6"/>
  <c r="B16" i="6"/>
  <c r="I15" i="6"/>
  <c r="CB15" i="6" s="1"/>
  <c r="D15" i="6"/>
  <c r="I38" i="6"/>
  <c r="CB38" i="6" s="1"/>
  <c r="D38" i="6"/>
  <c r="C40" i="6"/>
  <c r="G39" i="6"/>
  <c r="H39" i="6"/>
  <c r="B218" i="6"/>
  <c r="I218" i="6" s="1"/>
  <c r="D217" i="6"/>
  <c r="D170" i="6"/>
  <c r="B171" i="6"/>
  <c r="D126" i="6"/>
  <c r="B127" i="6"/>
  <c r="I127" i="6" s="1"/>
  <c r="D104" i="6"/>
  <c r="B105" i="6"/>
  <c r="I105" i="6" s="1"/>
  <c r="B61" i="6"/>
  <c r="D60" i="6"/>
  <c r="DB38" i="6" l="1"/>
  <c r="CV14" i="6"/>
  <c r="CW14" i="6" s="1"/>
  <c r="BC38" i="6"/>
  <c r="BB38" i="6"/>
  <c r="CJ38" i="6" s="1"/>
  <c r="CN38" i="6" s="1"/>
  <c r="CV38" i="6" s="1"/>
  <c r="CW38" i="6" s="1"/>
  <c r="BB15" i="6"/>
  <c r="CJ15" i="6" s="1"/>
  <c r="CN15" i="6" s="1"/>
  <c r="BC15" i="6"/>
  <c r="I85" i="6"/>
  <c r="H85" i="6"/>
  <c r="B86" i="6"/>
  <c r="D85" i="6"/>
  <c r="I171" i="6"/>
  <c r="G171" i="6"/>
  <c r="I61" i="6"/>
  <c r="G61" i="6"/>
  <c r="B17" i="6"/>
  <c r="I16" i="6"/>
  <c r="CB16" i="6" s="1"/>
  <c r="D16" i="6"/>
  <c r="I39" i="6"/>
  <c r="CB39" i="6" s="1"/>
  <c r="D39" i="6"/>
  <c r="C41" i="6"/>
  <c r="H40" i="6"/>
  <c r="G40" i="6"/>
  <c r="B219" i="6"/>
  <c r="D218" i="6"/>
  <c r="D171" i="6"/>
  <c r="B172" i="6"/>
  <c r="B128" i="6"/>
  <c r="I128" i="6" s="1"/>
  <c r="D127" i="6"/>
  <c r="D105" i="6"/>
  <c r="B106" i="6"/>
  <c r="I106" i="6" s="1"/>
  <c r="B62" i="6"/>
  <c r="D61" i="6"/>
  <c r="DB39" i="6" l="1"/>
  <c r="CV15" i="6"/>
  <c r="CW15" i="6" s="1"/>
  <c r="BC16" i="6"/>
  <c r="BB16" i="6"/>
  <c r="CJ16" i="6" s="1"/>
  <c r="CN16" i="6" s="1"/>
  <c r="CV16" i="6" s="1"/>
  <c r="CW16" i="6" s="1"/>
  <c r="BC39" i="6"/>
  <c r="BB39" i="6"/>
  <c r="CJ39" i="6" s="1"/>
  <c r="CN39" i="6" s="1"/>
  <c r="CV39" i="6" s="1"/>
  <c r="CW39" i="6" s="1"/>
  <c r="I86" i="6"/>
  <c r="H86" i="6"/>
  <c r="B87" i="6"/>
  <c r="D86" i="6"/>
  <c r="I172" i="6"/>
  <c r="G172" i="6"/>
  <c r="G62" i="6"/>
  <c r="I62" i="6"/>
  <c r="D219" i="6"/>
  <c r="I219" i="6"/>
  <c r="B18" i="6"/>
  <c r="I17" i="6"/>
  <c r="CB17" i="6" s="1"/>
  <c r="D17" i="6"/>
  <c r="I40" i="6"/>
  <c r="CB40" i="6" s="1"/>
  <c r="D40" i="6"/>
  <c r="C42" i="6"/>
  <c r="H41" i="6"/>
  <c r="G41" i="6"/>
  <c r="D172" i="6"/>
  <c r="B173" i="6"/>
  <c r="D128" i="6"/>
  <c r="B129" i="6"/>
  <c r="I129" i="6" s="1"/>
  <c r="B107" i="6"/>
  <c r="I107" i="6" s="1"/>
  <c r="D106" i="6"/>
  <c r="B63" i="6"/>
  <c r="D62" i="6"/>
  <c r="DB40" i="6" l="1"/>
  <c r="BC17" i="6"/>
  <c r="BB17" i="6"/>
  <c r="CJ17" i="6" s="1"/>
  <c r="CN17" i="6" s="1"/>
  <c r="CV17" i="6" s="1"/>
  <c r="CW17" i="6" s="1"/>
  <c r="BC40" i="6"/>
  <c r="BB40" i="6"/>
  <c r="CJ40" i="6" s="1"/>
  <c r="CN40" i="6" s="1"/>
  <c r="CV40" i="6" s="1"/>
  <c r="CW40" i="6" s="1"/>
  <c r="I173" i="6"/>
  <c r="G173" i="6"/>
  <c r="B19" i="6"/>
  <c r="I18" i="6"/>
  <c r="CB18" i="6" s="1"/>
  <c r="D18" i="6"/>
  <c r="D87" i="6"/>
  <c r="I87" i="6"/>
  <c r="H87" i="6"/>
  <c r="G63" i="6"/>
  <c r="I63" i="6"/>
  <c r="I41" i="6"/>
  <c r="CB41" i="6" s="1"/>
  <c r="D41" i="6"/>
  <c r="C43" i="6"/>
  <c r="H42" i="6"/>
  <c r="G42" i="6"/>
  <c r="B174" i="6"/>
  <c r="D173" i="6"/>
  <c r="B130" i="6"/>
  <c r="I130" i="6" s="1"/>
  <c r="D129" i="6"/>
  <c r="B108" i="6"/>
  <c r="I108" i="6" s="1"/>
  <c r="D107" i="6"/>
  <c r="B64" i="6"/>
  <c r="D63" i="6"/>
  <c r="DB41" i="6" l="1"/>
  <c r="BC41" i="6"/>
  <c r="BB41" i="6"/>
  <c r="CJ41" i="6" s="1"/>
  <c r="CN41" i="6" s="1"/>
  <c r="CV41" i="6" s="1"/>
  <c r="CW41" i="6" s="1"/>
  <c r="BC18" i="6"/>
  <c r="BB18" i="6"/>
  <c r="CJ18" i="6" s="1"/>
  <c r="CN18" i="6" s="1"/>
  <c r="CV18" i="6" s="1"/>
  <c r="CW18" i="6" s="1"/>
  <c r="I174" i="6"/>
  <c r="G174" i="6"/>
  <c r="B20" i="6"/>
  <c r="I19" i="6"/>
  <c r="CB19" i="6" s="1"/>
  <c r="D19" i="6"/>
  <c r="I64" i="6"/>
  <c r="G64" i="6"/>
  <c r="I43" i="6"/>
  <c r="CB43" i="6" s="1"/>
  <c r="I42" i="6"/>
  <c r="CB42" i="6" s="1"/>
  <c r="D42" i="6"/>
  <c r="G43" i="6"/>
  <c r="H43" i="6"/>
  <c r="B175" i="6"/>
  <c r="D174" i="6"/>
  <c r="B131" i="6"/>
  <c r="D130" i="6"/>
  <c r="B109" i="6"/>
  <c r="D108" i="6"/>
  <c r="B65" i="6"/>
  <c r="D64" i="6"/>
  <c r="DB43" i="6" l="1"/>
  <c r="DB42" i="6"/>
  <c r="BC19" i="6"/>
  <c r="BB19" i="6"/>
  <c r="CJ19" i="6" s="1"/>
  <c r="CN19" i="6" s="1"/>
  <c r="CV19" i="6" s="1"/>
  <c r="CW19" i="6" s="1"/>
  <c r="BC43" i="6"/>
  <c r="BB43" i="6"/>
  <c r="CJ43" i="6" s="1"/>
  <c r="CN43" i="6" s="1"/>
  <c r="CV43" i="6" s="1"/>
  <c r="CW43" i="6" s="1"/>
  <c r="BC42" i="6"/>
  <c r="BB42" i="6"/>
  <c r="CJ42" i="6" s="1"/>
  <c r="CN42" i="6" s="1"/>
  <c r="CV42" i="6" s="1"/>
  <c r="CW42" i="6" s="1"/>
  <c r="D175" i="6"/>
  <c r="I175" i="6"/>
  <c r="G175" i="6"/>
  <c r="D65" i="6"/>
  <c r="I65" i="6"/>
  <c r="G65" i="6"/>
  <c r="B21" i="6"/>
  <c r="I20" i="6"/>
  <c r="CB20" i="6" s="1"/>
  <c r="D20" i="6"/>
  <c r="D131" i="6"/>
  <c r="I131" i="6"/>
  <c r="D109" i="6"/>
  <c r="I109" i="6"/>
  <c r="D43" i="6"/>
  <c r="BB20" i="6" l="1"/>
  <c r="CJ20" i="6" s="1"/>
  <c r="CN20" i="6" s="1"/>
  <c r="BC20" i="6"/>
  <c r="I21" i="6"/>
  <c r="CB21" i="6" s="1"/>
  <c r="D21" i="6"/>
  <c r="CV20" i="6" l="1"/>
  <c r="CW20" i="6" s="1"/>
  <c r="BC21" i="6"/>
  <c r="BB21" i="6"/>
  <c r="CJ21" i="6" s="1"/>
  <c r="CN21" i="6" s="1"/>
  <c r="CV21" i="6" s="1"/>
  <c r="CW21" i="6" s="1"/>
</calcChain>
</file>

<file path=xl/sharedStrings.xml><?xml version="1.0" encoding="utf-8"?>
<sst xmlns="http://schemas.openxmlformats.org/spreadsheetml/2006/main" count="1838" uniqueCount="150">
  <si>
    <t>case</t>
  </si>
  <si>
    <t>d_pipe_m</t>
  </si>
  <si>
    <t>d_pipe</t>
  </si>
  <si>
    <t>t_pipe_m</t>
  </si>
  <si>
    <t>t_pipe</t>
  </si>
  <si>
    <t>d_t_ratio</t>
  </si>
  <si>
    <t>l_anchor</t>
  </si>
  <si>
    <t>steel_grade</t>
  </si>
  <si>
    <t>n_param</t>
  </si>
  <si>
    <t>r_param</t>
  </si>
  <si>
    <t>sigma_y</t>
  </si>
  <si>
    <t>sigma_ult</t>
  </si>
  <si>
    <t>eps_ult</t>
  </si>
  <si>
    <t>eps_ult_from_grade</t>
  </si>
  <si>
    <t>ln_eps_ult</t>
  </si>
  <si>
    <t>psi_dip</t>
  </si>
  <si>
    <t>soil_type</t>
  </si>
  <si>
    <t>soil_density</t>
  </si>
  <si>
    <t>gamma_backfill</t>
  </si>
  <si>
    <t>phi_backfill</t>
  </si>
  <si>
    <t>s_u_backfill</t>
  </si>
  <si>
    <t>alpha_backfill</t>
  </si>
  <si>
    <t>delta_backfill</t>
  </si>
  <si>
    <t>h_pipe</t>
  </si>
  <si>
    <t>h_d_ratio</t>
  </si>
  <si>
    <t>t_u</t>
  </si>
  <si>
    <t>n_q_vd</t>
  </si>
  <si>
    <t>n_gamma_d</t>
  </si>
  <si>
    <t>q_vd</t>
  </si>
  <si>
    <t>ln_q_vd</t>
  </si>
  <si>
    <t>ln_d_t</t>
  </si>
  <si>
    <t>ln_t_u</t>
  </si>
  <si>
    <t>a0</t>
  </si>
  <si>
    <t>a1</t>
  </si>
  <si>
    <t>a2</t>
  </si>
  <si>
    <t>a3</t>
  </si>
  <si>
    <t>a4</t>
  </si>
  <si>
    <t>a5</t>
  </si>
  <si>
    <t>a6</t>
  </si>
  <si>
    <t>ln_delta_u</t>
  </si>
  <si>
    <t>b0</t>
  </si>
  <si>
    <t>b2</t>
  </si>
  <si>
    <t>b3</t>
  </si>
  <si>
    <t>b4</t>
  </si>
  <si>
    <t>b5</t>
  </si>
  <si>
    <t>d2</t>
  </si>
  <si>
    <t>d3</t>
  </si>
  <si>
    <t>d41</t>
  </si>
  <si>
    <t>d42</t>
  </si>
  <si>
    <t>d5</t>
  </si>
  <si>
    <t>d6</t>
  </si>
  <si>
    <t>d71</t>
  </si>
  <si>
    <t>d72</t>
  </si>
  <si>
    <t>d8</t>
  </si>
  <si>
    <t>f_delta_f</t>
  </si>
  <si>
    <t>f_l_anchor</t>
  </si>
  <si>
    <t>f_soil_type</t>
  </si>
  <si>
    <t>b1</t>
  </si>
  <si>
    <t>pgdef</t>
  </si>
  <si>
    <t>ln_delta_f</t>
  </si>
  <si>
    <t>ln_delta_f_delta_u_ratio</t>
  </si>
  <si>
    <t>b1_ln_delta_f_delta_u_ratio</t>
  </si>
  <si>
    <t>b2_ln_d_t_ratio</t>
  </si>
  <si>
    <t>b3_f_soil_ln_t_ult</t>
  </si>
  <si>
    <t>b4_ln_q_vd</t>
  </si>
  <si>
    <t>b5_ln_d</t>
  </si>
  <si>
    <t>ln_eps_pipe</t>
  </si>
  <si>
    <t>eps_pipe</t>
  </si>
  <si>
    <t>sigma_eps_pipe</t>
  </si>
  <si>
    <t>sigma_mu_eps_pipe</t>
  </si>
  <si>
    <t>X-52</t>
  </si>
  <si>
    <t>clay</t>
  </si>
  <si>
    <t>soft</t>
  </si>
  <si>
    <t>X-60</t>
  </si>
  <si>
    <t>medium stiff</t>
  </si>
  <si>
    <t>X-70</t>
  </si>
  <si>
    <t>stiff</t>
  </si>
  <si>
    <t>X-80</t>
  </si>
  <si>
    <t>sand</t>
  </si>
  <si>
    <t>medium dense</t>
  </si>
  <si>
    <t>dense</t>
  </si>
  <si>
    <t>very dense</t>
  </si>
  <si>
    <t>beta_crossing</t>
  </si>
  <si>
    <t>case_to_run</t>
  </si>
  <si>
    <t>f_beta_crossing</t>
  </si>
  <si>
    <t>val_inside_atanh</t>
  </si>
  <si>
    <t>atanh_metric</t>
  </si>
  <si>
    <t>ln_delta_o</t>
  </si>
  <si>
    <t>f_delta_o</t>
  </si>
  <si>
    <t>f_delta_u</t>
  </si>
  <si>
    <t>e1</t>
  </si>
  <si>
    <t>e2</t>
  </si>
  <si>
    <t>e3</t>
  </si>
  <si>
    <t>e4</t>
  </si>
  <si>
    <t>e5</t>
  </si>
  <si>
    <t>e6</t>
  </si>
  <si>
    <t>e7</t>
  </si>
  <si>
    <t>e8</t>
  </si>
  <si>
    <t>term1</t>
  </si>
  <si>
    <t>term2</t>
  </si>
  <si>
    <t>X-42</t>
  </si>
  <si>
    <t>Grade-B</t>
  </si>
  <si>
    <t>f_psi_dip</t>
  </si>
  <si>
    <t>f_d_pipe</t>
  </si>
  <si>
    <t>ln_d_t_ratio</t>
  </si>
  <si>
    <t>Log[?f (m)] - b0</t>
  </si>
  <si>
    <t>(Log[?f (m)] - b0) / b1</t>
  </si>
  <si>
    <t>ATANH (Log[?f (m)] - b0) / b1)  /  b2</t>
  </si>
  <si>
    <t>Very large strain and failure is expected</t>
  </si>
  <si>
    <t xml:space="preserve">μ1 = </t>
  </si>
  <si>
    <t>μ1</t>
  </si>
  <si>
    <t>μ2</t>
  </si>
  <si>
    <t>σ1</t>
  </si>
  <si>
    <t>σ2</t>
  </si>
  <si>
    <t>π1</t>
  </si>
  <si>
    <t>π2</t>
  </si>
  <si>
    <t xml:space="preserve">μ2 = </t>
  </si>
  <si>
    <t xml:space="preserve">σ1 = </t>
  </si>
  <si>
    <t xml:space="preserve">σ2 = </t>
  </si>
  <si>
    <t xml:space="preserve">π1 = </t>
  </si>
  <si>
    <t xml:space="preserve">π2 = </t>
  </si>
  <si>
    <t>SSComp</t>
  </si>
  <si>
    <t>SSTens</t>
  </si>
  <si>
    <t>Reverse</t>
  </si>
  <si>
    <t>Normal</t>
  </si>
  <si>
    <t>eps_pipe_comp</t>
  </si>
  <si>
    <t>eps_pipe_tens</t>
  </si>
  <si>
    <t>sigma_eps_pipe_comp</t>
  </si>
  <si>
    <t>sigma_eps_pipe_tens</t>
  </si>
  <si>
    <t>sigma_mu_eps_pipe_comp</t>
  </si>
  <si>
    <t>sigma_mu_eps_pipe_tens</t>
  </si>
  <si>
    <t>theta_slip</t>
  </si>
  <si>
    <t>pgdef_1</t>
  </si>
  <si>
    <t>pgdef_2</t>
  </si>
  <si>
    <t>beta_1</t>
  </si>
  <si>
    <t>ln_eps_pipe_1</t>
  </si>
  <si>
    <t>eps_pipe_1</t>
  </si>
  <si>
    <t>sigma_eps_pipe_1</t>
  </si>
  <si>
    <t>sigma_mu_eps_pipe_1</t>
  </si>
  <si>
    <t>b0_1</t>
  </si>
  <si>
    <t>b2_1</t>
  </si>
  <si>
    <t>b0_2</t>
  </si>
  <si>
    <t>b2_2</t>
  </si>
  <si>
    <t>b1_1</t>
  </si>
  <si>
    <t>b1_2</t>
  </si>
  <si>
    <t>ln_delta_f_2</t>
  </si>
  <si>
    <t>ln_eps_pipe_2</t>
  </si>
  <si>
    <t>eps_pipe_2</t>
  </si>
  <si>
    <t>sigma_eps_pipe_2</t>
  </si>
  <si>
    <t>sigma_mu_eps_pipe_2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</si>
</sst>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3" borderId="0" xfId="0" applyFill="1"/>
    <xf numFmtId="164" fontId="0" fillId="33" borderId="0" xfId="0" applyNumberFormat="1" applyFill="1"/>
    <xf numFmtId="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lategeotech.sharepoint.com/sites/SlateDrive/Shared%20Documents/_Projects/18-020.00_CEC_Seismic_Risk/04_Eval_Analysis/04%20-%20Research/Task%204b/HutabaratEtal2022_AllModels_2208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Model SSC Level 3"/>
      <sheetName val="HutabaratEtal2022_ss_comp"/>
      <sheetName val="Estimation Model SST Level 3"/>
      <sheetName val="HutabaratEtal2022_ss_tens"/>
      <sheetName val="Estimation Model Reverse-Slip"/>
      <sheetName val="HutabaratEtal2022_reverse"/>
      <sheetName val="Estimation Model Normal-Slip"/>
      <sheetName val="HutabaratEtal2022_normal"/>
      <sheetName val="Coefficient Normal"/>
      <sheetName val="case_to_run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J8" t="str">
            <v>Grade-B</v>
          </cell>
          <cell r="O8">
            <v>1.0993773658472166E-2</v>
          </cell>
        </row>
        <row r="9">
          <cell r="J9" t="str">
            <v>X-42</v>
          </cell>
          <cell r="O9">
            <v>1.6424915983774071E-2</v>
          </cell>
        </row>
        <row r="10">
          <cell r="J10" t="str">
            <v>X-52</v>
          </cell>
          <cell r="O10">
            <v>1.9041242414694345E-2</v>
          </cell>
        </row>
        <row r="11">
          <cell r="J11" t="str">
            <v>X-60</v>
          </cell>
          <cell r="O11">
            <v>2.4313344008036558E-2</v>
          </cell>
        </row>
        <row r="12">
          <cell r="J12" t="str">
            <v>X-70</v>
          </cell>
          <cell r="O12">
            <v>2.7690517990613433E-2</v>
          </cell>
        </row>
        <row r="13">
          <cell r="J13" t="str">
            <v>X-80</v>
          </cell>
          <cell r="O13">
            <v>2.8464933991254465E-2</v>
          </cell>
        </row>
      </sheetData>
      <sheetData sheetId="7"/>
      <sheetData sheetId="8">
        <row r="3">
          <cell r="A3">
            <v>30</v>
          </cell>
          <cell r="B3">
            <v>3.9632999999999998</v>
          </cell>
          <cell r="C3">
            <v>0.29370000000000002</v>
          </cell>
          <cell r="D3">
            <v>1.2438</v>
          </cell>
          <cell r="E3">
            <v>-0.70199999999999996</v>
          </cell>
          <cell r="F3">
            <v>-0.3957</v>
          </cell>
          <cell r="G3">
            <v>-0.40510000000000002</v>
          </cell>
          <cell r="H3">
            <v>1E-4</v>
          </cell>
        </row>
        <row r="4">
          <cell r="A4">
            <v>45</v>
          </cell>
          <cell r="B4">
            <v>3.7532999999999999</v>
          </cell>
          <cell r="C4">
            <v>0.14510000000000001</v>
          </cell>
          <cell r="D4">
            <v>1.2497</v>
          </cell>
          <cell r="E4">
            <v>-0.46100000000000002</v>
          </cell>
          <cell r="F4">
            <v>0.39140000000000003</v>
          </cell>
          <cell r="G4">
            <v>-0.21310000000000001</v>
          </cell>
          <cell r="H4">
            <v>-0.34139999999999998</v>
          </cell>
        </row>
        <row r="5">
          <cell r="A5">
            <v>60</v>
          </cell>
          <cell r="B5">
            <v>4.3182999999999998</v>
          </cell>
          <cell r="C5">
            <v>-2.7900000000000001E-2</v>
          </cell>
          <cell r="D5">
            <v>1.0497000000000001</v>
          </cell>
          <cell r="E5">
            <v>-0.46910000000000002</v>
          </cell>
          <cell r="F5">
            <v>0.29149999999999998</v>
          </cell>
          <cell r="G5">
            <v>-0.28610000000000002</v>
          </cell>
          <cell r="H5">
            <v>-0.1348</v>
          </cell>
        </row>
        <row r="6">
          <cell r="A6">
            <v>75</v>
          </cell>
          <cell r="B6">
            <v>5.5951000000000004</v>
          </cell>
          <cell r="C6">
            <v>1.6E-2</v>
          </cell>
          <cell r="D6">
            <v>1.2641</v>
          </cell>
          <cell r="E6">
            <v>-0.52429999999999999</v>
          </cell>
          <cell r="F6">
            <v>0.35830000000000001</v>
          </cell>
          <cell r="G6">
            <v>-0.35920000000000002</v>
          </cell>
          <cell r="H6">
            <v>-0.2482</v>
          </cell>
        </row>
        <row r="7">
          <cell r="A7">
            <v>90</v>
          </cell>
          <cell r="B7">
            <v>14.575100000000001</v>
          </cell>
          <cell r="C7">
            <v>0.1356</v>
          </cell>
          <cell r="D7">
            <v>2.9990000000000001</v>
          </cell>
          <cell r="E7">
            <v>-0.94710000000000005</v>
          </cell>
          <cell r="F7">
            <v>0.6603</v>
          </cell>
          <cell r="G7">
            <v>-1.2488999999999999</v>
          </cell>
          <cell r="H7">
            <v>-0.44140000000000001</v>
          </cell>
        </row>
        <row r="10">
          <cell r="A10">
            <v>30</v>
          </cell>
          <cell r="B10">
            <v>0.80179999999999996</v>
          </cell>
          <cell r="C10">
            <v>2.6499999999999999E-2</v>
          </cell>
          <cell r="D10">
            <v>0</v>
          </cell>
          <cell r="E10">
            <v>1.7999999999999999E-2</v>
          </cell>
          <cell r="F10">
            <v>0.14169999999999999</v>
          </cell>
          <cell r="G10">
            <v>1.1363000000000001</v>
          </cell>
          <cell r="H10">
            <v>1.1999999999999999E-3</v>
          </cell>
          <cell r="I10">
            <v>3.8E-3</v>
          </cell>
          <cell r="J10">
            <v>0</v>
          </cell>
          <cell r="K10">
            <v>3.2000000000000002E-3</v>
          </cell>
          <cell r="L10">
            <v>2.1297000000000001</v>
          </cell>
          <cell r="M10">
            <v>1E-3</v>
          </cell>
          <cell r="N10">
            <v>0</v>
          </cell>
          <cell r="O10">
            <v>-0.38669999999999999</v>
          </cell>
          <cell r="P10">
            <v>0.34899999999999998</v>
          </cell>
        </row>
        <row r="11">
          <cell r="A11">
            <v>45</v>
          </cell>
          <cell r="B11">
            <v>-1.1082000000000001</v>
          </cell>
          <cell r="C11">
            <v>0.10630000000000001</v>
          </cell>
          <cell r="D11">
            <v>-0.1439</v>
          </cell>
          <cell r="E11">
            <v>0.27879999999999999</v>
          </cell>
          <cell r="F11">
            <v>-0.31030000000000002</v>
          </cell>
          <cell r="G11">
            <v>1.2553000000000001</v>
          </cell>
          <cell r="H11">
            <v>2.9999999999999997E-4</v>
          </cell>
          <cell r="I11">
            <v>5.1999999999999998E-3</v>
          </cell>
          <cell r="J11">
            <v>-8.5900000000000004E-2</v>
          </cell>
          <cell r="K11">
            <v>5.9999999999999995E-4</v>
          </cell>
          <cell r="L11">
            <v>-0.21759999999999999</v>
          </cell>
          <cell r="M11">
            <v>-2.69E-2</v>
          </cell>
          <cell r="N11">
            <v>0.57389999999999997</v>
          </cell>
          <cell r="O11">
            <v>0.34460000000000002</v>
          </cell>
          <cell r="P11">
            <v>0.3997</v>
          </cell>
        </row>
        <row r="12">
          <cell r="A12">
            <v>60</v>
          </cell>
          <cell r="B12">
            <v>-2.1276999999999999</v>
          </cell>
          <cell r="C12">
            <v>0.14760000000000001</v>
          </cell>
          <cell r="D12">
            <v>-0.21829999999999999</v>
          </cell>
          <cell r="E12">
            <v>0.42270000000000002</v>
          </cell>
          <cell r="F12">
            <v>-0.53720000000000001</v>
          </cell>
          <cell r="G12">
            <v>1.252</v>
          </cell>
          <cell r="H12">
            <v>-5.9999999999999995E-4</v>
          </cell>
          <cell r="I12">
            <v>5.3E-3</v>
          </cell>
          <cell r="J12">
            <v>-4.8500000000000001E-2</v>
          </cell>
          <cell r="K12">
            <v>1.2999999999999999E-3</v>
          </cell>
          <cell r="L12">
            <v>-0.56599999999999995</v>
          </cell>
          <cell r="M12">
            <v>-3.2099999999999997E-2</v>
          </cell>
          <cell r="N12">
            <v>0.84970000000000001</v>
          </cell>
          <cell r="O12">
            <v>9.01E-2</v>
          </cell>
          <cell r="P12">
            <v>0.50170000000000003</v>
          </cell>
        </row>
        <row r="13">
          <cell r="A13">
            <v>75</v>
          </cell>
          <cell r="B13">
            <v>-2.3450000000000002</v>
          </cell>
          <cell r="C13">
            <v>0.19470000000000001</v>
          </cell>
          <cell r="D13">
            <v>-0.2044</v>
          </cell>
          <cell r="E13">
            <v>0.4143</v>
          </cell>
          <cell r="F13">
            <v>-0.55710000000000004</v>
          </cell>
          <cell r="G13">
            <v>1.0931</v>
          </cell>
          <cell r="H13">
            <v>1E-4</v>
          </cell>
          <cell r="I13">
            <v>3.5000000000000001E-3</v>
          </cell>
          <cell r="J13">
            <v>-4.07E-2</v>
          </cell>
          <cell r="K13">
            <v>1.6000000000000001E-3</v>
          </cell>
          <cell r="L13">
            <v>-0.65949999999999998</v>
          </cell>
          <cell r="M13">
            <v>-3.0099999999999998E-2</v>
          </cell>
          <cell r="N13">
            <v>0.84219999999999995</v>
          </cell>
          <cell r="O13">
            <v>0.50680000000000003</v>
          </cell>
          <cell r="P13">
            <v>0.43780000000000002</v>
          </cell>
        </row>
        <row r="14">
          <cell r="A14">
            <v>90</v>
          </cell>
          <cell r="B14">
            <v>5.1353999999999997</v>
          </cell>
          <cell r="C14">
            <v>-4.9599999999999998E-2</v>
          </cell>
          <cell r="D14">
            <v>0.44590000000000002</v>
          </cell>
          <cell r="E14">
            <v>-0.83709999999999996</v>
          </cell>
          <cell r="F14">
            <v>0.63090000000000002</v>
          </cell>
          <cell r="G14">
            <v>0.91390000000000005</v>
          </cell>
          <cell r="H14">
            <v>2.5000000000000001E-3</v>
          </cell>
          <cell r="I14">
            <v>1.6000000000000001E-3</v>
          </cell>
          <cell r="J14">
            <v>-9.7500000000000003E-2</v>
          </cell>
          <cell r="K14">
            <v>1.1999999999999999E-3</v>
          </cell>
          <cell r="L14">
            <v>0.46479999999999999</v>
          </cell>
          <cell r="M14">
            <v>8.0000000000000004E-4</v>
          </cell>
          <cell r="N14">
            <v>6.7900000000000002E-2</v>
          </cell>
          <cell r="O14">
            <v>0.58979999999999999</v>
          </cell>
          <cell r="P14">
            <v>0.34749999999999998</v>
          </cell>
        </row>
        <row r="18">
          <cell r="E18">
            <v>13.08197373</v>
          </cell>
          <cell r="F18">
            <v>17.16864833</v>
          </cell>
          <cell r="G18">
            <v>22.265246900000001</v>
          </cell>
        </row>
        <row r="19">
          <cell r="E19">
            <v>-1.03819712</v>
          </cell>
          <cell r="F19">
            <v>-1.57125015</v>
          </cell>
          <cell r="G19">
            <v>-3.5677026399999998</v>
          </cell>
        </row>
        <row r="20">
          <cell r="E20">
            <v>0.57950358000000002</v>
          </cell>
          <cell r="F20">
            <v>0.58594570999999995</v>
          </cell>
          <cell r="G20">
            <v>1.08316196</v>
          </cell>
        </row>
        <row r="21">
          <cell r="E21">
            <v>-7.2290160000000006E-2</v>
          </cell>
          <cell r="F21">
            <v>-6.3292440000000005E-2</v>
          </cell>
          <cell r="G21">
            <v>-0.10313583</v>
          </cell>
        </row>
        <row r="22">
          <cell r="E22">
            <v>2.77969E-3</v>
          </cell>
          <cell r="F22">
            <v>2.2038600000000002E-3</v>
          </cell>
          <cell r="G22">
            <v>3.18987E-3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1F44-3718-4F5B-A06F-E6D9D26FCB4F}">
  <dimension ref="A1:DC219"/>
  <sheetViews>
    <sheetView tabSelected="1" zoomScale="55" zoomScaleNormal="55" workbookViewId="0">
      <selection activeCell="E44" sqref="E44"/>
    </sheetView>
    <sheetView workbookViewId="1"/>
  </sheetViews>
  <sheetFormatPr defaultRowHeight="15" x14ac:dyDescent="0.25"/>
  <cols>
    <col min="4" max="4" width="22.85546875" customWidth="1"/>
  </cols>
  <sheetData>
    <row r="1" spans="1:103" x14ac:dyDescent="0.25">
      <c r="A1" t="s">
        <v>0</v>
      </c>
      <c r="B1" t="s">
        <v>82</v>
      </c>
      <c r="C1" t="s">
        <v>131</v>
      </c>
      <c r="D1" t="s">
        <v>83</v>
      </c>
      <c r="E1" t="s">
        <v>15</v>
      </c>
      <c r="F1" t="s">
        <v>58</v>
      </c>
      <c r="G1" t="s">
        <v>132</v>
      </c>
      <c r="H1" t="s">
        <v>133</v>
      </c>
      <c r="I1" t="s">
        <v>134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58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87</v>
      </c>
      <c r="AX1" t="s">
        <v>39</v>
      </c>
      <c r="AY1" t="s">
        <v>102</v>
      </c>
      <c r="AZ1" t="s">
        <v>103</v>
      </c>
      <c r="BA1" t="s">
        <v>104</v>
      </c>
      <c r="BB1" t="s">
        <v>40</v>
      </c>
      <c r="BC1" t="s">
        <v>41</v>
      </c>
      <c r="BF1" t="s">
        <v>42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49</v>
      </c>
      <c r="BN1" t="s">
        <v>50</v>
      </c>
      <c r="BO1" t="s">
        <v>51</v>
      </c>
      <c r="BP1" t="s">
        <v>52</v>
      </c>
      <c r="BQ1" t="s">
        <v>53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84</v>
      </c>
      <c r="CC1" t="s">
        <v>88</v>
      </c>
      <c r="CD1" t="s">
        <v>89</v>
      </c>
      <c r="CE1" t="s">
        <v>56</v>
      </c>
      <c r="CF1" t="s">
        <v>54</v>
      </c>
      <c r="CG1" t="s">
        <v>55</v>
      </c>
      <c r="CH1" t="s">
        <v>57</v>
      </c>
      <c r="CJ1" t="s">
        <v>85</v>
      </c>
      <c r="CK1" t="s">
        <v>59</v>
      </c>
      <c r="CL1" t="s">
        <v>105</v>
      </c>
      <c r="CM1" t="s">
        <v>106</v>
      </c>
      <c r="CN1" t="s">
        <v>86</v>
      </c>
      <c r="CO1" t="s">
        <v>107</v>
      </c>
      <c r="CP1" t="s">
        <v>60</v>
      </c>
      <c r="CQ1" t="s">
        <v>61</v>
      </c>
      <c r="CR1" t="s">
        <v>62</v>
      </c>
      <c r="CS1" t="s">
        <v>63</v>
      </c>
      <c r="CT1" t="s">
        <v>64</v>
      </c>
      <c r="CU1" t="s">
        <v>65</v>
      </c>
      <c r="CV1" t="s">
        <v>135</v>
      </c>
      <c r="CW1" t="s">
        <v>136</v>
      </c>
      <c r="CX1" t="s">
        <v>137</v>
      </c>
      <c r="CY1" t="s">
        <v>138</v>
      </c>
    </row>
    <row r="2" spans="1:103" x14ac:dyDescent="0.25">
      <c r="A2">
        <v>1</v>
      </c>
      <c r="B2">
        <v>1</v>
      </c>
      <c r="C2">
        <v>-180</v>
      </c>
      <c r="D2" t="str">
        <f>IF(B2&lt;=90,IF(C2=-180,"SSComp",IF(AND(C2&gt;-180,C2&lt;-90),"SSComp_and_Normal",IF(C2=-90,"Normal",IF(AND(C2&gt;-90,C2&lt;0),"SSTens_and_Normal",IF(C2=0,"SSTens"))))),IF(C2=0,"SSComp",IF(AND(C2&gt;0,C2&lt;90),"SSComp_and_Reverse",IF(C2=90,"Reverse",IF(AND(C2&gt;90,C2&lt;180),"SSTens_and_Reverse",IF(C2=180,"SSTens"))))))</f>
        <v>SSComp</v>
      </c>
      <c r="E2">
        <v>1</v>
      </c>
      <c r="F2">
        <v>0.2</v>
      </c>
      <c r="G2">
        <f>F2</f>
        <v>0.2</v>
      </c>
      <c r="I2">
        <f>B2</f>
        <v>1</v>
      </c>
      <c r="J2">
        <v>0.20319999999999999</v>
      </c>
      <c r="K2">
        <f>J2*1000</f>
        <v>203.2</v>
      </c>
      <c r="O2">
        <v>15</v>
      </c>
      <c r="AO2">
        <v>0.2</v>
      </c>
      <c r="BB2">
        <f t="shared" ref="BB2:BB21" si="0">-6.50785 + 0.98692*J2 + 0.01601*O2 + (-0.04575 * CB2)</f>
        <v>-6.0671578560000006</v>
      </c>
      <c r="BC2">
        <f t="shared" ref="BC2:BC21" si="1">0.34262 + (-0.10918 * J2) + 0.00197 * O2+ 0.0027*CB2</f>
        <v>0.34998462400000002</v>
      </c>
      <c r="CB2">
        <f>IF(AND(I2&gt;95,I2&lt;=120),I2-120,0)</f>
        <v>0</v>
      </c>
      <c r="CH2">
        <f t="shared" ref="CH2:CH21" si="2" xml:space="preserve"> 4.54097 - 0.01093*O2</f>
        <v>4.3770199999999999</v>
      </c>
      <c r="CJ2">
        <f>(LN(G2) - BB2) / CH2</f>
        <v>1.0184371886730927</v>
      </c>
      <c r="CN2">
        <f t="shared" ref="CN2:CN21" si="3">IF(CJ2&gt;=1,5,ATANH(CJ2))</f>
        <v>5</v>
      </c>
      <c r="CV2">
        <f>(CN2 / BC2) - 4</f>
        <v>10.286341905123237</v>
      </c>
      <c r="CW2">
        <f>MIN(EXP(CV2),100)</f>
        <v>100</v>
      </c>
      <c r="CX2">
        <v>0.57099999999999995</v>
      </c>
      <c r="CY2">
        <v>0.3</v>
      </c>
    </row>
    <row r="3" spans="1:103" x14ac:dyDescent="0.25">
      <c r="A3">
        <v>2</v>
      </c>
      <c r="B3">
        <f>B2+4.5</f>
        <v>5.5</v>
      </c>
      <c r="C3">
        <v>-180</v>
      </c>
      <c r="D3" t="str">
        <f t="shared" ref="D3:D21" si="4">IF(B3&lt;=90,IF(C3=-180,"SSComp",IF(AND(C3&gt;-180,C3&lt;-90),"SSComp_and_Normal",IF(C3=-90,"Normal",IF(AND(C3&gt;-90,C3&lt;0),"SSTens_and_Normal",IF(C3=0,"SSTens"))))),IF(C3=0,"SSComp",IF(AND(C3&gt;0,C3&lt;90),"SSComp_and_Reverse",IF(C3=90,"Reverse",IF(AND(C3&gt;90,C3&lt;180),"SSTens_and_Reverse",IF(C3=180,"SSTens"))))))</f>
        <v>SSComp</v>
      </c>
      <c r="E3">
        <f>E2+4.5</f>
        <v>5.5</v>
      </c>
      <c r="F3">
        <v>0.1</v>
      </c>
      <c r="G3">
        <f t="shared" ref="G3:G21" si="5">F3</f>
        <v>0.1</v>
      </c>
      <c r="I3">
        <f t="shared" ref="I3:I21" si="6">B3</f>
        <v>5.5</v>
      </c>
      <c r="J3">
        <v>0.30480000000000002</v>
      </c>
      <c r="K3">
        <f t="shared" ref="K3:K21" si="7">J3*1000</f>
        <v>304.8</v>
      </c>
      <c r="O3">
        <v>30</v>
      </c>
      <c r="AO3">
        <v>0.1</v>
      </c>
      <c r="BB3">
        <f t="shared" si="0"/>
        <v>-5.7267367840000007</v>
      </c>
      <c r="BC3">
        <f t="shared" si="1"/>
        <v>0.36844193599999997</v>
      </c>
      <c r="CB3">
        <f t="shared" ref="CB3:CB21" si="8">IF(AND(I3&gt;95,I3&lt;=120),I3-120,0)</f>
        <v>0</v>
      </c>
      <c r="CH3">
        <f t="shared" si="2"/>
        <v>4.2130700000000001</v>
      </c>
      <c r="CJ3">
        <f t="shared" ref="CJ3:CJ21" si="9">(LN(G3) - BB3) / CH3</f>
        <v>0.81274502702446316</v>
      </c>
      <c r="CN3">
        <f t="shared" si="3"/>
        <v>1.135063192462112</v>
      </c>
      <c r="CV3">
        <f t="shared" ref="CV3:CV21" si="10">(CN3 / BC3) - 4</f>
        <v>-0.91928881716083488</v>
      </c>
      <c r="CW3">
        <f t="shared" ref="CW3:CW21" si="11">MIN(EXP(CV3),100)</f>
        <v>0.39880256179319534</v>
      </c>
      <c r="CX3">
        <v>0.57099999999999995</v>
      </c>
      <c r="CY3">
        <v>0.3</v>
      </c>
    </row>
    <row r="4" spans="1:103" x14ac:dyDescent="0.25">
      <c r="A4">
        <v>3</v>
      </c>
      <c r="B4">
        <f t="shared" ref="B4:B21" si="12">B3+4.5</f>
        <v>10</v>
      </c>
      <c r="C4">
        <v>-180</v>
      </c>
      <c r="D4" t="str">
        <f t="shared" si="4"/>
        <v>SSComp</v>
      </c>
      <c r="E4">
        <f t="shared" ref="E4:E21" si="13">E3+4.5</f>
        <v>10</v>
      </c>
      <c r="F4">
        <v>0.2</v>
      </c>
      <c r="G4">
        <f t="shared" si="5"/>
        <v>0.2</v>
      </c>
      <c r="I4">
        <f t="shared" si="6"/>
        <v>10</v>
      </c>
      <c r="J4">
        <v>0.40639999999999998</v>
      </c>
      <c r="K4">
        <f t="shared" si="7"/>
        <v>406.4</v>
      </c>
      <c r="O4">
        <v>50</v>
      </c>
      <c r="AO4">
        <v>0.2</v>
      </c>
      <c r="BB4">
        <f t="shared" si="0"/>
        <v>-5.3062657120000001</v>
      </c>
      <c r="BC4">
        <f t="shared" si="1"/>
        <v>0.396749248</v>
      </c>
      <c r="CB4">
        <f t="shared" si="8"/>
        <v>0</v>
      </c>
      <c r="CH4">
        <f t="shared" si="2"/>
        <v>3.9944699999999997</v>
      </c>
      <c r="CJ4">
        <f t="shared" si="9"/>
        <v>0.92548643488770721</v>
      </c>
      <c r="CN4">
        <f t="shared" si="3"/>
        <v>1.6259763586968217</v>
      </c>
      <c r="CV4">
        <f t="shared" si="10"/>
        <v>9.8246857160575018E-2</v>
      </c>
      <c r="CW4">
        <f t="shared" si="11"/>
        <v>1.1032350929790506</v>
      </c>
      <c r="CX4">
        <v>0.57099999999999995</v>
      </c>
      <c r="CY4">
        <v>0.3</v>
      </c>
    </row>
    <row r="5" spans="1:103" x14ac:dyDescent="0.25">
      <c r="A5">
        <v>4</v>
      </c>
      <c r="B5">
        <f t="shared" si="12"/>
        <v>14.5</v>
      </c>
      <c r="C5">
        <v>-180</v>
      </c>
      <c r="D5" t="str">
        <f t="shared" si="4"/>
        <v>SSComp</v>
      </c>
      <c r="E5">
        <f t="shared" si="13"/>
        <v>14.5</v>
      </c>
      <c r="F5">
        <v>0.7</v>
      </c>
      <c r="G5">
        <f t="shared" si="5"/>
        <v>0.7</v>
      </c>
      <c r="I5">
        <f t="shared" si="6"/>
        <v>14.5</v>
      </c>
      <c r="J5">
        <v>0.50800000000000001</v>
      </c>
      <c r="K5">
        <f t="shared" si="7"/>
        <v>508</v>
      </c>
      <c r="O5">
        <v>100</v>
      </c>
      <c r="AO5">
        <v>0.7</v>
      </c>
      <c r="BB5">
        <f t="shared" si="0"/>
        <v>-4.4054946400000006</v>
      </c>
      <c r="BC5">
        <f t="shared" si="1"/>
        <v>0.48415656000000001</v>
      </c>
      <c r="CB5">
        <f t="shared" si="8"/>
        <v>0</v>
      </c>
      <c r="CH5">
        <f t="shared" si="2"/>
        <v>3.4479699999999998</v>
      </c>
      <c r="CJ5">
        <f t="shared" si="9"/>
        <v>1.174261868885538</v>
      </c>
      <c r="CN5">
        <f t="shared" si="3"/>
        <v>5</v>
      </c>
      <c r="CV5">
        <f t="shared" si="10"/>
        <v>6.3272379496417432</v>
      </c>
      <c r="CW5">
        <f t="shared" si="11"/>
        <v>100</v>
      </c>
      <c r="CX5">
        <v>0.57099999999999995</v>
      </c>
      <c r="CY5">
        <v>0.3</v>
      </c>
    </row>
    <row r="6" spans="1:103" x14ac:dyDescent="0.25">
      <c r="A6">
        <v>5</v>
      </c>
      <c r="B6">
        <f t="shared" si="12"/>
        <v>19</v>
      </c>
      <c r="C6">
        <v>-180</v>
      </c>
      <c r="D6" t="str">
        <f t="shared" si="4"/>
        <v>SSComp</v>
      </c>
      <c r="E6">
        <f t="shared" si="13"/>
        <v>19</v>
      </c>
      <c r="F6">
        <v>0.2</v>
      </c>
      <c r="G6">
        <f t="shared" si="5"/>
        <v>0.2</v>
      </c>
      <c r="I6">
        <f t="shared" si="6"/>
        <v>19</v>
      </c>
      <c r="J6">
        <v>0.60960000000000003</v>
      </c>
      <c r="K6">
        <f t="shared" si="7"/>
        <v>609.6</v>
      </c>
      <c r="O6">
        <v>15</v>
      </c>
      <c r="AO6">
        <v>0.2</v>
      </c>
      <c r="BB6">
        <f t="shared" si="0"/>
        <v>-5.6660735680000007</v>
      </c>
      <c r="BC6">
        <f t="shared" si="1"/>
        <v>0.30561387200000001</v>
      </c>
      <c r="CB6">
        <f t="shared" si="8"/>
        <v>0</v>
      </c>
      <c r="CH6">
        <f t="shared" si="2"/>
        <v>4.3770199999999999</v>
      </c>
      <c r="CJ6">
        <f t="shared" si="9"/>
        <v>0.92680308876036677</v>
      </c>
      <c r="CN6">
        <f t="shared" si="3"/>
        <v>1.6352321269547774</v>
      </c>
      <c r="CV6">
        <f t="shared" si="10"/>
        <v>1.3506475876028867</v>
      </c>
      <c r="CW6">
        <f t="shared" si="11"/>
        <v>3.8599243606680402</v>
      </c>
      <c r="CX6">
        <v>0.57099999999999995</v>
      </c>
      <c r="CY6">
        <v>0.3</v>
      </c>
    </row>
    <row r="7" spans="1:103" x14ac:dyDescent="0.25">
      <c r="A7">
        <v>6</v>
      </c>
      <c r="B7">
        <f t="shared" si="12"/>
        <v>23.5</v>
      </c>
      <c r="C7">
        <v>-180</v>
      </c>
      <c r="D7" t="str">
        <f t="shared" si="4"/>
        <v>SSComp</v>
      </c>
      <c r="E7">
        <f t="shared" si="13"/>
        <v>23.5</v>
      </c>
      <c r="F7">
        <v>0.3</v>
      </c>
      <c r="G7">
        <f t="shared" si="5"/>
        <v>0.3</v>
      </c>
      <c r="I7">
        <f t="shared" si="6"/>
        <v>23.5</v>
      </c>
      <c r="J7">
        <v>0.76200000000000001</v>
      </c>
      <c r="K7">
        <f t="shared" si="7"/>
        <v>762</v>
      </c>
      <c r="O7">
        <v>30</v>
      </c>
      <c r="AO7">
        <v>0.3</v>
      </c>
      <c r="BB7">
        <f t="shared" si="0"/>
        <v>-5.2755169600000009</v>
      </c>
      <c r="BC7">
        <f t="shared" si="1"/>
        <v>0.31852483999999998</v>
      </c>
      <c r="CB7">
        <f t="shared" si="8"/>
        <v>0</v>
      </c>
      <c r="CH7">
        <f t="shared" si="2"/>
        <v>4.2130700000000001</v>
      </c>
      <c r="CJ7">
        <f t="shared" si="9"/>
        <v>0.96640790579650115</v>
      </c>
      <c r="CN7">
        <f t="shared" si="3"/>
        <v>2.0348365057620685</v>
      </c>
      <c r="CV7">
        <f t="shared" si="10"/>
        <v>2.38831340677251</v>
      </c>
      <c r="CW7">
        <f t="shared" si="11"/>
        <v>10.895102831591004</v>
      </c>
      <c r="CX7">
        <v>0.57099999999999995</v>
      </c>
      <c r="CY7">
        <v>0.3</v>
      </c>
    </row>
    <row r="8" spans="1:103" x14ac:dyDescent="0.25">
      <c r="A8">
        <v>7</v>
      </c>
      <c r="B8">
        <f t="shared" si="12"/>
        <v>28</v>
      </c>
      <c r="C8">
        <v>-180</v>
      </c>
      <c r="D8" t="str">
        <f t="shared" si="4"/>
        <v>SSComp</v>
      </c>
      <c r="E8">
        <f t="shared" si="13"/>
        <v>28</v>
      </c>
      <c r="F8">
        <v>0.5</v>
      </c>
      <c r="G8">
        <f t="shared" si="5"/>
        <v>0.5</v>
      </c>
      <c r="I8">
        <f t="shared" si="6"/>
        <v>28</v>
      </c>
      <c r="J8">
        <v>0.86360000000000003</v>
      </c>
      <c r="K8">
        <f t="shared" si="7"/>
        <v>863.6</v>
      </c>
      <c r="O8">
        <v>50</v>
      </c>
      <c r="AO8">
        <v>0.5</v>
      </c>
      <c r="BB8">
        <f t="shared" si="0"/>
        <v>-4.8550458880000011</v>
      </c>
      <c r="BC8">
        <f t="shared" si="1"/>
        <v>0.34683215199999995</v>
      </c>
      <c r="CB8">
        <f t="shared" si="8"/>
        <v>0</v>
      </c>
      <c r="CH8">
        <f t="shared" si="2"/>
        <v>3.9944699999999997</v>
      </c>
      <c r="CJ8">
        <f t="shared" si="9"/>
        <v>1.0419151245196625</v>
      </c>
      <c r="CN8">
        <f t="shared" si="3"/>
        <v>5</v>
      </c>
      <c r="CV8">
        <f t="shared" si="10"/>
        <v>10.416195185964192</v>
      </c>
      <c r="CW8">
        <f t="shared" si="11"/>
        <v>100</v>
      </c>
      <c r="CX8">
        <v>0.57099999999999995</v>
      </c>
      <c r="CY8">
        <v>0.3</v>
      </c>
    </row>
    <row r="9" spans="1:103" x14ac:dyDescent="0.25">
      <c r="A9">
        <v>8</v>
      </c>
      <c r="B9">
        <f t="shared" si="12"/>
        <v>32.5</v>
      </c>
      <c r="C9">
        <v>-180</v>
      </c>
      <c r="D9" t="str">
        <f t="shared" si="4"/>
        <v>SSComp</v>
      </c>
      <c r="E9">
        <f t="shared" si="13"/>
        <v>32.5</v>
      </c>
      <c r="F9">
        <v>0.65</v>
      </c>
      <c r="G9">
        <f t="shared" si="5"/>
        <v>0.65</v>
      </c>
      <c r="I9">
        <f t="shared" si="6"/>
        <v>32.5</v>
      </c>
      <c r="J9">
        <v>1.0668</v>
      </c>
      <c r="K9">
        <f t="shared" si="7"/>
        <v>1066.8</v>
      </c>
      <c r="O9">
        <v>100</v>
      </c>
      <c r="AO9">
        <v>0.65</v>
      </c>
      <c r="BB9">
        <f t="shared" si="0"/>
        <v>-3.8540037440000008</v>
      </c>
      <c r="BC9">
        <f t="shared" si="1"/>
        <v>0.423146776</v>
      </c>
      <c r="CB9">
        <f t="shared" si="8"/>
        <v>0</v>
      </c>
      <c r="CH9">
        <f t="shared" si="2"/>
        <v>3.4479699999999998</v>
      </c>
      <c r="CJ9">
        <f t="shared" si="9"/>
        <v>0.99282210341376143</v>
      </c>
      <c r="CN9">
        <f t="shared" si="3"/>
        <v>2.8131503349727711</v>
      </c>
      <c r="CV9">
        <f t="shared" si="10"/>
        <v>2.6481667698509677</v>
      </c>
      <c r="CW9">
        <f t="shared" si="11"/>
        <v>14.128114804444175</v>
      </c>
      <c r="CX9">
        <v>0.57099999999999995</v>
      </c>
      <c r="CY9">
        <v>0.3</v>
      </c>
    </row>
    <row r="10" spans="1:103" x14ac:dyDescent="0.25">
      <c r="A10">
        <v>9</v>
      </c>
      <c r="B10">
        <f t="shared" si="12"/>
        <v>37</v>
      </c>
      <c r="C10">
        <v>-180</v>
      </c>
      <c r="D10" t="str">
        <f t="shared" si="4"/>
        <v>SSComp</v>
      </c>
      <c r="E10">
        <f t="shared" si="13"/>
        <v>37</v>
      </c>
      <c r="F10">
        <v>0.54</v>
      </c>
      <c r="G10">
        <f t="shared" si="5"/>
        <v>0.54</v>
      </c>
      <c r="I10">
        <f t="shared" si="6"/>
        <v>37</v>
      </c>
      <c r="J10">
        <v>0.60960000000000003</v>
      </c>
      <c r="K10">
        <f t="shared" si="7"/>
        <v>609.6</v>
      </c>
      <c r="O10">
        <v>150</v>
      </c>
      <c r="AO10">
        <v>0.54</v>
      </c>
      <c r="BB10">
        <f t="shared" si="0"/>
        <v>-3.5047235680000006</v>
      </c>
      <c r="BC10">
        <f t="shared" si="1"/>
        <v>0.57156387200000003</v>
      </c>
      <c r="CB10">
        <f t="shared" si="8"/>
        <v>0</v>
      </c>
      <c r="CH10">
        <f t="shared" si="2"/>
        <v>2.9014699999999998</v>
      </c>
      <c r="CJ10">
        <f t="shared" si="9"/>
        <v>0.99554275197613074</v>
      </c>
      <c r="CN10">
        <f t="shared" si="3"/>
        <v>3.0520699039355779</v>
      </c>
      <c r="CV10">
        <f t="shared" si="10"/>
        <v>1.3398579816737923</v>
      </c>
      <c r="CW10">
        <f t="shared" si="11"/>
        <v>3.8185011697117019</v>
      </c>
      <c r="CX10">
        <v>0.57099999999999995</v>
      </c>
      <c r="CY10">
        <v>0.3</v>
      </c>
    </row>
    <row r="11" spans="1:103" x14ac:dyDescent="0.25">
      <c r="A11">
        <v>10</v>
      </c>
      <c r="B11">
        <f t="shared" si="12"/>
        <v>41.5</v>
      </c>
      <c r="C11">
        <v>-180</v>
      </c>
      <c r="D11" t="str">
        <f t="shared" si="4"/>
        <v>SSComp</v>
      </c>
      <c r="E11">
        <f t="shared" si="13"/>
        <v>41.5</v>
      </c>
      <c r="F11">
        <v>0.5</v>
      </c>
      <c r="G11">
        <f t="shared" si="5"/>
        <v>0.5</v>
      </c>
      <c r="I11">
        <f t="shared" si="6"/>
        <v>41.5</v>
      </c>
      <c r="J11">
        <v>0.60960000000000003</v>
      </c>
      <c r="K11">
        <f t="shared" si="7"/>
        <v>609.6</v>
      </c>
      <c r="O11">
        <v>200</v>
      </c>
      <c r="AO11">
        <v>0.5</v>
      </c>
      <c r="BB11">
        <f t="shared" si="0"/>
        <v>-2.7042235680000006</v>
      </c>
      <c r="BC11">
        <f t="shared" si="1"/>
        <v>0.67006387200000006</v>
      </c>
      <c r="CB11">
        <f t="shared" si="8"/>
        <v>0</v>
      </c>
      <c r="CH11">
        <f t="shared" si="2"/>
        <v>2.3549699999999998</v>
      </c>
      <c r="CJ11">
        <f t="shared" si="9"/>
        <v>0.85397112805685649</v>
      </c>
      <c r="CN11">
        <f t="shared" si="3"/>
        <v>1.2706404090133321</v>
      </c>
      <c r="CV11">
        <f t="shared" si="10"/>
        <v>-2.1037025541748173</v>
      </c>
      <c r="CW11">
        <f t="shared" si="11"/>
        <v>0.1220038650302576</v>
      </c>
      <c r="CX11">
        <v>0.57099999999999995</v>
      </c>
      <c r="CY11">
        <v>0.3</v>
      </c>
    </row>
    <row r="12" spans="1:103" x14ac:dyDescent="0.25">
      <c r="A12">
        <v>11</v>
      </c>
      <c r="B12">
        <f t="shared" si="12"/>
        <v>46</v>
      </c>
      <c r="C12">
        <v>-180</v>
      </c>
      <c r="D12" t="str">
        <f t="shared" si="4"/>
        <v>SSComp</v>
      </c>
      <c r="E12">
        <f t="shared" si="13"/>
        <v>46</v>
      </c>
      <c r="F12">
        <v>0.7</v>
      </c>
      <c r="G12">
        <f t="shared" si="5"/>
        <v>0.7</v>
      </c>
      <c r="I12">
        <f t="shared" si="6"/>
        <v>46</v>
      </c>
      <c r="J12">
        <v>0.20319999999999999</v>
      </c>
      <c r="K12">
        <f t="shared" si="7"/>
        <v>203.2</v>
      </c>
      <c r="O12">
        <v>15</v>
      </c>
      <c r="AO12">
        <v>0.7</v>
      </c>
      <c r="BB12">
        <f t="shared" si="0"/>
        <v>-6.0671578560000006</v>
      </c>
      <c r="BC12">
        <f t="shared" si="1"/>
        <v>0.34998462400000002</v>
      </c>
      <c r="CB12">
        <f t="shared" si="8"/>
        <v>0</v>
      </c>
      <c r="CH12">
        <f t="shared" si="2"/>
        <v>4.3770199999999999</v>
      </c>
      <c r="CJ12">
        <f t="shared" si="9"/>
        <v>1.3046508611021352</v>
      </c>
      <c r="CN12">
        <f t="shared" si="3"/>
        <v>5</v>
      </c>
      <c r="CV12">
        <f t="shared" si="10"/>
        <v>10.286341905123237</v>
      </c>
      <c r="CW12">
        <f t="shared" si="11"/>
        <v>100</v>
      </c>
      <c r="CX12">
        <v>0.57099999999999995</v>
      </c>
      <c r="CY12">
        <v>0.3</v>
      </c>
    </row>
    <row r="13" spans="1:103" x14ac:dyDescent="0.25">
      <c r="A13">
        <v>12</v>
      </c>
      <c r="B13">
        <f t="shared" si="12"/>
        <v>50.5</v>
      </c>
      <c r="C13">
        <v>-180</v>
      </c>
      <c r="D13" t="str">
        <f t="shared" si="4"/>
        <v>SSComp</v>
      </c>
      <c r="E13">
        <f t="shared" si="13"/>
        <v>50.5</v>
      </c>
      <c r="F13">
        <v>0.6</v>
      </c>
      <c r="G13">
        <f t="shared" si="5"/>
        <v>0.6</v>
      </c>
      <c r="I13">
        <f t="shared" si="6"/>
        <v>50.5</v>
      </c>
      <c r="J13">
        <v>0.30480000000000002</v>
      </c>
      <c r="K13">
        <f t="shared" si="7"/>
        <v>304.8</v>
      </c>
      <c r="O13">
        <v>30</v>
      </c>
      <c r="AO13">
        <v>0.6</v>
      </c>
      <c r="BB13">
        <f t="shared" si="0"/>
        <v>-5.7267367840000007</v>
      </c>
      <c r="BC13">
        <f t="shared" si="1"/>
        <v>0.36844193599999997</v>
      </c>
      <c r="CB13">
        <f t="shared" si="8"/>
        <v>0</v>
      </c>
      <c r="CH13">
        <f t="shared" si="2"/>
        <v>4.2130700000000001</v>
      </c>
      <c r="CJ13">
        <f t="shared" si="9"/>
        <v>1.2380309750927494</v>
      </c>
      <c r="CN13">
        <f t="shared" si="3"/>
        <v>5</v>
      </c>
      <c r="CV13">
        <f t="shared" si="10"/>
        <v>9.570659339929211</v>
      </c>
      <c r="CW13">
        <f t="shared" si="11"/>
        <v>100</v>
      </c>
      <c r="CX13">
        <v>0.57099999999999995</v>
      </c>
      <c r="CY13">
        <v>0.3</v>
      </c>
    </row>
    <row r="14" spans="1:103" x14ac:dyDescent="0.25">
      <c r="A14">
        <v>13</v>
      </c>
      <c r="B14">
        <f t="shared" si="12"/>
        <v>55</v>
      </c>
      <c r="C14">
        <v>-180</v>
      </c>
      <c r="D14" t="str">
        <f t="shared" si="4"/>
        <v>SSComp</v>
      </c>
      <c r="E14">
        <f t="shared" si="13"/>
        <v>55</v>
      </c>
      <c r="F14">
        <v>0.5</v>
      </c>
      <c r="G14">
        <f t="shared" si="5"/>
        <v>0.5</v>
      </c>
      <c r="I14">
        <f t="shared" si="6"/>
        <v>55</v>
      </c>
      <c r="J14">
        <v>0.40639999999999998</v>
      </c>
      <c r="K14">
        <f t="shared" si="7"/>
        <v>406.4</v>
      </c>
      <c r="O14">
        <v>50</v>
      </c>
      <c r="AO14">
        <v>0.5</v>
      </c>
      <c r="BB14">
        <f t="shared" si="0"/>
        <v>-5.3062657120000001</v>
      </c>
      <c r="BC14">
        <f t="shared" si="1"/>
        <v>0.396749248</v>
      </c>
      <c r="CB14">
        <f t="shared" si="8"/>
        <v>0</v>
      </c>
      <c r="CH14">
        <f t="shared" si="2"/>
        <v>3.9944699999999997</v>
      </c>
      <c r="CJ14">
        <f t="shared" si="9"/>
        <v>1.1548762492746358</v>
      </c>
      <c r="CN14">
        <f t="shared" si="3"/>
        <v>5</v>
      </c>
      <c r="CV14">
        <f t="shared" si="10"/>
        <v>8.6024183415717523</v>
      </c>
      <c r="CW14">
        <f t="shared" si="11"/>
        <v>100</v>
      </c>
      <c r="CX14">
        <v>0.57099999999999995</v>
      </c>
      <c r="CY14">
        <v>0.3</v>
      </c>
    </row>
    <row r="15" spans="1:103" x14ac:dyDescent="0.25">
      <c r="A15">
        <v>14</v>
      </c>
      <c r="B15">
        <f t="shared" si="12"/>
        <v>59.5</v>
      </c>
      <c r="C15">
        <v>-180</v>
      </c>
      <c r="D15" t="str">
        <f t="shared" si="4"/>
        <v>SSComp</v>
      </c>
      <c r="E15">
        <f t="shared" si="13"/>
        <v>59.5</v>
      </c>
      <c r="F15">
        <v>0.2</v>
      </c>
      <c r="G15">
        <f t="shared" si="5"/>
        <v>0.2</v>
      </c>
      <c r="I15">
        <f t="shared" si="6"/>
        <v>59.5</v>
      </c>
      <c r="J15">
        <v>0.50800000000000001</v>
      </c>
      <c r="K15">
        <f t="shared" si="7"/>
        <v>508</v>
      </c>
      <c r="O15">
        <v>100</v>
      </c>
      <c r="AO15">
        <v>0.2</v>
      </c>
      <c r="BB15">
        <f t="shared" si="0"/>
        <v>-4.4054946400000006</v>
      </c>
      <c r="BC15">
        <f t="shared" si="1"/>
        <v>0.48415656000000001</v>
      </c>
      <c r="CB15">
        <f t="shared" si="8"/>
        <v>0</v>
      </c>
      <c r="CH15">
        <f t="shared" si="2"/>
        <v>3.4479699999999998</v>
      </c>
      <c r="CJ15">
        <f t="shared" si="9"/>
        <v>0.81092838034144732</v>
      </c>
      <c r="CN15">
        <f t="shared" si="3"/>
        <v>1.129734513403053</v>
      </c>
      <c r="CV15">
        <f t="shared" si="10"/>
        <v>-1.6665925720327883</v>
      </c>
      <c r="CW15">
        <f t="shared" si="11"/>
        <v>0.18888959802468036</v>
      </c>
      <c r="CX15">
        <v>0.57099999999999995</v>
      </c>
      <c r="CY15">
        <v>0.3</v>
      </c>
    </row>
    <row r="16" spans="1:103" x14ac:dyDescent="0.25">
      <c r="A16">
        <v>15</v>
      </c>
      <c r="B16">
        <f t="shared" si="12"/>
        <v>64</v>
      </c>
      <c r="C16">
        <v>-180</v>
      </c>
      <c r="D16" t="str">
        <f t="shared" si="4"/>
        <v>SSComp</v>
      </c>
      <c r="E16">
        <f t="shared" si="13"/>
        <v>64</v>
      </c>
      <c r="F16">
        <v>0.4</v>
      </c>
      <c r="G16">
        <f t="shared" si="5"/>
        <v>0.4</v>
      </c>
      <c r="I16">
        <f t="shared" si="6"/>
        <v>64</v>
      </c>
      <c r="J16">
        <v>0.60960000000000003</v>
      </c>
      <c r="K16">
        <f t="shared" si="7"/>
        <v>609.6</v>
      </c>
      <c r="O16">
        <v>15</v>
      </c>
      <c r="AO16">
        <v>0.4</v>
      </c>
      <c r="BB16">
        <f t="shared" si="0"/>
        <v>-5.6660735680000007</v>
      </c>
      <c r="BC16">
        <f t="shared" si="1"/>
        <v>0.30561387200000001</v>
      </c>
      <c r="CB16">
        <f t="shared" si="8"/>
        <v>0</v>
      </c>
      <c r="CH16">
        <f t="shared" si="2"/>
        <v>4.3770199999999999</v>
      </c>
      <c r="CJ16">
        <f t="shared" si="9"/>
        <v>1.0851636127150084</v>
      </c>
      <c r="CN16">
        <f t="shared" si="3"/>
        <v>5</v>
      </c>
      <c r="CV16">
        <f t="shared" si="10"/>
        <v>12.360513897091685</v>
      </c>
      <c r="CW16">
        <f t="shared" si="11"/>
        <v>100</v>
      </c>
      <c r="CX16">
        <v>0.57099999999999995</v>
      </c>
      <c r="CY16">
        <v>0.3</v>
      </c>
    </row>
    <row r="17" spans="1:107" x14ac:dyDescent="0.25">
      <c r="A17">
        <v>16</v>
      </c>
      <c r="B17">
        <f t="shared" si="12"/>
        <v>68.5</v>
      </c>
      <c r="C17">
        <v>-180</v>
      </c>
      <c r="D17" t="str">
        <f t="shared" si="4"/>
        <v>SSComp</v>
      </c>
      <c r="E17">
        <f t="shared" si="13"/>
        <v>68.5</v>
      </c>
      <c r="F17">
        <v>0.3</v>
      </c>
      <c r="G17">
        <f t="shared" si="5"/>
        <v>0.3</v>
      </c>
      <c r="I17">
        <f t="shared" si="6"/>
        <v>68.5</v>
      </c>
      <c r="J17">
        <v>0.76200000000000001</v>
      </c>
      <c r="K17">
        <f t="shared" si="7"/>
        <v>762</v>
      </c>
      <c r="O17">
        <v>30</v>
      </c>
      <c r="AO17">
        <v>0.3</v>
      </c>
      <c r="BB17">
        <f t="shared" si="0"/>
        <v>-5.2755169600000009</v>
      </c>
      <c r="BC17">
        <f t="shared" si="1"/>
        <v>0.31852483999999998</v>
      </c>
      <c r="CB17">
        <f t="shared" si="8"/>
        <v>0</v>
      </c>
      <c r="CH17">
        <f t="shared" si="2"/>
        <v>4.2130700000000001</v>
      </c>
      <c r="CJ17">
        <f t="shared" si="9"/>
        <v>0.96640790579650115</v>
      </c>
      <c r="CN17">
        <f t="shared" si="3"/>
        <v>2.0348365057620685</v>
      </c>
      <c r="CV17">
        <f t="shared" si="10"/>
        <v>2.38831340677251</v>
      </c>
      <c r="CW17">
        <f t="shared" si="11"/>
        <v>10.895102831591004</v>
      </c>
      <c r="CX17">
        <v>0.57099999999999995</v>
      </c>
      <c r="CY17">
        <v>0.3</v>
      </c>
    </row>
    <row r="18" spans="1:107" x14ac:dyDescent="0.25">
      <c r="A18">
        <v>17</v>
      </c>
      <c r="B18">
        <f t="shared" si="12"/>
        <v>73</v>
      </c>
      <c r="C18">
        <v>-180</v>
      </c>
      <c r="D18" t="str">
        <f t="shared" si="4"/>
        <v>SSComp</v>
      </c>
      <c r="E18">
        <f t="shared" si="13"/>
        <v>73</v>
      </c>
      <c r="F18">
        <v>0.5</v>
      </c>
      <c r="G18">
        <f t="shared" si="5"/>
        <v>0.5</v>
      </c>
      <c r="I18">
        <f t="shared" si="6"/>
        <v>73</v>
      </c>
      <c r="J18">
        <v>0.86360000000000003</v>
      </c>
      <c r="K18">
        <f t="shared" si="7"/>
        <v>863.6</v>
      </c>
      <c r="O18">
        <v>50</v>
      </c>
      <c r="AO18">
        <v>0.5</v>
      </c>
      <c r="BB18">
        <f t="shared" si="0"/>
        <v>-4.8550458880000011</v>
      </c>
      <c r="BC18">
        <f t="shared" si="1"/>
        <v>0.34683215199999995</v>
      </c>
      <c r="CB18">
        <f t="shared" si="8"/>
        <v>0</v>
      </c>
      <c r="CH18">
        <f t="shared" si="2"/>
        <v>3.9944699999999997</v>
      </c>
      <c r="CJ18">
        <f t="shared" si="9"/>
        <v>1.0419151245196625</v>
      </c>
      <c r="CN18">
        <f t="shared" si="3"/>
        <v>5</v>
      </c>
      <c r="CV18">
        <f t="shared" si="10"/>
        <v>10.416195185964192</v>
      </c>
      <c r="CW18">
        <f t="shared" si="11"/>
        <v>100</v>
      </c>
      <c r="CX18">
        <v>0.57099999999999995</v>
      </c>
      <c r="CY18">
        <v>0.3</v>
      </c>
    </row>
    <row r="19" spans="1:107" x14ac:dyDescent="0.25">
      <c r="A19">
        <v>18</v>
      </c>
      <c r="B19">
        <f t="shared" si="12"/>
        <v>77.5</v>
      </c>
      <c r="C19">
        <v>-180</v>
      </c>
      <c r="D19" t="str">
        <f t="shared" si="4"/>
        <v>SSComp</v>
      </c>
      <c r="E19">
        <f t="shared" si="13"/>
        <v>77.5</v>
      </c>
      <c r="F19">
        <v>0.7</v>
      </c>
      <c r="G19">
        <f t="shared" si="5"/>
        <v>0.7</v>
      </c>
      <c r="I19">
        <f t="shared" si="6"/>
        <v>77.5</v>
      </c>
      <c r="J19">
        <v>1.0668</v>
      </c>
      <c r="K19">
        <f t="shared" si="7"/>
        <v>1066.8</v>
      </c>
      <c r="O19">
        <v>100</v>
      </c>
      <c r="AO19">
        <v>0.7</v>
      </c>
      <c r="BB19">
        <f t="shared" si="0"/>
        <v>-3.8540037440000008</v>
      </c>
      <c r="BC19">
        <f t="shared" si="1"/>
        <v>0.423146776</v>
      </c>
      <c r="CB19">
        <f t="shared" si="8"/>
        <v>0</v>
      </c>
      <c r="CH19">
        <f t="shared" si="2"/>
        <v>3.4479699999999998</v>
      </c>
      <c r="CJ19">
        <f t="shared" si="9"/>
        <v>1.0143153217868104</v>
      </c>
      <c r="CN19">
        <f t="shared" si="3"/>
        <v>5</v>
      </c>
      <c r="CV19">
        <f t="shared" si="10"/>
        <v>7.8162308768246405</v>
      </c>
      <c r="CW19">
        <f t="shared" si="11"/>
        <v>100</v>
      </c>
      <c r="CX19">
        <v>0.57099999999999995</v>
      </c>
      <c r="CY19">
        <v>0.3</v>
      </c>
    </row>
    <row r="20" spans="1:107" x14ac:dyDescent="0.25">
      <c r="A20">
        <v>19</v>
      </c>
      <c r="B20">
        <f t="shared" si="12"/>
        <v>82</v>
      </c>
      <c r="C20">
        <v>-180</v>
      </c>
      <c r="D20" t="str">
        <f t="shared" si="4"/>
        <v>SSComp</v>
      </c>
      <c r="E20">
        <f t="shared" si="13"/>
        <v>82</v>
      </c>
      <c r="F20">
        <v>0.6</v>
      </c>
      <c r="G20">
        <f t="shared" si="5"/>
        <v>0.6</v>
      </c>
      <c r="I20">
        <f t="shared" si="6"/>
        <v>82</v>
      </c>
      <c r="J20">
        <v>0.60960000000000003</v>
      </c>
      <c r="K20">
        <f t="shared" si="7"/>
        <v>609.6</v>
      </c>
      <c r="O20">
        <v>150</v>
      </c>
      <c r="AO20">
        <v>0.6</v>
      </c>
      <c r="BB20">
        <f t="shared" si="0"/>
        <v>-3.5047235680000006</v>
      </c>
      <c r="BC20">
        <f t="shared" si="1"/>
        <v>0.57156387200000003</v>
      </c>
      <c r="CB20">
        <f t="shared" si="8"/>
        <v>0</v>
      </c>
      <c r="CH20">
        <f t="shared" si="2"/>
        <v>2.9014699999999998</v>
      </c>
      <c r="CJ20">
        <f t="shared" si="9"/>
        <v>1.0318555574360617</v>
      </c>
      <c r="CN20">
        <f t="shared" si="3"/>
        <v>5</v>
      </c>
      <c r="CV20">
        <f t="shared" si="10"/>
        <v>4.7479287004340254</v>
      </c>
      <c r="CW20">
        <f t="shared" si="11"/>
        <v>100</v>
      </c>
      <c r="CX20">
        <v>0.57099999999999995</v>
      </c>
      <c r="CY20">
        <v>0.3</v>
      </c>
    </row>
    <row r="21" spans="1:107" x14ac:dyDescent="0.25">
      <c r="A21">
        <v>20</v>
      </c>
      <c r="B21">
        <f t="shared" si="12"/>
        <v>86.5</v>
      </c>
      <c r="C21">
        <v>-180</v>
      </c>
      <c r="D21" t="str">
        <f t="shared" si="4"/>
        <v>SSComp</v>
      </c>
      <c r="E21">
        <f t="shared" si="13"/>
        <v>86.5</v>
      </c>
      <c r="F21">
        <v>1.5</v>
      </c>
      <c r="G21">
        <f t="shared" si="5"/>
        <v>1.5</v>
      </c>
      <c r="I21">
        <f t="shared" si="6"/>
        <v>86.5</v>
      </c>
      <c r="J21">
        <v>0.60960000000000003</v>
      </c>
      <c r="K21">
        <f t="shared" si="7"/>
        <v>609.6</v>
      </c>
      <c r="O21">
        <v>200</v>
      </c>
      <c r="AO21">
        <v>1.5</v>
      </c>
      <c r="BB21">
        <f t="shared" si="0"/>
        <v>-2.7042235680000006</v>
      </c>
      <c r="BC21">
        <f t="shared" si="1"/>
        <v>0.67006387200000006</v>
      </c>
      <c r="CB21">
        <f t="shared" si="8"/>
        <v>0</v>
      </c>
      <c r="CH21">
        <f t="shared" si="2"/>
        <v>2.3549699999999998</v>
      </c>
      <c r="CJ21">
        <f t="shared" si="9"/>
        <v>1.3204791042383408</v>
      </c>
      <c r="CN21">
        <f t="shared" si="3"/>
        <v>5</v>
      </c>
      <c r="CV21">
        <f t="shared" si="10"/>
        <v>3.4619752070441425</v>
      </c>
      <c r="CW21">
        <f t="shared" si="11"/>
        <v>31.879883737745445</v>
      </c>
      <c r="CX21">
        <v>0.57099999999999995</v>
      </c>
      <c r="CY21">
        <v>0.3</v>
      </c>
    </row>
    <row r="23" spans="1:107" x14ac:dyDescent="0.25">
      <c r="A23" t="s">
        <v>0</v>
      </c>
      <c r="B23" t="s">
        <v>82</v>
      </c>
      <c r="C23" t="s">
        <v>131</v>
      </c>
      <c r="D23" t="s">
        <v>83</v>
      </c>
      <c r="E23" t="s">
        <v>15</v>
      </c>
      <c r="F23" t="s">
        <v>58</v>
      </c>
      <c r="G23" t="s">
        <v>132</v>
      </c>
      <c r="H23" t="s">
        <v>133</v>
      </c>
      <c r="I23" t="s">
        <v>134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11</v>
      </c>
      <c r="U23" t="s">
        <v>12</v>
      </c>
      <c r="V23" t="s">
        <v>13</v>
      </c>
      <c r="W23" t="s">
        <v>14</v>
      </c>
      <c r="X23" t="s">
        <v>15</v>
      </c>
      <c r="Y23" t="s">
        <v>16</v>
      </c>
      <c r="Z23" t="s">
        <v>17</v>
      </c>
      <c r="AA23" t="s">
        <v>18</v>
      </c>
      <c r="AB23" t="s">
        <v>19</v>
      </c>
      <c r="AC23" t="s">
        <v>20</v>
      </c>
      <c r="AD23" t="s">
        <v>21</v>
      </c>
      <c r="AE23" t="s">
        <v>22</v>
      </c>
      <c r="AF23" t="s">
        <v>23</v>
      </c>
      <c r="AG23" t="s">
        <v>24</v>
      </c>
      <c r="AH23" t="s">
        <v>25</v>
      </c>
      <c r="AI23" t="s">
        <v>26</v>
      </c>
      <c r="AJ23" t="s">
        <v>27</v>
      </c>
      <c r="AK23" t="s">
        <v>28</v>
      </c>
      <c r="AL23" t="s">
        <v>29</v>
      </c>
      <c r="AM23" t="s">
        <v>30</v>
      </c>
      <c r="AN23" t="s">
        <v>31</v>
      </c>
      <c r="AO23" t="s">
        <v>58</v>
      </c>
      <c r="AP23" t="s">
        <v>32</v>
      </c>
      <c r="AQ23" t="s">
        <v>33</v>
      </c>
      <c r="AR23" t="s">
        <v>34</v>
      </c>
      <c r="AS23" t="s">
        <v>35</v>
      </c>
      <c r="AT23" t="s">
        <v>36</v>
      </c>
      <c r="AU23" t="s">
        <v>37</v>
      </c>
      <c r="AV23" t="s">
        <v>38</v>
      </c>
      <c r="AW23" t="s">
        <v>87</v>
      </c>
      <c r="AX23" t="s">
        <v>39</v>
      </c>
      <c r="AY23" t="s">
        <v>102</v>
      </c>
      <c r="AZ23" t="s">
        <v>103</v>
      </c>
      <c r="BA23" t="s">
        <v>104</v>
      </c>
      <c r="BB23" t="s">
        <v>139</v>
      </c>
      <c r="BC23" t="s">
        <v>140</v>
      </c>
      <c r="BD23" t="s">
        <v>141</v>
      </c>
      <c r="BE23" t="s">
        <v>142</v>
      </c>
      <c r="BF23" t="s">
        <v>42</v>
      </c>
      <c r="BG23" t="s">
        <v>43</v>
      </c>
      <c r="BH23" t="s">
        <v>44</v>
      </c>
      <c r="BI23" t="s">
        <v>45</v>
      </c>
      <c r="BJ23" t="s">
        <v>46</v>
      </c>
      <c r="BK23" t="s">
        <v>47</v>
      </c>
      <c r="BL23" t="s">
        <v>48</v>
      </c>
      <c r="BM23" t="s">
        <v>49</v>
      </c>
      <c r="BN23" t="s">
        <v>50</v>
      </c>
      <c r="BO23" t="s">
        <v>51</v>
      </c>
      <c r="BP23" t="s">
        <v>52</v>
      </c>
      <c r="BQ23" t="s">
        <v>53</v>
      </c>
      <c r="BR23" t="s">
        <v>90</v>
      </c>
      <c r="BS23" t="s">
        <v>91</v>
      </c>
      <c r="BT23" t="s">
        <v>92</v>
      </c>
      <c r="BU23" t="s">
        <v>93</v>
      </c>
      <c r="BV23" t="s">
        <v>94</v>
      </c>
      <c r="BW23" t="s">
        <v>95</v>
      </c>
      <c r="BX23" t="s">
        <v>96</v>
      </c>
      <c r="BY23" t="s">
        <v>97</v>
      </c>
      <c r="BZ23" t="s">
        <v>98</v>
      </c>
      <c r="CA23" t="s">
        <v>99</v>
      </c>
      <c r="CB23" t="s">
        <v>84</v>
      </c>
      <c r="CC23" t="s">
        <v>88</v>
      </c>
      <c r="CD23" t="s">
        <v>89</v>
      </c>
      <c r="CE23" t="s">
        <v>56</v>
      </c>
      <c r="CF23" t="s">
        <v>54</v>
      </c>
      <c r="CG23" t="s">
        <v>55</v>
      </c>
      <c r="CH23" t="s">
        <v>143</v>
      </c>
      <c r="CI23" t="s">
        <v>144</v>
      </c>
      <c r="CJ23" t="s">
        <v>85</v>
      </c>
      <c r="CK23" t="s">
        <v>145</v>
      </c>
      <c r="CL23" t="s">
        <v>105</v>
      </c>
      <c r="CM23" t="s">
        <v>106</v>
      </c>
      <c r="CN23" t="s">
        <v>86</v>
      </c>
      <c r="CO23" t="s">
        <v>107</v>
      </c>
      <c r="CP23" t="s">
        <v>60</v>
      </c>
      <c r="CQ23" t="s">
        <v>61</v>
      </c>
      <c r="CR23" t="s">
        <v>62</v>
      </c>
      <c r="CS23" t="s">
        <v>63</v>
      </c>
      <c r="CT23" t="s">
        <v>64</v>
      </c>
      <c r="CU23" t="s">
        <v>65</v>
      </c>
      <c r="CV23" t="s">
        <v>135</v>
      </c>
      <c r="CW23" t="s">
        <v>136</v>
      </c>
      <c r="CX23" t="s">
        <v>137</v>
      </c>
      <c r="CY23" t="s">
        <v>138</v>
      </c>
      <c r="CZ23" t="s">
        <v>146</v>
      </c>
      <c r="DA23" t="s">
        <v>147</v>
      </c>
      <c r="DB23" t="s">
        <v>148</v>
      </c>
      <c r="DC23" t="s">
        <v>149</v>
      </c>
    </row>
    <row r="24" spans="1:107" x14ac:dyDescent="0.25">
      <c r="A24">
        <v>1</v>
      </c>
      <c r="B24">
        <v>1</v>
      </c>
      <c r="C24">
        <v>-179</v>
      </c>
      <c r="D24" t="str">
        <f>IF(B24&lt;=90,IF(C24=-180,"SSComp",IF(AND(C24&gt;-180,C24&lt;-90),"SSComp_and_Normal",IF(C24=-90,"Normal",IF(AND(C24&gt;-90,C24&lt;0),"SSTens_and_Normal",IF(C24=0,"SSTens"))))),IF(C24=0,"SSComp",IF(AND(C24&gt;0,C24&lt;90),"SSComp_and_Reverse",IF(C24=90,"Reverse",IF(AND(C24&gt;90,C24&lt;180),"SSTens_and_Reverse",IF(C24=180,"SSTens"))))))</f>
        <v>SSComp_and_Normal</v>
      </c>
      <c r="E24">
        <v>30</v>
      </c>
      <c r="F24">
        <v>0.2</v>
      </c>
      <c r="G24">
        <f>F24*ABS(COS(RADIANS(C24)))</f>
        <v>0.19996953903127826</v>
      </c>
      <c r="H24">
        <f>F24*ABS(SIN(RADIANS(C24))/COS(RADIANS(90-B24)))</f>
        <v>0.19999999999999818</v>
      </c>
      <c r="I24">
        <f>B24</f>
        <v>1</v>
      </c>
      <c r="J24">
        <v>0.20319999999999999</v>
      </c>
      <c r="K24">
        <f>J24*1000</f>
        <v>203.2</v>
      </c>
      <c r="L24">
        <v>9.5250000000000005E-3</v>
      </c>
      <c r="M24">
        <f>L24*1000</f>
        <v>9.5250000000000004</v>
      </c>
      <c r="N24" s="3">
        <f>K24/M24</f>
        <v>21.333333333333332</v>
      </c>
      <c r="O24">
        <v>15</v>
      </c>
      <c r="P24" s="4" t="s">
        <v>70</v>
      </c>
      <c r="Q24" s="1">
        <f>IF(P24="Grade-B",3,IF(P24="X-42",3,IF(P24="X-52",8,IF(P24="X-60",8,IF(P24="X-70",14,IF(P24="X-80",15,8))))))</f>
        <v>8</v>
      </c>
      <c r="R24" s="1">
        <f>IF(P24="Grade-B",8,IF(P24="X-42",9,IF(P24="X-52",10,IF(P24="X-60",12,IF(P24="X-70",15,IF(P24="X-80",20,10))))))</f>
        <v>10</v>
      </c>
      <c r="S24" s="1">
        <f>IF(P24="Grade-B",241,IF(P24="X-42",290,IF(P24="X-52",359,IF(P24="X-60",414,IF(P24="X-70",483,IF(P24="X-80",552,359))))))*1000</f>
        <v>359000</v>
      </c>
      <c r="T24" s="1">
        <f>IF(P24="Grade-B",344,IF(P24="X-42",414,IF(P24="X-52",455,IF(P24="X-60",517,IF(P24="X-70",565,IF(P24="X-80",625,S24*1.2/1000))))))*1000</f>
        <v>455000</v>
      </c>
      <c r="U24" s="1">
        <f>T24/200000000*(1+Q24/(1+R24)*(T24/S24)^R24)*100</f>
        <v>1.9969902892117808</v>
      </c>
      <c r="V24" s="3">
        <v>1.9041242414694344</v>
      </c>
      <c r="W24" s="1">
        <f>LN(U24)</f>
        <v>0.69164119173371341</v>
      </c>
      <c r="X24" s="1">
        <v>45</v>
      </c>
      <c r="Y24" s="1" t="s">
        <v>71</v>
      </c>
      <c r="Z24" t="s">
        <v>72</v>
      </c>
      <c r="AA24">
        <f>IF(Z24="medium dense",18,IF(Z24="dense",18.5,IF(Z24="very dense",19,IF(Z24="soft",17.5,IF(Z24="medium stiff",18,IF(Z24="stiff",18.5,0))))))</f>
        <v>17.5</v>
      </c>
      <c r="AB24" s="1">
        <f>IF(Z24="medium dense",37,IF(Z24="dense",40,IF(Z24="very dense",43,0)))</f>
        <v>0</v>
      </c>
      <c r="AC24">
        <f>IF(Z24="soft",37.5,IF(Z24="medium stiff",75,IF(Z24="stiff",125,0)))</f>
        <v>37.5</v>
      </c>
      <c r="AD24">
        <f>IF(Z24="soft",1.1,IF(Z24="medium stiff",0.72,IF(Z24="stiff",0.4,0)))</f>
        <v>1.1000000000000001</v>
      </c>
      <c r="AE24">
        <v>0.9</v>
      </c>
      <c r="AF24" s="1">
        <v>0.78739999999999999</v>
      </c>
      <c r="AG24" s="1">
        <f t="shared" ref="AG24:AG43" si="14">MIN(11.5,MAX(1.8,AF24/J24))</f>
        <v>3.875</v>
      </c>
      <c r="AH24">
        <f>IF(Y24="sand", PI() * J24 * AF24*AA24* TAN(RADIANS(AE24*AB24)), PI() * J24 * AD24 * AC24)</f>
        <v>26.332829622389646</v>
      </c>
      <c r="AI24">
        <f>IF(Z24="medium dense",'[1]Coefficient Normal'!$E$18 + ('[1]Coefficient Normal'!$E$19*AG24) + ('[1]Coefficient Normal'!$E$20*(AG24^2)) + ('[1]Coefficient Normal'!$E$21*(AG24^3)) + ('[1]Coefficient Normal'!$E$22*(AG24^4)),IF(Z24="dense",'[1]Coefficient Normal'!$F$18 + ('[1]Coefficient Normal'!$F$19*AG24) + ('[1]Coefficient Normal'!$F$20*(AG24^2)) + ('[1]Coefficient Normal'!$F$21*(AG24^3)) + ('[1]Coefficient Normal'!$F$22*(AG24^4)),IF(Z24="very dense",'[1]Coefficient Normal'!$G$18 + ('[1]Coefficient Normal'!$G$19*AG24) + ('[1]Coefficient Normal'!$G$20*(AG24^2)) + ('[1]Coefficient Normal'!$G$21*(AG24^3)) + ('[1]Coefficient Normal'!$G$22*(AG24^4)),0)))</f>
        <v>0</v>
      </c>
      <c r="AJ24">
        <f t="shared" ref="AJ24:AJ43" si="15">IF(Y24="sand",MIN(80,EXP(0.18*AB24-2.5)),0)</f>
        <v>0</v>
      </c>
      <c r="AK24">
        <f t="shared" ref="AK24:AK43" si="16">IF(Y24="sand",AI24*AA24*AF24*J24 + 0.5*AA24*(J24^2)*AJ24,5.14*AC24*J24)</f>
        <v>39.166799999999995</v>
      </c>
      <c r="AL24">
        <f>LN(AK24)</f>
        <v>3.6678294491656285</v>
      </c>
      <c r="AM24">
        <f t="shared" ref="AM24:AM43" si="17">LN(N24)</f>
        <v>3.0602707946915619</v>
      </c>
      <c r="AN24">
        <f t="shared" ref="AN24:AN43" si="18">LN(AH24)</f>
        <v>3.2708164353522799</v>
      </c>
      <c r="AO24">
        <v>0.2</v>
      </c>
      <c r="AP24" s="5">
        <f>VLOOKUP(X24,'[1]Coefficient Normal'!$A$3:$H$7,2,TRUE)</f>
        <v>3.7532999999999999</v>
      </c>
      <c r="AQ24" s="5">
        <f>VLOOKUP(X24,'[1]Coefficient Normal'!$A$3:$H$7,3,TRUE)</f>
        <v>0.14510000000000001</v>
      </c>
      <c r="AR24" s="5">
        <f>VLOOKUP(X24,'[1]Coefficient Normal'!$A$3:$H$7,4,TRUE)</f>
        <v>1.2497</v>
      </c>
      <c r="AS24" s="5">
        <f>VLOOKUP(X24,'[1]Coefficient Normal'!$A$3:$H$7,5,TRUE)</f>
        <v>-0.46100000000000002</v>
      </c>
      <c r="AT24" s="5">
        <f>VLOOKUP(X24,'[1]Coefficient Normal'!$A$3:$H$7,6,TRUE)</f>
        <v>0.39140000000000003</v>
      </c>
      <c r="AU24" s="5">
        <f>VLOOKUP(X24,'[1]Coefficient Normal'!$A$3:$H$7,7,TRUE)</f>
        <v>-0.21310000000000001</v>
      </c>
      <c r="AV24" s="5">
        <f>VLOOKUP(X24,'[1]Coefficient Normal'!$A$3:$H$7,8,TRUE)</f>
        <v>-0.34139999999999998</v>
      </c>
      <c r="AX24" s="5">
        <f t="shared" ref="AX24:AX43" si="19">AP24+AQ24*LN(O24) + AR24*LN(J24) + AS24*AM24 + AT24*W24 + AU24*AL24 + AV24*AN24</f>
        <v>-0.88358721110304705</v>
      </c>
      <c r="BB24">
        <f t="shared" ref="BB24:BB43" si="20">-6.50785 + 0.98692*J24 + 0.01601*O24 + (-0.04575 * CB24)</f>
        <v>-6.0671578560000006</v>
      </c>
      <c r="BC24">
        <f t="shared" ref="BC24:BC43" si="21">0.34262 + (-0.10918 * J24) + 0.00197 * O24+ 0.0027*CB24</f>
        <v>0.34998462400000002</v>
      </c>
      <c r="BD24" s="5">
        <f>VLOOKUP(X46,'[1]Coefficient Normal'!$A$10:$P$14,2,TRUE)</f>
        <v>-1.1082000000000001</v>
      </c>
      <c r="BE24" s="5">
        <f>VLOOKUP(X46,'[1]Coefficient Normal'!$A$10:$P$14,3,TRUE)</f>
        <v>0.10630000000000001</v>
      </c>
      <c r="BF24" s="5">
        <f>VLOOKUP(X46,'[1]Coefficient Normal'!$A$10:$P$14,4,TRUE)</f>
        <v>-0.1439</v>
      </c>
      <c r="BG24" s="5">
        <f>VLOOKUP(X46,'[1]Coefficient Normal'!$A$10:$P$14,5,TRUE)</f>
        <v>0.27879999999999999</v>
      </c>
      <c r="BH24" s="5">
        <f>VLOOKUP(X46,'[1]Coefficient Normal'!$A$10:$P$14,6,TRUE)</f>
        <v>-0.31030000000000002</v>
      </c>
      <c r="BI24" s="5">
        <f>VLOOKUP(X46,'[1]Coefficient Normal'!$A$10:$P$14,7,TRUE)</f>
        <v>1.2553000000000001</v>
      </c>
      <c r="BJ24" s="5">
        <f>VLOOKUP(X46,'[1]Coefficient Normal'!$A$10:$P$14,8,TRUE)</f>
        <v>2.9999999999999997E-4</v>
      </c>
      <c r="BK24" s="5">
        <f>VLOOKUP(X46,'[1]Coefficient Normal'!$A$10:$P$14,9,TRUE)</f>
        <v>5.1999999999999998E-3</v>
      </c>
      <c r="BL24" s="5">
        <f>VLOOKUP(X46,'[1]Coefficient Normal'!$A$10:$P$14,10,TRUE)</f>
        <v>-8.5900000000000004E-2</v>
      </c>
      <c r="BM24" s="5">
        <f>VLOOKUP(X46,'[1]Coefficient Normal'!$A$10:$P$14,11,TRUE)</f>
        <v>5.9999999999999995E-4</v>
      </c>
      <c r="BN24" s="5">
        <f>VLOOKUP(X46,'[1]Coefficient Normal'!$A$10:$P$14,12,TRUE)</f>
        <v>-0.21759999999999999</v>
      </c>
      <c r="BO24" s="5">
        <f>VLOOKUP(X46,'[1]Coefficient Normal'!$A$10:$P$14,13,TRUE)</f>
        <v>-2.69E-2</v>
      </c>
      <c r="BP24" s="5">
        <f>VLOOKUP(X46,'[1]Coefficient Normal'!$A$10:$P$14,14,TRUE)</f>
        <v>0.57389999999999997</v>
      </c>
      <c r="BQ24" s="5">
        <f>VLOOKUP(X46,'[1]Coefficient Normal'!$A$10:$P$14,15,TRUE)</f>
        <v>0.34460000000000002</v>
      </c>
      <c r="CB24">
        <f>IF(AND(I24&gt;95,I24&lt;=120),I24-120,0)</f>
        <v>0</v>
      </c>
      <c r="CE24" s="6">
        <f>IF(Y46="sand",1,0)</f>
        <v>0</v>
      </c>
      <c r="CF24" s="6">
        <f>IF(CK24&lt;AX46,1,0)</f>
        <v>1</v>
      </c>
      <c r="CG24" s="6">
        <f>IF(O46&lt;100,1,0)</f>
        <v>1</v>
      </c>
      <c r="CH24">
        <f t="shared" ref="CH24:CH43" si="22" xml:space="preserve"> 4.54097 - 0.01093*O24</f>
        <v>4.3770199999999999</v>
      </c>
      <c r="CI24" s="5">
        <f>CF24 * (BI24+BJ24*AH24 + BK24*CG24*(O24-100) + BL24*(1-CG24) + BM24*N24) + (1-CF24) * (BN24 + BO24*CG24*(O24-100) + BP24*(1-CG24) + BQ24*W24)</f>
        <v>0.83399984888671697</v>
      </c>
      <c r="CJ24">
        <f>(LN(G24) - BB24) / CH24</f>
        <v>1.0184023895533332</v>
      </c>
      <c r="CK24">
        <f>LN(H24)</f>
        <v>-1.6094379124341094</v>
      </c>
      <c r="CN24">
        <f t="shared" ref="CN24:CN43" si="23">IF(CJ24&gt;=1,5,ATANH(CJ24))</f>
        <v>5</v>
      </c>
      <c r="CP24" s="5">
        <f>CK24-AX24</f>
        <v>-0.72585070133106233</v>
      </c>
      <c r="CQ24" s="5">
        <f>CI24*CP24</f>
        <v>-0.60535937522442351</v>
      </c>
      <c r="CR24" s="5">
        <f>BE24*AM24</f>
        <v>0.32530678547571307</v>
      </c>
      <c r="CS24" s="5">
        <f>BF24*CE24*AN24</f>
        <v>0</v>
      </c>
      <c r="CT24" s="5">
        <f>BG24*AL24</f>
        <v>1.0225908504273773</v>
      </c>
      <c r="CU24" s="5">
        <f>BH24* LN(J24)</f>
        <v>0.4944830839851046</v>
      </c>
      <c r="CV24">
        <f t="shared" ref="CV24:CV43" si="24">(CN24 / BC24) - 4</f>
        <v>10.286341905123237</v>
      </c>
      <c r="CW24">
        <f>MIN(EXP(CV24),100)</f>
        <v>100</v>
      </c>
      <c r="CX24">
        <v>0.57099999999999995</v>
      </c>
      <c r="CY24">
        <v>0.3</v>
      </c>
      <c r="CZ24" s="5">
        <f>BD24+CQ24+CR24+CS24+CT24+CU24</f>
        <v>0.12882134466377132</v>
      </c>
      <c r="DA24" s="7">
        <f>EXP(CZ24)</f>
        <v>1.1374868879092361</v>
      </c>
      <c r="DB24">
        <f>VLOOKUP(E24,'[1]Coefficient Normal'!$A$10:$P$14,16,TRUE)</f>
        <v>0.34899999999999998</v>
      </c>
      <c r="DC24">
        <v>0.3</v>
      </c>
    </row>
    <row r="25" spans="1:107" x14ac:dyDescent="0.25">
      <c r="A25">
        <v>2</v>
      </c>
      <c r="B25">
        <f>B24+4.5</f>
        <v>5.5</v>
      </c>
      <c r="C25">
        <f>C24+4.5</f>
        <v>-174.5</v>
      </c>
      <c r="D25" t="str">
        <f t="shared" ref="D25:D43" si="25">IF(B25&lt;=90,IF(C25=-180,"SSComp",IF(AND(C25&gt;-180,C25&lt;-90),"SSComp_and_Normal",IF(C25=-90,"Normal",IF(AND(C25&gt;-90,C25&lt;0),"SSTens_and_Normal",IF(C25=0,"SSTens"))))),IF(C25=0,"SSComp",IF(AND(C25&gt;0,C25&lt;90),"SSComp_and_Reverse",IF(C25=90,"Reverse",IF(AND(C25&gt;90,C25&lt;180),"SSTens_and_Reverse",IF(C25=180,"SSTens"))))))</f>
        <v>SSComp_and_Normal</v>
      </c>
      <c r="E25">
        <v>30</v>
      </c>
      <c r="F25">
        <v>0.1</v>
      </c>
      <c r="G25">
        <f t="shared" ref="G25:G43" si="26">F25*ABS(COS(RADIANS(C25)))</f>
        <v>9.9539619836717885E-2</v>
      </c>
      <c r="H25">
        <f t="shared" ref="H25:H43" si="27">F25*ABS(SIN(RADIANS(C25))/COS(RADIANS(90-B25)))</f>
        <v>9.9999999999999853E-2</v>
      </c>
      <c r="I25">
        <f t="shared" ref="I25:I43" si="28">B25</f>
        <v>5.5</v>
      </c>
      <c r="J25">
        <v>0.30480000000000002</v>
      </c>
      <c r="K25">
        <f t="shared" ref="K25:K43" si="29">J25*1000</f>
        <v>304.8</v>
      </c>
      <c r="L25">
        <v>9.5250000000000005E-3</v>
      </c>
      <c r="M25">
        <f t="shared" ref="M25:M43" si="30">L25*1000</f>
        <v>9.5250000000000004</v>
      </c>
      <c r="N25" s="3">
        <f t="shared" ref="N25:N43" si="31">K25/M25</f>
        <v>32</v>
      </c>
      <c r="O25">
        <v>30</v>
      </c>
      <c r="P25" s="4" t="s">
        <v>73</v>
      </c>
      <c r="Q25" s="1">
        <f t="shared" ref="Q25:Q43" si="32">IF(P25="Grade-B",3,IF(P25="X-42",3,IF(P25="X-52",8,IF(P25="X-60",8,IF(P25="X-70",14,IF(P25="X-80",15,8))))))</f>
        <v>8</v>
      </c>
      <c r="R25" s="1">
        <f t="shared" ref="R25:R43" si="33">IF(P25="Grade-B",8,IF(P25="X-42",9,IF(P25="X-52",10,IF(P25="X-60",12,IF(P25="X-70",15,IF(P25="X-80",20,10))))))</f>
        <v>12</v>
      </c>
      <c r="S25" s="1">
        <f t="shared" ref="S25:S43" si="34">IF(P25="Grade-B",241,IF(P25="X-42",290,IF(P25="X-52",359,IF(P25="X-60",414,IF(P25="X-70",483,IF(P25="X-80",552,359))))))*1000</f>
        <v>414000</v>
      </c>
      <c r="T25" s="1">
        <f t="shared" ref="T25:T43" si="35">IF(P25="Grade-B",344,IF(P25="X-42",414,IF(P25="X-52",455,IF(P25="X-60",517,IF(P25="X-70",565,IF(P25="X-80",625,S25*1.2/1000))))))*1000</f>
        <v>517000</v>
      </c>
      <c r="U25" s="1">
        <f t="shared" ref="U25:U43" si="36">T25/200000000*(1+Q25/(1+R25)*(T25/S25)^R25)*100</f>
        <v>2.5466769467238102</v>
      </c>
      <c r="V25" s="3">
        <v>2.4313344008036557</v>
      </c>
      <c r="W25" s="1">
        <f t="shared" ref="W25:W43" si="37">LN(U25)</f>
        <v>0.93478935117382533</v>
      </c>
      <c r="X25" s="1">
        <v>60</v>
      </c>
      <c r="Y25" s="1" t="s">
        <v>71</v>
      </c>
      <c r="Z25" t="s">
        <v>74</v>
      </c>
      <c r="AA25">
        <f t="shared" ref="AA25:AA43" si="38">IF(Z25="medium dense",18,IF(Z25="dense",18.5,IF(Z25="very dense",19,IF(Z25="soft",17.5,IF(Z25="medium stiff",18,IF(Z25="stiff",18.5,0))))))</f>
        <v>18</v>
      </c>
      <c r="AB25" s="1">
        <f t="shared" ref="AB25:AB43" si="39">IF(Z25="medium dense",37,IF(Z25="dense",40,IF(Z25="very dense",43,0)))</f>
        <v>0</v>
      </c>
      <c r="AC25">
        <f t="shared" ref="AC25:AC43" si="40">IF(Z25="soft",37.5,IF(Z25="medium stiff",75,IF(Z25="stiff",125,0)))</f>
        <v>75</v>
      </c>
      <c r="AD25">
        <f t="shared" ref="AD25:AD43" si="41">IF(Z25="soft",1.1,IF(Z25="medium stiff",0.72,IF(Z25="stiff",0.4,0)))</f>
        <v>0.72</v>
      </c>
      <c r="AE25">
        <v>0.9</v>
      </c>
      <c r="AF25" s="1">
        <v>1</v>
      </c>
      <c r="AG25" s="1">
        <f t="shared" si="14"/>
        <v>3.280839895013123</v>
      </c>
      <c r="AH25">
        <f t="shared" ref="AH25:AH43" si="42">IF(Y25="sand", PI() * J25 * AF25*AA25* TAN(RADIANS(AE25*AB25)), PI() * J25 * AD25 * AC25)</f>
        <v>51.708101803965121</v>
      </c>
      <c r="AI25">
        <f>IF(Z25="medium dense",'[1]Coefficient Normal'!$E$18 + ('[1]Coefficient Normal'!$E$19*AG25) + ('[1]Coefficient Normal'!$E$20*(AG25^2)) + ('[1]Coefficient Normal'!$E$21*(AG25^3)) + ('[1]Coefficient Normal'!$E$22*(AG25^4)),IF(Z25="dense",'[1]Coefficient Normal'!$F$18 + ('[1]Coefficient Normal'!$F$19*AG25) + ('[1]Coefficient Normal'!$F$20*(AG25^2)) + ('[1]Coefficient Normal'!$F$21*(AG25^3)) + ('[1]Coefficient Normal'!$F$22*(AG25^4)),IF(Z25="very dense",'[1]Coefficient Normal'!$G$18 + ('[1]Coefficient Normal'!$G$19*AG25) + ('[1]Coefficient Normal'!$G$20*(AG25^2)) + ('[1]Coefficient Normal'!$G$21*(AG25^3)) + ('[1]Coefficient Normal'!$G$22*(AG25^4)),0)))</f>
        <v>0</v>
      </c>
      <c r="AJ25">
        <f t="shared" si="15"/>
        <v>0</v>
      </c>
      <c r="AK25">
        <f t="shared" si="16"/>
        <v>117.5004</v>
      </c>
      <c r="AL25">
        <f t="shared" ref="AL25:AL43" si="43">LN(AK25)</f>
        <v>4.7664417378337385</v>
      </c>
      <c r="AM25">
        <f t="shared" si="17"/>
        <v>3.4657359027997265</v>
      </c>
      <c r="AN25">
        <f t="shared" si="18"/>
        <v>3.9456144772440287</v>
      </c>
      <c r="AO25">
        <v>0.1</v>
      </c>
      <c r="AP25" s="5">
        <f>VLOOKUP(X25,'[1]Coefficient Normal'!$A$3:$H$7,2,TRUE)</f>
        <v>4.3182999999999998</v>
      </c>
      <c r="AQ25" s="5">
        <f>VLOOKUP(X25,'[1]Coefficient Normal'!$A$3:$H$7,3,TRUE)</f>
        <v>-2.7900000000000001E-2</v>
      </c>
      <c r="AR25" s="5">
        <f>VLOOKUP(X25,'[1]Coefficient Normal'!$A$3:$H$7,4,TRUE)</f>
        <v>1.0497000000000001</v>
      </c>
      <c r="AS25" s="5">
        <f>VLOOKUP(X25,'[1]Coefficient Normal'!$A$3:$H$7,5,TRUE)</f>
        <v>-0.46910000000000002</v>
      </c>
      <c r="AT25" s="5">
        <f>VLOOKUP(X25,'[1]Coefficient Normal'!$A$3:$H$7,6,TRUE)</f>
        <v>0.29149999999999998</v>
      </c>
      <c r="AU25" s="5">
        <f>VLOOKUP(X25,'[1]Coefficient Normal'!$A$3:$H$7,7,TRUE)</f>
        <v>-0.28610000000000002</v>
      </c>
      <c r="AV25" s="5">
        <f>VLOOKUP(X25,'[1]Coefficient Normal'!$A$3:$H$7,8,TRUE)</f>
        <v>-0.1348</v>
      </c>
      <c r="AX25" s="5">
        <f t="shared" si="19"/>
        <v>-0.27257483390286152</v>
      </c>
      <c r="BB25">
        <f t="shared" si="20"/>
        <v>-5.7267367840000007</v>
      </c>
      <c r="BC25">
        <f t="shared" si="21"/>
        <v>0.36844193599999997</v>
      </c>
      <c r="BD25" s="5">
        <f>VLOOKUP(X47,'[1]Coefficient Normal'!$A$10:$P$14,2,TRUE)</f>
        <v>-2.1276999999999999</v>
      </c>
      <c r="BE25" s="5">
        <f>VLOOKUP(X47,'[1]Coefficient Normal'!$A$10:$P$14,3,TRUE)</f>
        <v>0.14760000000000001</v>
      </c>
      <c r="BF25" s="5">
        <f>VLOOKUP(X47,'[1]Coefficient Normal'!$A$10:$P$14,4,TRUE)</f>
        <v>-0.21829999999999999</v>
      </c>
      <c r="BG25" s="5">
        <f>VLOOKUP(X47,'[1]Coefficient Normal'!$A$10:$P$14,5,TRUE)</f>
        <v>0.42270000000000002</v>
      </c>
      <c r="BH25" s="5">
        <f>VLOOKUP(X47,'[1]Coefficient Normal'!$A$10:$P$14,6,TRUE)</f>
        <v>-0.53720000000000001</v>
      </c>
      <c r="BI25" s="5">
        <f>VLOOKUP(X47,'[1]Coefficient Normal'!$A$10:$P$14,7,TRUE)</f>
        <v>1.252</v>
      </c>
      <c r="BJ25" s="5">
        <f>VLOOKUP(X47,'[1]Coefficient Normal'!$A$10:$P$14,8,TRUE)</f>
        <v>-5.9999999999999995E-4</v>
      </c>
      <c r="BK25" s="5">
        <f>VLOOKUP(X47,'[1]Coefficient Normal'!$A$10:$P$14,9,TRUE)</f>
        <v>5.3E-3</v>
      </c>
      <c r="BL25" s="5">
        <f>VLOOKUP(X47,'[1]Coefficient Normal'!$A$10:$P$14,10,TRUE)</f>
        <v>-4.8500000000000001E-2</v>
      </c>
      <c r="BM25" s="5">
        <f>VLOOKUP(X47,'[1]Coefficient Normal'!$A$10:$P$14,11,TRUE)</f>
        <v>1.2999999999999999E-3</v>
      </c>
      <c r="BN25" s="5">
        <f>VLOOKUP(X47,'[1]Coefficient Normal'!$A$10:$P$14,12,TRUE)</f>
        <v>-0.56599999999999995</v>
      </c>
      <c r="BO25" s="5">
        <f>VLOOKUP(X47,'[1]Coefficient Normal'!$A$10:$P$14,13,TRUE)</f>
        <v>-3.2099999999999997E-2</v>
      </c>
      <c r="BP25" s="5">
        <f>VLOOKUP(X47,'[1]Coefficient Normal'!$A$10:$P$14,14,TRUE)</f>
        <v>0.84970000000000001</v>
      </c>
      <c r="BQ25" s="5">
        <f>VLOOKUP(X47,'[1]Coefficient Normal'!$A$10:$P$14,15,TRUE)</f>
        <v>9.01E-2</v>
      </c>
      <c r="CB25">
        <f t="shared" ref="CB25:CB43" si="44">IF(AND(I25&gt;95,I25&lt;=120),I25-120,0)</f>
        <v>0</v>
      </c>
      <c r="CE25" s="6">
        <f>IF(Y47="sand",1,0)</f>
        <v>0</v>
      </c>
      <c r="CF25" s="6">
        <f>IF(CK25&lt;AX47,1,0)</f>
        <v>1</v>
      </c>
      <c r="CG25" s="6">
        <f>IF(O47&lt;100,1,0)</f>
        <v>1</v>
      </c>
      <c r="CH25">
        <f t="shared" si="22"/>
        <v>4.2130700000000001</v>
      </c>
      <c r="CI25" s="5">
        <f t="shared" ref="CI25:CI43" si="45">CF25 * (BI25+BJ25*AH25 + BK25*CG25*(O25-100) + BL25*(1-CG25) + BM25*N25) + (1-CF25) * (BN25 + BO25*CG25*(O25-100) + BP25*(1-CG25) + BQ25*W25)</f>
        <v>0.89157513891762086</v>
      </c>
      <c r="CJ25">
        <f t="shared" ref="CJ25:CJ43" si="46">(LN(G25) - BB25) / CH25</f>
        <v>0.81164976115750087</v>
      </c>
      <c r="CK25">
        <f t="shared" ref="CK25:CK43" si="47">LN(H25)</f>
        <v>-2.3025850929940472</v>
      </c>
      <c r="CN25">
        <f t="shared" si="23"/>
        <v>1.1318449885802866</v>
      </c>
      <c r="CP25" s="5">
        <f>CK25-AX25</f>
        <v>-2.0300102590911857</v>
      </c>
      <c r="CQ25" s="5">
        <f>CI25*CP25</f>
        <v>-1.8099066787534195</v>
      </c>
      <c r="CR25" s="5">
        <f t="shared" ref="CR25:CR43" si="48">BE25*AM25</f>
        <v>0.51154261925323963</v>
      </c>
      <c r="CS25" s="5">
        <f t="shared" ref="CS25:CS43" si="49">BF25*CE25*AN25</f>
        <v>0</v>
      </c>
      <c r="CT25" s="5">
        <f t="shared" ref="CT25:CT43" si="50">BG25*AL25</f>
        <v>2.0147749225823213</v>
      </c>
      <c r="CU25" s="5">
        <f t="shared" ref="CU25:CU43" si="51">BH25* LN(J25)</f>
        <v>0.63824702731713367</v>
      </c>
      <c r="CV25">
        <f t="shared" si="24"/>
        <v>-0.92802344687417282</v>
      </c>
      <c r="CW25">
        <f t="shared" ref="CW25:CW43" si="52">MIN(EXP(CV25),100)</f>
        <v>0.39533433796295187</v>
      </c>
      <c r="CX25">
        <v>0.57099999999999995</v>
      </c>
      <c r="CY25">
        <v>0.3</v>
      </c>
      <c r="CZ25" s="5">
        <f>BD25+CQ25+CR25+CS25+CT25+CU25</f>
        <v>-0.77304210960072473</v>
      </c>
      <c r="DA25" s="7">
        <f t="shared" ref="DA25:DA43" si="53">EXP(CZ25)</f>
        <v>0.46160667210118017</v>
      </c>
      <c r="DB25">
        <f>VLOOKUP(E25,'[1]Coefficient Normal'!$A$10:$P$14,16,TRUE)</f>
        <v>0.34899999999999998</v>
      </c>
      <c r="DC25">
        <v>0.3</v>
      </c>
    </row>
    <row r="26" spans="1:107" x14ac:dyDescent="0.25">
      <c r="A26">
        <v>3</v>
      </c>
      <c r="B26">
        <f t="shared" ref="B26:B43" si="54">B25+4.5</f>
        <v>10</v>
      </c>
      <c r="C26">
        <f t="shared" ref="C26:C43" si="55">C25+4.5</f>
        <v>-170</v>
      </c>
      <c r="D26" t="str">
        <f t="shared" si="25"/>
        <v>SSComp_and_Normal</v>
      </c>
      <c r="E26">
        <v>30</v>
      </c>
      <c r="F26">
        <v>0.2</v>
      </c>
      <c r="G26">
        <f t="shared" si="26"/>
        <v>0.19696155060244161</v>
      </c>
      <c r="H26">
        <f t="shared" si="27"/>
        <v>0.19999999999999984</v>
      </c>
      <c r="I26">
        <f t="shared" si="28"/>
        <v>10</v>
      </c>
      <c r="J26">
        <v>0.40639999999999998</v>
      </c>
      <c r="K26">
        <f t="shared" si="29"/>
        <v>406.4</v>
      </c>
      <c r="L26">
        <v>9.5250000000000005E-3</v>
      </c>
      <c r="M26">
        <f t="shared" si="30"/>
        <v>9.5250000000000004</v>
      </c>
      <c r="N26" s="3">
        <f t="shared" si="31"/>
        <v>42.666666666666664</v>
      </c>
      <c r="O26">
        <v>50</v>
      </c>
      <c r="P26" s="4" t="s">
        <v>75</v>
      </c>
      <c r="Q26" s="1">
        <f t="shared" si="32"/>
        <v>14</v>
      </c>
      <c r="R26" s="1">
        <f t="shared" si="33"/>
        <v>15</v>
      </c>
      <c r="S26" s="1">
        <f t="shared" si="34"/>
        <v>483000</v>
      </c>
      <c r="T26" s="1">
        <f t="shared" si="35"/>
        <v>565000</v>
      </c>
      <c r="U26" s="1">
        <f t="shared" si="36"/>
        <v>2.8799444073326219</v>
      </c>
      <c r="V26" s="3">
        <v>2.7690517990613435</v>
      </c>
      <c r="W26" s="1">
        <f t="shared" si="37"/>
        <v>1.0577709909520427</v>
      </c>
      <c r="X26" s="1">
        <v>75</v>
      </c>
      <c r="Y26" s="1" t="s">
        <v>71</v>
      </c>
      <c r="Z26" t="s">
        <v>76</v>
      </c>
      <c r="AA26">
        <f t="shared" si="38"/>
        <v>18.5</v>
      </c>
      <c r="AB26" s="1">
        <f t="shared" si="39"/>
        <v>0</v>
      </c>
      <c r="AC26">
        <f t="shared" si="40"/>
        <v>125</v>
      </c>
      <c r="AD26">
        <f t="shared" si="41"/>
        <v>0.4</v>
      </c>
      <c r="AE26">
        <v>0.9</v>
      </c>
      <c r="AF26" s="1">
        <v>1.2</v>
      </c>
      <c r="AG26" s="1">
        <f t="shared" si="14"/>
        <v>2.9527559055118111</v>
      </c>
      <c r="AH26">
        <f t="shared" si="42"/>
        <v>63.837162720944598</v>
      </c>
      <c r="AI26">
        <f>IF(Z26="medium dense",'[1]Coefficient Normal'!$E$18 + ('[1]Coefficient Normal'!$E$19*AG26) + ('[1]Coefficient Normal'!$E$20*(AG26^2)) + ('[1]Coefficient Normal'!$E$21*(AG26^3)) + ('[1]Coefficient Normal'!$E$22*(AG26^4)),IF(Z26="dense",'[1]Coefficient Normal'!$F$18 + ('[1]Coefficient Normal'!$F$19*AG26) + ('[1]Coefficient Normal'!$F$20*(AG26^2)) + ('[1]Coefficient Normal'!$F$21*(AG26^3)) + ('[1]Coefficient Normal'!$F$22*(AG26^4)),IF(Z26="very dense",'[1]Coefficient Normal'!$G$18 + ('[1]Coefficient Normal'!$G$19*AG26) + ('[1]Coefficient Normal'!$G$20*(AG26^2)) + ('[1]Coefficient Normal'!$G$21*(AG26^3)) + ('[1]Coefficient Normal'!$G$22*(AG26^4)),0)))</f>
        <v>0</v>
      </c>
      <c r="AJ26">
        <f t="shared" si="15"/>
        <v>0</v>
      </c>
      <c r="AK26">
        <f t="shared" si="16"/>
        <v>261.11199999999997</v>
      </c>
      <c r="AL26">
        <f t="shared" si="43"/>
        <v>5.5649494340515098</v>
      </c>
      <c r="AM26">
        <f t="shared" si="17"/>
        <v>3.7534179752515073</v>
      </c>
      <c r="AN26">
        <f t="shared" si="18"/>
        <v>4.1563355085596809</v>
      </c>
      <c r="AO26">
        <v>0.2</v>
      </c>
      <c r="AP26" s="5">
        <f>VLOOKUP(X26,'[1]Coefficient Normal'!$A$3:$H$7,2,TRUE)</f>
        <v>5.5951000000000004</v>
      </c>
      <c r="AQ26" s="5">
        <f>VLOOKUP(X26,'[1]Coefficient Normal'!$A$3:$H$7,3,TRUE)</f>
        <v>1.6E-2</v>
      </c>
      <c r="AR26" s="5">
        <f>VLOOKUP(X26,'[1]Coefficient Normal'!$A$3:$H$7,4,TRUE)</f>
        <v>1.2641</v>
      </c>
      <c r="AS26" s="5">
        <f>VLOOKUP(X26,'[1]Coefficient Normal'!$A$3:$H$7,5,TRUE)</f>
        <v>-0.52429999999999999</v>
      </c>
      <c r="AT26" s="5">
        <f>VLOOKUP(X26,'[1]Coefficient Normal'!$A$3:$H$7,6,TRUE)</f>
        <v>0.35830000000000001</v>
      </c>
      <c r="AU26" s="5">
        <f>VLOOKUP(X26,'[1]Coefficient Normal'!$A$3:$H$7,7,TRUE)</f>
        <v>-0.35920000000000002</v>
      </c>
      <c r="AV26" s="5">
        <f>VLOOKUP(X26,'[1]Coefficient Normal'!$A$3:$H$7,8,TRUE)</f>
        <v>-0.2482</v>
      </c>
      <c r="AX26" s="5">
        <f t="shared" si="19"/>
        <v>-9.9975253708866507E-2</v>
      </c>
      <c r="BB26">
        <f t="shared" si="20"/>
        <v>-5.3062657120000001</v>
      </c>
      <c r="BC26">
        <f t="shared" si="21"/>
        <v>0.396749248</v>
      </c>
      <c r="BD26" s="5">
        <f>VLOOKUP(X48,'[1]Coefficient Normal'!$A$10:$P$14,2,TRUE)</f>
        <v>-2.3450000000000002</v>
      </c>
      <c r="BE26" s="5">
        <f>VLOOKUP(X48,'[1]Coefficient Normal'!$A$10:$P$14,3,TRUE)</f>
        <v>0.19470000000000001</v>
      </c>
      <c r="BF26" s="5">
        <f>VLOOKUP(X48,'[1]Coefficient Normal'!$A$10:$P$14,4,TRUE)</f>
        <v>-0.2044</v>
      </c>
      <c r="BG26" s="5">
        <f>VLOOKUP(X48,'[1]Coefficient Normal'!$A$10:$P$14,5,TRUE)</f>
        <v>0.4143</v>
      </c>
      <c r="BH26" s="5">
        <f>VLOOKUP(X48,'[1]Coefficient Normal'!$A$10:$P$14,6,TRUE)</f>
        <v>-0.55710000000000004</v>
      </c>
      <c r="BI26" s="5">
        <f>VLOOKUP(X48,'[1]Coefficient Normal'!$A$10:$P$14,7,TRUE)</f>
        <v>1.0931</v>
      </c>
      <c r="BJ26" s="5">
        <f>VLOOKUP(X48,'[1]Coefficient Normal'!$A$10:$P$14,8,TRUE)</f>
        <v>1E-4</v>
      </c>
      <c r="BK26" s="5">
        <f>VLOOKUP(X48,'[1]Coefficient Normal'!$A$10:$P$14,9,TRUE)</f>
        <v>3.5000000000000001E-3</v>
      </c>
      <c r="BL26" s="5">
        <f>VLOOKUP(X48,'[1]Coefficient Normal'!$A$10:$P$14,10,TRUE)</f>
        <v>-4.07E-2</v>
      </c>
      <c r="BM26" s="5">
        <f>VLOOKUP(X48,'[1]Coefficient Normal'!$A$10:$P$14,11,TRUE)</f>
        <v>1.6000000000000001E-3</v>
      </c>
      <c r="BN26" s="5">
        <f>VLOOKUP(X48,'[1]Coefficient Normal'!$A$10:$P$14,12,TRUE)</f>
        <v>-0.65949999999999998</v>
      </c>
      <c r="BO26" s="5">
        <f>VLOOKUP(X48,'[1]Coefficient Normal'!$A$10:$P$14,13,TRUE)</f>
        <v>-3.0099999999999998E-2</v>
      </c>
      <c r="BP26" s="5">
        <f>VLOOKUP(X48,'[1]Coefficient Normal'!$A$10:$P$14,14,TRUE)</f>
        <v>0.84219999999999995</v>
      </c>
      <c r="BQ26" s="5">
        <f>VLOOKUP(X48,'[1]Coefficient Normal'!$A$10:$P$14,15,TRUE)</f>
        <v>0.50680000000000003</v>
      </c>
      <c r="CB26">
        <f t="shared" si="44"/>
        <v>0</v>
      </c>
      <c r="CE26" s="6">
        <f>IF(Y48="sand",1,0)</f>
        <v>0</v>
      </c>
      <c r="CF26" s="6">
        <f>IF(CK26&lt;AX48,1,0)</f>
        <v>1</v>
      </c>
      <c r="CG26" s="6">
        <f>IF(O48&lt;100,1,0)</f>
        <v>0</v>
      </c>
      <c r="CH26">
        <f t="shared" si="22"/>
        <v>3.9944699999999997</v>
      </c>
      <c r="CI26" s="5">
        <f t="shared" si="45"/>
        <v>1.1270503829387613</v>
      </c>
      <c r="CJ26">
        <f t="shared" si="46"/>
        <v>0.92165392858124207</v>
      </c>
      <c r="CK26">
        <f t="shared" si="47"/>
        <v>-1.6094379124341012</v>
      </c>
      <c r="CN26">
        <f t="shared" si="23"/>
        <v>1.5999028446176522</v>
      </c>
      <c r="CP26" s="5">
        <f>CK26-AX26</f>
        <v>-1.5094626587252347</v>
      </c>
      <c r="CQ26" s="5">
        <f>CI26*CP26</f>
        <v>-1.7012404675480364</v>
      </c>
      <c r="CR26" s="5">
        <f t="shared" si="48"/>
        <v>0.73079047978146849</v>
      </c>
      <c r="CS26" s="5">
        <f t="shared" si="49"/>
        <v>0</v>
      </c>
      <c r="CT26" s="5">
        <f t="shared" si="50"/>
        <v>2.3055585505275404</v>
      </c>
      <c r="CU26" s="5">
        <f t="shared" si="51"/>
        <v>0.50162252391212259</v>
      </c>
      <c r="CV26">
        <f t="shared" si="24"/>
        <v>3.2528990748464714E-2</v>
      </c>
      <c r="CW26">
        <f t="shared" si="52"/>
        <v>1.033063842003842</v>
      </c>
      <c r="CX26">
        <v>0.57099999999999995</v>
      </c>
      <c r="CY26">
        <v>0.3</v>
      </c>
      <c r="CZ26" s="5">
        <f>BD26+CQ26+CR26+CS26+CT26+CU26</f>
        <v>-0.50826891332690516</v>
      </c>
      <c r="DA26" s="7">
        <f t="shared" si="53"/>
        <v>0.60153598896626326</v>
      </c>
      <c r="DB26">
        <f>VLOOKUP(E26,'[1]Coefficient Normal'!$A$10:$P$14,16,TRUE)</f>
        <v>0.34899999999999998</v>
      </c>
      <c r="DC26">
        <v>0.3</v>
      </c>
    </row>
    <row r="27" spans="1:107" x14ac:dyDescent="0.25">
      <c r="A27">
        <v>4</v>
      </c>
      <c r="B27">
        <f t="shared" si="54"/>
        <v>14.5</v>
      </c>
      <c r="C27">
        <f t="shared" si="55"/>
        <v>-165.5</v>
      </c>
      <c r="D27" t="str">
        <f t="shared" si="25"/>
        <v>SSComp_and_Normal</v>
      </c>
      <c r="E27">
        <v>30</v>
      </c>
      <c r="F27">
        <v>0.7</v>
      </c>
      <c r="G27">
        <f t="shared" si="26"/>
        <v>0.67770334826467538</v>
      </c>
      <c r="H27">
        <f t="shared" si="27"/>
        <v>0.69999999999999951</v>
      </c>
      <c r="I27">
        <f t="shared" si="28"/>
        <v>14.5</v>
      </c>
      <c r="J27">
        <v>0.50800000000000001</v>
      </c>
      <c r="K27">
        <f t="shared" si="29"/>
        <v>508</v>
      </c>
      <c r="L27">
        <v>9.5250000000000005E-3</v>
      </c>
      <c r="M27">
        <f t="shared" si="30"/>
        <v>9.5250000000000004</v>
      </c>
      <c r="N27" s="3">
        <f t="shared" si="31"/>
        <v>53.333333333333329</v>
      </c>
      <c r="O27">
        <v>100</v>
      </c>
      <c r="P27" s="4" t="s">
        <v>70</v>
      </c>
      <c r="Q27" s="1">
        <f t="shared" si="32"/>
        <v>8</v>
      </c>
      <c r="R27" s="1">
        <f t="shared" si="33"/>
        <v>10</v>
      </c>
      <c r="S27" s="1">
        <f t="shared" si="34"/>
        <v>359000</v>
      </c>
      <c r="T27" s="1">
        <f t="shared" si="35"/>
        <v>455000</v>
      </c>
      <c r="U27" s="1">
        <f t="shared" si="36"/>
        <v>1.9969902892117808</v>
      </c>
      <c r="V27" s="3">
        <v>1.9041242414694344</v>
      </c>
      <c r="W27" s="1">
        <f t="shared" si="37"/>
        <v>0.69164119173371341</v>
      </c>
      <c r="X27" s="1">
        <v>90</v>
      </c>
      <c r="Y27" s="1" t="s">
        <v>71</v>
      </c>
      <c r="Z27" t="s">
        <v>72</v>
      </c>
      <c r="AA27">
        <f t="shared" si="38"/>
        <v>17.5</v>
      </c>
      <c r="AB27" s="1">
        <f t="shared" si="39"/>
        <v>0</v>
      </c>
      <c r="AC27">
        <f t="shared" si="40"/>
        <v>37.5</v>
      </c>
      <c r="AD27">
        <f t="shared" si="41"/>
        <v>1.1000000000000001</v>
      </c>
      <c r="AE27">
        <v>0.9</v>
      </c>
      <c r="AF27" s="1">
        <v>2.5</v>
      </c>
      <c r="AG27" s="1">
        <f t="shared" si="14"/>
        <v>4.9212598425196852</v>
      </c>
      <c r="AH27">
        <f t="shared" si="42"/>
        <v>65.832074055974118</v>
      </c>
      <c r="AI27">
        <f>IF(Z27="medium dense",'[1]Coefficient Normal'!$E$18 + ('[1]Coefficient Normal'!$E$19*AG27) + ('[1]Coefficient Normal'!$E$20*(AG27^2)) + ('[1]Coefficient Normal'!$E$21*(AG27^3)) + ('[1]Coefficient Normal'!$E$22*(AG27^4)),IF(Z27="dense",'[1]Coefficient Normal'!$F$18 + ('[1]Coefficient Normal'!$F$19*AG27) + ('[1]Coefficient Normal'!$F$20*(AG27^2)) + ('[1]Coefficient Normal'!$F$21*(AG27^3)) + ('[1]Coefficient Normal'!$F$22*(AG27^4)),IF(Z27="very dense",'[1]Coefficient Normal'!$G$18 + ('[1]Coefficient Normal'!$G$19*AG27) + ('[1]Coefficient Normal'!$G$20*(AG27^2)) + ('[1]Coefficient Normal'!$G$21*(AG27^3)) + ('[1]Coefficient Normal'!$G$22*(AG27^4)),0)))</f>
        <v>0</v>
      </c>
      <c r="AJ27">
        <f t="shared" si="15"/>
        <v>0</v>
      </c>
      <c r="AK27">
        <f t="shared" si="16"/>
        <v>97.917000000000002</v>
      </c>
      <c r="AL27">
        <f t="shared" si="43"/>
        <v>4.5841201810397836</v>
      </c>
      <c r="AM27">
        <f t="shared" si="17"/>
        <v>3.976561526565717</v>
      </c>
      <c r="AN27">
        <f t="shared" si="18"/>
        <v>4.1871071672264346</v>
      </c>
      <c r="AO27">
        <v>0.7</v>
      </c>
      <c r="AP27" s="5">
        <f>VLOOKUP(X27,'[1]Coefficient Normal'!$A$3:$H$7,2,TRUE)</f>
        <v>14.575100000000001</v>
      </c>
      <c r="AQ27" s="5">
        <f>VLOOKUP(X27,'[1]Coefficient Normal'!$A$3:$H$7,3,TRUE)</f>
        <v>0.1356</v>
      </c>
      <c r="AR27" s="5">
        <f>VLOOKUP(X27,'[1]Coefficient Normal'!$A$3:$H$7,4,TRUE)</f>
        <v>2.9990000000000001</v>
      </c>
      <c r="AS27" s="5">
        <f>VLOOKUP(X27,'[1]Coefficient Normal'!$A$3:$H$7,5,TRUE)</f>
        <v>-0.94710000000000005</v>
      </c>
      <c r="AT27" s="5">
        <f>VLOOKUP(X27,'[1]Coefficient Normal'!$A$3:$H$7,6,TRUE)</f>
        <v>0.6603</v>
      </c>
      <c r="AU27" s="5">
        <f>VLOOKUP(X27,'[1]Coefficient Normal'!$A$3:$H$7,7,TRUE)</f>
        <v>-1.2488999999999999</v>
      </c>
      <c r="AV27" s="5">
        <f>VLOOKUP(X27,'[1]Coefficient Normal'!$A$3:$H$7,8,TRUE)</f>
        <v>-0.44140000000000001</v>
      </c>
      <c r="AX27" s="5">
        <f t="shared" si="19"/>
        <v>2.28560931621747</v>
      </c>
      <c r="BB27">
        <f t="shared" si="20"/>
        <v>-4.4054946400000006</v>
      </c>
      <c r="BC27">
        <f t="shared" si="21"/>
        <v>0.48415656000000001</v>
      </c>
      <c r="BD27" s="5">
        <f>VLOOKUP(X49,'[1]Coefficient Normal'!$A$10:$P$14,2,TRUE)</f>
        <v>5.1353999999999997</v>
      </c>
      <c r="BE27" s="5">
        <f>VLOOKUP(X49,'[1]Coefficient Normal'!$A$10:$P$14,3,TRUE)</f>
        <v>-4.9599999999999998E-2</v>
      </c>
      <c r="BF27" s="5">
        <f>VLOOKUP(X49,'[1]Coefficient Normal'!$A$10:$P$14,4,TRUE)</f>
        <v>0.44590000000000002</v>
      </c>
      <c r="BG27" s="5">
        <f>VLOOKUP(X49,'[1]Coefficient Normal'!$A$10:$P$14,5,TRUE)</f>
        <v>-0.83709999999999996</v>
      </c>
      <c r="BH27" s="5">
        <f>VLOOKUP(X49,'[1]Coefficient Normal'!$A$10:$P$14,6,TRUE)</f>
        <v>0.63090000000000002</v>
      </c>
      <c r="BI27" s="5">
        <f>VLOOKUP(X49,'[1]Coefficient Normal'!$A$10:$P$14,7,TRUE)</f>
        <v>0.91390000000000005</v>
      </c>
      <c r="BJ27" s="5">
        <f>VLOOKUP(X49,'[1]Coefficient Normal'!$A$10:$P$14,8,TRUE)</f>
        <v>2.5000000000000001E-3</v>
      </c>
      <c r="BK27" s="5">
        <f>VLOOKUP(X49,'[1]Coefficient Normal'!$A$10:$P$14,9,TRUE)</f>
        <v>1.6000000000000001E-3</v>
      </c>
      <c r="BL27" s="5">
        <f>VLOOKUP(X49,'[1]Coefficient Normal'!$A$10:$P$14,10,TRUE)</f>
        <v>-9.7500000000000003E-2</v>
      </c>
      <c r="BM27" s="5">
        <f>VLOOKUP(X49,'[1]Coefficient Normal'!$A$10:$P$14,11,TRUE)</f>
        <v>1.1999999999999999E-3</v>
      </c>
      <c r="BN27" s="5">
        <f>VLOOKUP(X49,'[1]Coefficient Normal'!$A$10:$P$14,12,TRUE)</f>
        <v>0.46479999999999999</v>
      </c>
      <c r="BO27" s="5">
        <f>VLOOKUP(X49,'[1]Coefficient Normal'!$A$10:$P$14,13,TRUE)</f>
        <v>8.0000000000000004E-4</v>
      </c>
      <c r="BP27" s="5">
        <f>VLOOKUP(X49,'[1]Coefficient Normal'!$A$10:$P$14,14,TRUE)</f>
        <v>6.7900000000000002E-2</v>
      </c>
      <c r="BQ27" s="5">
        <f>VLOOKUP(X49,'[1]Coefficient Normal'!$A$10:$P$14,15,TRUE)</f>
        <v>0.58979999999999999</v>
      </c>
      <c r="CB27">
        <f t="shared" si="44"/>
        <v>0</v>
      </c>
      <c r="CE27" s="6">
        <f>IF(Y49="sand",1,0)</f>
        <v>0</v>
      </c>
      <c r="CF27" s="6">
        <f>IF(CK27&lt;AX49,1,0)</f>
        <v>1</v>
      </c>
      <c r="CG27" s="6">
        <f>IF(O49&lt;100,1,0)</f>
        <v>0</v>
      </c>
      <c r="CH27">
        <f t="shared" si="22"/>
        <v>3.4479699999999998</v>
      </c>
      <c r="CI27" s="5">
        <f t="shared" si="45"/>
        <v>1.0449801851399352</v>
      </c>
      <c r="CJ27">
        <f t="shared" si="46"/>
        <v>1.164873538278268</v>
      </c>
      <c r="CK27">
        <f t="shared" si="47"/>
        <v>-0.35667494393873306</v>
      </c>
      <c r="CN27">
        <f t="shared" si="23"/>
        <v>5</v>
      </c>
      <c r="CP27" s="5">
        <f>CK27-AX27</f>
        <v>-2.6422842601562029</v>
      </c>
      <c r="CQ27" s="5">
        <f>CI27*CP27</f>
        <v>-2.7611346953703655</v>
      </c>
      <c r="CR27" s="5">
        <f t="shared" si="48"/>
        <v>-0.19723745171765955</v>
      </c>
      <c r="CS27" s="5">
        <f t="shared" si="49"/>
        <v>0</v>
      </c>
      <c r="CT27" s="5">
        <f t="shared" si="50"/>
        <v>-3.8373670035484024</v>
      </c>
      <c r="CU27" s="5">
        <f t="shared" si="51"/>
        <v>-0.42729206023256605</v>
      </c>
      <c r="CV27">
        <f t="shared" si="24"/>
        <v>6.3272379496417432</v>
      </c>
      <c r="CW27">
        <f t="shared" si="52"/>
        <v>100</v>
      </c>
      <c r="CX27">
        <v>0.57099999999999995</v>
      </c>
      <c r="CY27">
        <v>0.3</v>
      </c>
      <c r="CZ27" s="5">
        <f>BD27+CQ27+CR27+CS27+CT27+CU27</f>
        <v>-2.0876312108689938</v>
      </c>
      <c r="DA27" s="7">
        <f t="shared" si="53"/>
        <v>0.12398047184886296</v>
      </c>
      <c r="DB27">
        <f>VLOOKUP(E27,'[1]Coefficient Normal'!$A$10:$P$14,16,TRUE)</f>
        <v>0.34899999999999998</v>
      </c>
      <c r="DC27">
        <v>0.3</v>
      </c>
    </row>
    <row r="28" spans="1:107" x14ac:dyDescent="0.25">
      <c r="A28">
        <v>5</v>
      </c>
      <c r="B28">
        <f t="shared" si="54"/>
        <v>19</v>
      </c>
      <c r="C28">
        <f t="shared" si="55"/>
        <v>-161</v>
      </c>
      <c r="D28" t="str">
        <f t="shared" si="25"/>
        <v>SSComp_and_Normal</v>
      </c>
      <c r="E28">
        <v>45</v>
      </c>
      <c r="F28">
        <v>0.2</v>
      </c>
      <c r="G28">
        <f t="shared" si="26"/>
        <v>0.18910371511986337</v>
      </c>
      <c r="H28">
        <f t="shared" si="27"/>
        <v>0.1999999999999999</v>
      </c>
      <c r="I28">
        <f t="shared" si="28"/>
        <v>19</v>
      </c>
      <c r="J28">
        <v>0.60960000000000003</v>
      </c>
      <c r="K28">
        <f t="shared" si="29"/>
        <v>609.6</v>
      </c>
      <c r="L28">
        <v>9.5250000000000005E-3</v>
      </c>
      <c r="M28">
        <f t="shared" si="30"/>
        <v>9.5250000000000004</v>
      </c>
      <c r="N28" s="3">
        <f t="shared" si="31"/>
        <v>64</v>
      </c>
      <c r="O28">
        <v>15</v>
      </c>
      <c r="P28" s="4" t="s">
        <v>75</v>
      </c>
      <c r="Q28" s="1">
        <f t="shared" si="32"/>
        <v>14</v>
      </c>
      <c r="R28" s="1">
        <f t="shared" si="33"/>
        <v>15</v>
      </c>
      <c r="S28" s="1">
        <f t="shared" si="34"/>
        <v>483000</v>
      </c>
      <c r="T28" s="1">
        <f t="shared" si="35"/>
        <v>565000</v>
      </c>
      <c r="U28" s="1">
        <f t="shared" si="36"/>
        <v>2.8799444073326219</v>
      </c>
      <c r="V28" s="3">
        <v>2.7690517990613435</v>
      </c>
      <c r="W28" s="1">
        <f t="shared" si="37"/>
        <v>1.0577709909520427</v>
      </c>
      <c r="X28" s="1">
        <v>45</v>
      </c>
      <c r="Y28" s="1" t="s">
        <v>71</v>
      </c>
      <c r="Z28" t="s">
        <v>74</v>
      </c>
      <c r="AA28">
        <f t="shared" si="38"/>
        <v>18</v>
      </c>
      <c r="AB28" s="1">
        <f t="shared" si="39"/>
        <v>0</v>
      </c>
      <c r="AC28">
        <f t="shared" si="40"/>
        <v>75</v>
      </c>
      <c r="AD28">
        <f t="shared" si="41"/>
        <v>0.72</v>
      </c>
      <c r="AE28">
        <v>0.9</v>
      </c>
      <c r="AF28" s="1">
        <v>1</v>
      </c>
      <c r="AG28" s="1">
        <f t="shared" si="14"/>
        <v>1.8</v>
      </c>
      <c r="AH28">
        <f t="shared" si="42"/>
        <v>103.41620360793024</v>
      </c>
      <c r="AI28">
        <f>IF(Z28="medium dense",'[1]Coefficient Normal'!$E$18 + ('[1]Coefficient Normal'!$E$19*AG28) + ('[1]Coefficient Normal'!$E$20*(AG28^2)) + ('[1]Coefficient Normal'!$E$21*(AG28^3)) + ('[1]Coefficient Normal'!$E$22*(AG28^4)),IF(Z28="dense",'[1]Coefficient Normal'!$F$18 + ('[1]Coefficient Normal'!$F$19*AG28) + ('[1]Coefficient Normal'!$F$20*(AG28^2)) + ('[1]Coefficient Normal'!$F$21*(AG28^3)) + ('[1]Coefficient Normal'!$F$22*(AG28^4)),IF(Z28="very dense",'[1]Coefficient Normal'!$G$18 + ('[1]Coefficient Normal'!$G$19*AG28) + ('[1]Coefficient Normal'!$G$20*(AG28^2)) + ('[1]Coefficient Normal'!$G$21*(AG28^3)) + ('[1]Coefficient Normal'!$G$22*(AG28^4)),0)))</f>
        <v>0</v>
      </c>
      <c r="AJ28">
        <f t="shared" si="15"/>
        <v>0</v>
      </c>
      <c r="AK28">
        <f t="shared" si="16"/>
        <v>235.0008</v>
      </c>
      <c r="AL28">
        <f t="shared" si="43"/>
        <v>5.4595889183936839</v>
      </c>
      <c r="AM28">
        <f t="shared" si="17"/>
        <v>4.1588830833596715</v>
      </c>
      <c r="AN28">
        <f t="shared" si="18"/>
        <v>4.6387616578039736</v>
      </c>
      <c r="AO28">
        <v>0.2</v>
      </c>
      <c r="AP28" s="5">
        <f>VLOOKUP(X28,'[1]Coefficient Normal'!$A$3:$H$7,2,TRUE)</f>
        <v>3.7532999999999999</v>
      </c>
      <c r="AQ28" s="5">
        <f>VLOOKUP(X28,'[1]Coefficient Normal'!$A$3:$H$7,3,TRUE)</f>
        <v>0.14510000000000001</v>
      </c>
      <c r="AR28" s="5">
        <f>VLOOKUP(X28,'[1]Coefficient Normal'!$A$3:$H$7,4,TRUE)</f>
        <v>1.2497</v>
      </c>
      <c r="AS28" s="5">
        <f>VLOOKUP(X28,'[1]Coefficient Normal'!$A$3:$H$7,5,TRUE)</f>
        <v>-0.46100000000000002</v>
      </c>
      <c r="AT28" s="5">
        <f>VLOOKUP(X28,'[1]Coefficient Normal'!$A$3:$H$7,6,TRUE)</f>
        <v>0.39140000000000003</v>
      </c>
      <c r="AU28" s="5">
        <f>VLOOKUP(X28,'[1]Coefficient Normal'!$A$3:$H$7,7,TRUE)</f>
        <v>-0.21310000000000001</v>
      </c>
      <c r="AV28" s="5">
        <f>VLOOKUP(X28,'[1]Coefficient Normal'!$A$3:$H$7,8,TRUE)</f>
        <v>-0.34139999999999998</v>
      </c>
      <c r="AX28" s="5">
        <f t="shared" si="19"/>
        <v>-0.72264893745396175</v>
      </c>
      <c r="BB28">
        <f t="shared" si="20"/>
        <v>-5.6660735680000007</v>
      </c>
      <c r="BC28">
        <f t="shared" si="21"/>
        <v>0.30561387200000001</v>
      </c>
      <c r="BD28" s="5">
        <f>VLOOKUP(X50,'[1]Coefficient Normal'!$A$10:$P$14,2,TRUE)</f>
        <v>-1.1082000000000001</v>
      </c>
      <c r="BE28" s="5">
        <f>VLOOKUP(X50,'[1]Coefficient Normal'!$A$10:$P$14,3,TRUE)</f>
        <v>0.10630000000000001</v>
      </c>
      <c r="BF28" s="5">
        <f>VLOOKUP(X50,'[1]Coefficient Normal'!$A$10:$P$14,4,TRUE)</f>
        <v>-0.1439</v>
      </c>
      <c r="BG28" s="5">
        <f>VLOOKUP(X50,'[1]Coefficient Normal'!$A$10:$P$14,5,TRUE)</f>
        <v>0.27879999999999999</v>
      </c>
      <c r="BH28" s="5">
        <f>VLOOKUP(X50,'[1]Coefficient Normal'!$A$10:$P$14,6,TRUE)</f>
        <v>-0.31030000000000002</v>
      </c>
      <c r="BI28" s="5">
        <f>VLOOKUP(X50,'[1]Coefficient Normal'!$A$10:$P$14,7,TRUE)</f>
        <v>1.2553000000000001</v>
      </c>
      <c r="BJ28" s="5">
        <f>VLOOKUP(X50,'[1]Coefficient Normal'!$A$10:$P$14,8,TRUE)</f>
        <v>2.9999999999999997E-4</v>
      </c>
      <c r="BK28" s="5">
        <f>VLOOKUP(X50,'[1]Coefficient Normal'!$A$10:$P$14,9,TRUE)</f>
        <v>5.1999999999999998E-3</v>
      </c>
      <c r="BL28" s="5">
        <f>VLOOKUP(X50,'[1]Coefficient Normal'!$A$10:$P$14,10,TRUE)</f>
        <v>-8.5900000000000004E-2</v>
      </c>
      <c r="BM28" s="5">
        <f>VLOOKUP(X50,'[1]Coefficient Normal'!$A$10:$P$14,11,TRUE)</f>
        <v>5.9999999999999995E-4</v>
      </c>
      <c r="BN28" s="5">
        <f>VLOOKUP(X50,'[1]Coefficient Normal'!$A$10:$P$14,12,TRUE)</f>
        <v>-0.21759999999999999</v>
      </c>
      <c r="BO28" s="5">
        <f>VLOOKUP(X50,'[1]Coefficient Normal'!$A$10:$P$14,13,TRUE)</f>
        <v>-2.69E-2</v>
      </c>
      <c r="BP28" s="5">
        <f>VLOOKUP(X50,'[1]Coefficient Normal'!$A$10:$P$14,14,TRUE)</f>
        <v>0.57389999999999997</v>
      </c>
      <c r="BQ28" s="5">
        <f>VLOOKUP(X50,'[1]Coefficient Normal'!$A$10:$P$14,15,TRUE)</f>
        <v>0.34460000000000002</v>
      </c>
      <c r="CB28">
        <f t="shared" si="44"/>
        <v>0</v>
      </c>
      <c r="CE28" s="6">
        <f>IF(Y50="sand",1,0)</f>
        <v>0</v>
      </c>
      <c r="CF28" s="6">
        <f>IF(CK28&lt;AX50,1,0)</f>
        <v>1</v>
      </c>
      <c r="CG28" s="6">
        <f>IF(O50&lt;100,1,0)</f>
        <v>1</v>
      </c>
      <c r="CH28">
        <f t="shared" si="22"/>
        <v>4.3770199999999999</v>
      </c>
      <c r="CI28" s="5">
        <f t="shared" si="45"/>
        <v>0.88272486108237924</v>
      </c>
      <c r="CJ28">
        <f t="shared" si="46"/>
        <v>0.91400402804037051</v>
      </c>
      <c r="CK28">
        <f t="shared" si="47"/>
        <v>-1.6094379124341009</v>
      </c>
      <c r="CN28">
        <f t="shared" si="23"/>
        <v>1.5513261095235613</v>
      </c>
      <c r="CP28" s="5">
        <f>CK28-AX28</f>
        <v>-0.8867889749801392</v>
      </c>
      <c r="CQ28" s="5">
        <f>CI28*CP28</f>
        <v>-0.78279067474872888</v>
      </c>
      <c r="CR28" s="5">
        <f t="shared" si="48"/>
        <v>0.44208927176113311</v>
      </c>
      <c r="CS28" s="5">
        <f t="shared" si="49"/>
        <v>0</v>
      </c>
      <c r="CT28" s="5">
        <f t="shared" si="50"/>
        <v>1.5221333904481591</v>
      </c>
      <c r="CU28" s="5">
        <f t="shared" si="51"/>
        <v>0.15358369081139006</v>
      </c>
      <c r="CV28">
        <f t="shared" si="24"/>
        <v>1.0760984747562805</v>
      </c>
      <c r="CW28">
        <f t="shared" si="52"/>
        <v>2.9332131921517313</v>
      </c>
      <c r="CX28">
        <v>0.57099999999999995</v>
      </c>
      <c r="CY28">
        <v>0.3</v>
      </c>
      <c r="CZ28" s="5">
        <f>BD28+CQ28+CR28+CS28+CT28+CU28</f>
        <v>0.22681567827195342</v>
      </c>
      <c r="DA28" s="7">
        <f t="shared" si="53"/>
        <v>1.2545985968454147</v>
      </c>
      <c r="DB28">
        <f>VLOOKUP(E28,'[1]Coefficient Normal'!$A$10:$P$14,16,TRUE)</f>
        <v>0.3997</v>
      </c>
      <c r="DC28">
        <v>0.3</v>
      </c>
    </row>
    <row r="29" spans="1:107" x14ac:dyDescent="0.25">
      <c r="A29">
        <v>6</v>
      </c>
      <c r="B29">
        <f t="shared" si="54"/>
        <v>23.5</v>
      </c>
      <c r="C29">
        <f t="shared" si="55"/>
        <v>-156.5</v>
      </c>
      <c r="D29" t="str">
        <f t="shared" si="25"/>
        <v>SSComp_and_Normal</v>
      </c>
      <c r="E29">
        <v>45</v>
      </c>
      <c r="F29">
        <v>0.3</v>
      </c>
      <c r="G29">
        <f t="shared" si="26"/>
        <v>0.27511802231553723</v>
      </c>
      <c r="H29">
        <f t="shared" si="27"/>
        <v>0.29999999999999988</v>
      </c>
      <c r="I29">
        <f t="shared" si="28"/>
        <v>23.5</v>
      </c>
      <c r="J29">
        <v>0.76200000000000001</v>
      </c>
      <c r="K29">
        <f t="shared" si="29"/>
        <v>762</v>
      </c>
      <c r="L29">
        <v>9.5250000000000005E-3</v>
      </c>
      <c r="M29">
        <f t="shared" si="30"/>
        <v>9.5250000000000004</v>
      </c>
      <c r="N29" s="3">
        <f t="shared" si="31"/>
        <v>80</v>
      </c>
      <c r="O29">
        <v>30</v>
      </c>
      <c r="P29" s="4" t="s">
        <v>77</v>
      </c>
      <c r="Q29" s="1">
        <f t="shared" si="32"/>
        <v>15</v>
      </c>
      <c r="R29" s="1">
        <f t="shared" si="33"/>
        <v>20</v>
      </c>
      <c r="S29" s="1">
        <f t="shared" si="34"/>
        <v>552000</v>
      </c>
      <c r="T29" s="1">
        <f t="shared" si="35"/>
        <v>625000</v>
      </c>
      <c r="U29" s="1">
        <f t="shared" si="36"/>
        <v>2.9888368774026359</v>
      </c>
      <c r="V29" s="3">
        <v>2.8464933991254466</v>
      </c>
      <c r="W29" s="1">
        <f t="shared" si="37"/>
        <v>1.0948843075076633</v>
      </c>
      <c r="X29" s="1">
        <v>60</v>
      </c>
      <c r="Y29" s="1" t="s">
        <v>71</v>
      </c>
      <c r="Z29" t="s">
        <v>76</v>
      </c>
      <c r="AA29">
        <f t="shared" si="38"/>
        <v>18.5</v>
      </c>
      <c r="AB29" s="1">
        <f t="shared" si="39"/>
        <v>0</v>
      </c>
      <c r="AC29">
        <f t="shared" si="40"/>
        <v>125</v>
      </c>
      <c r="AD29">
        <f t="shared" si="41"/>
        <v>0.4</v>
      </c>
      <c r="AE29">
        <v>0.9</v>
      </c>
      <c r="AF29" s="1">
        <v>1.2</v>
      </c>
      <c r="AG29" s="1">
        <f t="shared" si="14"/>
        <v>1.8</v>
      </c>
      <c r="AH29">
        <f t="shared" si="42"/>
        <v>119.69468010177111</v>
      </c>
      <c r="AI29">
        <f>IF(Z29="medium dense",'[1]Coefficient Normal'!$E$18 + ('[1]Coefficient Normal'!$E$19*AG29) + ('[1]Coefficient Normal'!$E$20*(AG29^2)) + ('[1]Coefficient Normal'!$E$21*(AG29^3)) + ('[1]Coefficient Normal'!$E$22*(AG29^4)),IF(Z29="dense",'[1]Coefficient Normal'!$F$18 + ('[1]Coefficient Normal'!$F$19*AG29) + ('[1]Coefficient Normal'!$F$20*(AG29^2)) + ('[1]Coefficient Normal'!$F$21*(AG29^3)) + ('[1]Coefficient Normal'!$F$22*(AG29^4)),IF(Z29="very dense",'[1]Coefficient Normal'!$G$18 + ('[1]Coefficient Normal'!$G$19*AG29) + ('[1]Coefficient Normal'!$G$20*(AG29^2)) + ('[1]Coefficient Normal'!$G$21*(AG29^3)) + ('[1]Coefficient Normal'!$G$22*(AG29^4)),0)))</f>
        <v>0</v>
      </c>
      <c r="AJ29">
        <f t="shared" si="15"/>
        <v>0</v>
      </c>
      <c r="AK29">
        <f t="shared" si="16"/>
        <v>489.58499999999998</v>
      </c>
      <c r="AL29">
        <f t="shared" si="43"/>
        <v>6.1935580934738841</v>
      </c>
      <c r="AM29">
        <f t="shared" si="17"/>
        <v>4.3820266346738812</v>
      </c>
      <c r="AN29">
        <f t="shared" si="18"/>
        <v>4.7849441679820552</v>
      </c>
      <c r="AO29">
        <v>0.3</v>
      </c>
      <c r="AP29" s="5">
        <f>VLOOKUP(X29,'[1]Coefficient Normal'!$A$3:$H$7,2,TRUE)</f>
        <v>4.3182999999999998</v>
      </c>
      <c r="AQ29" s="5">
        <f>VLOOKUP(X29,'[1]Coefficient Normal'!$A$3:$H$7,3,TRUE)</f>
        <v>-2.7900000000000001E-2</v>
      </c>
      <c r="AR29" s="5">
        <f>VLOOKUP(X29,'[1]Coefficient Normal'!$A$3:$H$7,4,TRUE)</f>
        <v>1.0497000000000001</v>
      </c>
      <c r="AS29" s="5">
        <f>VLOOKUP(X29,'[1]Coefficient Normal'!$A$3:$H$7,5,TRUE)</f>
        <v>-0.46910000000000002</v>
      </c>
      <c r="AT29" s="5">
        <f>VLOOKUP(X29,'[1]Coefficient Normal'!$A$3:$H$7,6,TRUE)</f>
        <v>0.29149999999999998</v>
      </c>
      <c r="AU29" s="5">
        <f>VLOOKUP(X29,'[1]Coefficient Normal'!$A$3:$H$7,7,TRUE)</f>
        <v>-0.28610000000000002</v>
      </c>
      <c r="AV29" s="5">
        <f>VLOOKUP(X29,'[1]Coefficient Normal'!$A$3:$H$7,8,TRUE)</f>
        <v>-0.1348</v>
      </c>
      <c r="AX29" s="5">
        <f t="shared" si="19"/>
        <v>-0.21534838686554436</v>
      </c>
      <c r="BB29">
        <f t="shared" si="20"/>
        <v>-5.2755169600000009</v>
      </c>
      <c r="BC29">
        <f t="shared" si="21"/>
        <v>0.31852483999999998</v>
      </c>
      <c r="BD29" s="5">
        <f>VLOOKUP(X51,'[1]Coefficient Normal'!$A$10:$P$14,2,TRUE)</f>
        <v>-2.1276999999999999</v>
      </c>
      <c r="BE29" s="5">
        <f>VLOOKUP(X51,'[1]Coefficient Normal'!$A$10:$P$14,3,TRUE)</f>
        <v>0.14760000000000001</v>
      </c>
      <c r="BF29" s="5">
        <f>VLOOKUP(X51,'[1]Coefficient Normal'!$A$10:$P$14,4,TRUE)</f>
        <v>-0.21829999999999999</v>
      </c>
      <c r="BG29" s="5">
        <f>VLOOKUP(X51,'[1]Coefficient Normal'!$A$10:$P$14,5,TRUE)</f>
        <v>0.42270000000000002</v>
      </c>
      <c r="BH29" s="5">
        <f>VLOOKUP(X51,'[1]Coefficient Normal'!$A$10:$P$14,6,TRUE)</f>
        <v>-0.53720000000000001</v>
      </c>
      <c r="BI29" s="5">
        <f>VLOOKUP(X51,'[1]Coefficient Normal'!$A$10:$P$14,7,TRUE)</f>
        <v>1.252</v>
      </c>
      <c r="BJ29" s="5">
        <f>VLOOKUP(X51,'[1]Coefficient Normal'!$A$10:$P$14,8,TRUE)</f>
        <v>-5.9999999999999995E-4</v>
      </c>
      <c r="BK29" s="5">
        <f>VLOOKUP(X51,'[1]Coefficient Normal'!$A$10:$P$14,9,TRUE)</f>
        <v>5.3E-3</v>
      </c>
      <c r="BL29" s="5">
        <f>VLOOKUP(X51,'[1]Coefficient Normal'!$A$10:$P$14,10,TRUE)</f>
        <v>-4.8500000000000001E-2</v>
      </c>
      <c r="BM29" s="5">
        <f>VLOOKUP(X51,'[1]Coefficient Normal'!$A$10:$P$14,11,TRUE)</f>
        <v>1.2999999999999999E-3</v>
      </c>
      <c r="BN29" s="5">
        <f>VLOOKUP(X51,'[1]Coefficient Normal'!$A$10:$P$14,12,TRUE)</f>
        <v>-0.56599999999999995</v>
      </c>
      <c r="BO29" s="5">
        <f>VLOOKUP(X51,'[1]Coefficient Normal'!$A$10:$P$14,13,TRUE)</f>
        <v>-3.2099999999999997E-2</v>
      </c>
      <c r="BP29" s="5">
        <f>VLOOKUP(X51,'[1]Coefficient Normal'!$A$10:$P$14,14,TRUE)</f>
        <v>0.84970000000000001</v>
      </c>
      <c r="BQ29" s="5">
        <f>VLOOKUP(X51,'[1]Coefficient Normal'!$A$10:$P$14,15,TRUE)</f>
        <v>9.01E-2</v>
      </c>
      <c r="CB29">
        <f t="shared" si="44"/>
        <v>0</v>
      </c>
      <c r="CE29" s="6">
        <f>IF(Y51="sand",1,0)</f>
        <v>0</v>
      </c>
      <c r="CF29" s="6">
        <f>IF(CK29&lt;AX51,1,0)</f>
        <v>1</v>
      </c>
      <c r="CG29" s="6">
        <f>IF(O51&lt;100,1,0)</f>
        <v>1</v>
      </c>
      <c r="CH29">
        <f t="shared" si="22"/>
        <v>4.2130700000000001</v>
      </c>
      <c r="CI29" s="5">
        <f t="shared" si="45"/>
        <v>0.91318319193893738</v>
      </c>
      <c r="CJ29">
        <f t="shared" si="46"/>
        <v>0.9458570255592591</v>
      </c>
      <c r="CK29">
        <f t="shared" si="47"/>
        <v>-1.2039728043259363</v>
      </c>
      <c r="CN29">
        <f t="shared" si="23"/>
        <v>1.7909147833173755</v>
      </c>
      <c r="CP29" s="5">
        <f>CK29-AX29</f>
        <v>-0.98862441746039198</v>
      </c>
      <c r="CQ29" s="5">
        <f>CI29*CP29</f>
        <v>-0.90279520116525325</v>
      </c>
      <c r="CR29" s="5">
        <f t="shared" si="48"/>
        <v>0.64678713127786491</v>
      </c>
      <c r="CS29" s="5">
        <f t="shared" si="49"/>
        <v>0</v>
      </c>
      <c r="CT29" s="5">
        <f t="shared" si="50"/>
        <v>2.618017006111411</v>
      </c>
      <c r="CU29" s="5">
        <f t="shared" si="51"/>
        <v>0.14601564615433765</v>
      </c>
      <c r="CV29">
        <f t="shared" si="24"/>
        <v>1.6225278484320897</v>
      </c>
      <c r="CW29">
        <f t="shared" si="52"/>
        <v>5.0658799212784311</v>
      </c>
      <c r="CX29">
        <v>0.57099999999999995</v>
      </c>
      <c r="CY29">
        <v>0.3</v>
      </c>
      <c r="CZ29" s="5">
        <f>BD29+CQ29+CR29+CS29+CT29+CU29</f>
        <v>0.38032458237836037</v>
      </c>
      <c r="DA29" s="7">
        <f t="shared" si="53"/>
        <v>1.4627592982809983</v>
      </c>
      <c r="DB29">
        <f>VLOOKUP(E29,'[1]Coefficient Normal'!$A$10:$P$14,16,TRUE)</f>
        <v>0.3997</v>
      </c>
      <c r="DC29">
        <v>0.3</v>
      </c>
    </row>
    <row r="30" spans="1:107" x14ac:dyDescent="0.25">
      <c r="A30">
        <v>7</v>
      </c>
      <c r="B30">
        <f t="shared" si="54"/>
        <v>28</v>
      </c>
      <c r="C30">
        <f t="shared" si="55"/>
        <v>-152</v>
      </c>
      <c r="D30" t="str">
        <f t="shared" si="25"/>
        <v>SSComp_and_Normal</v>
      </c>
      <c r="E30">
        <v>45</v>
      </c>
      <c r="F30">
        <v>0.5</v>
      </c>
      <c r="G30">
        <f t="shared" si="26"/>
        <v>0.44147379642946349</v>
      </c>
      <c r="H30">
        <f t="shared" si="27"/>
        <v>0.49999999999999983</v>
      </c>
      <c r="I30">
        <f t="shared" si="28"/>
        <v>28</v>
      </c>
      <c r="J30">
        <v>0.86360000000000003</v>
      </c>
      <c r="K30">
        <f t="shared" si="29"/>
        <v>863.6</v>
      </c>
      <c r="L30">
        <v>9.5250000000000005E-3</v>
      </c>
      <c r="M30">
        <f t="shared" si="30"/>
        <v>9.5250000000000004</v>
      </c>
      <c r="N30" s="3">
        <f t="shared" si="31"/>
        <v>90.666666666666671</v>
      </c>
      <c r="O30">
        <v>50</v>
      </c>
      <c r="P30" s="4" t="s">
        <v>70</v>
      </c>
      <c r="Q30" s="1">
        <f t="shared" si="32"/>
        <v>8</v>
      </c>
      <c r="R30" s="1">
        <f t="shared" si="33"/>
        <v>10</v>
      </c>
      <c r="S30" s="1">
        <f t="shared" si="34"/>
        <v>359000</v>
      </c>
      <c r="T30" s="1">
        <f t="shared" si="35"/>
        <v>455000</v>
      </c>
      <c r="U30" s="1">
        <f t="shared" si="36"/>
        <v>1.9969902892117808</v>
      </c>
      <c r="V30" s="3">
        <v>1.9041242414694344</v>
      </c>
      <c r="W30" s="1">
        <f t="shared" si="37"/>
        <v>0.69164119173371341</v>
      </c>
      <c r="X30" s="1">
        <v>75</v>
      </c>
      <c r="Y30" s="1" t="s">
        <v>71</v>
      </c>
      <c r="Z30" t="s">
        <v>72</v>
      </c>
      <c r="AA30">
        <f t="shared" si="38"/>
        <v>17.5</v>
      </c>
      <c r="AB30" s="1">
        <f t="shared" si="39"/>
        <v>0</v>
      </c>
      <c r="AC30">
        <f t="shared" si="40"/>
        <v>37.5</v>
      </c>
      <c r="AD30">
        <f t="shared" si="41"/>
        <v>1.1000000000000001</v>
      </c>
      <c r="AE30">
        <v>0.9</v>
      </c>
      <c r="AF30" s="1">
        <v>0.78739999999999999</v>
      </c>
      <c r="AG30" s="1">
        <f t="shared" si="14"/>
        <v>1.8</v>
      </c>
      <c r="AH30">
        <f t="shared" si="42"/>
        <v>111.91452589515602</v>
      </c>
      <c r="AI30">
        <f>IF(Z30="medium dense",'[1]Coefficient Normal'!$E$18 + ('[1]Coefficient Normal'!$E$19*AG30) + ('[1]Coefficient Normal'!$E$20*(AG30^2)) + ('[1]Coefficient Normal'!$E$21*(AG30^3)) + ('[1]Coefficient Normal'!$E$22*(AG30^4)),IF(Z30="dense",'[1]Coefficient Normal'!$F$18 + ('[1]Coefficient Normal'!$F$19*AG30) + ('[1]Coefficient Normal'!$F$20*(AG30^2)) + ('[1]Coefficient Normal'!$F$21*(AG30^3)) + ('[1]Coefficient Normal'!$F$22*(AG30^4)),IF(Z30="very dense",'[1]Coefficient Normal'!$G$18 + ('[1]Coefficient Normal'!$G$19*AG30) + ('[1]Coefficient Normal'!$G$20*(AG30^2)) + ('[1]Coefficient Normal'!$G$21*(AG30^3)) + ('[1]Coefficient Normal'!$G$22*(AG30^4)),0)))</f>
        <v>0</v>
      </c>
      <c r="AJ30">
        <f t="shared" si="15"/>
        <v>0</v>
      </c>
      <c r="AK30">
        <f t="shared" si="16"/>
        <v>166.4589</v>
      </c>
      <c r="AL30">
        <f t="shared" si="43"/>
        <v>5.1147484321019538</v>
      </c>
      <c r="AM30">
        <f t="shared" si="17"/>
        <v>4.5071897776278878</v>
      </c>
      <c r="AN30">
        <f t="shared" si="18"/>
        <v>4.7177354182886058</v>
      </c>
      <c r="AO30">
        <v>0.5</v>
      </c>
      <c r="AP30" s="5">
        <f>VLOOKUP(X30,'[1]Coefficient Normal'!$A$3:$H$7,2,TRUE)</f>
        <v>5.5951000000000004</v>
      </c>
      <c r="AQ30" s="5">
        <f>VLOOKUP(X30,'[1]Coefficient Normal'!$A$3:$H$7,3,TRUE)</f>
        <v>1.6E-2</v>
      </c>
      <c r="AR30" s="5">
        <f>VLOOKUP(X30,'[1]Coefficient Normal'!$A$3:$H$7,4,TRUE)</f>
        <v>1.2641</v>
      </c>
      <c r="AS30" s="5">
        <f>VLOOKUP(X30,'[1]Coefficient Normal'!$A$3:$H$7,5,TRUE)</f>
        <v>-0.52429999999999999</v>
      </c>
      <c r="AT30" s="5">
        <f>VLOOKUP(X30,'[1]Coefficient Normal'!$A$3:$H$7,6,TRUE)</f>
        <v>0.35830000000000001</v>
      </c>
      <c r="AU30" s="5">
        <f>VLOOKUP(X30,'[1]Coefficient Normal'!$A$3:$H$7,7,TRUE)</f>
        <v>-0.35920000000000002</v>
      </c>
      <c r="AV30" s="5">
        <f>VLOOKUP(X30,'[1]Coefficient Normal'!$A$3:$H$7,8,TRUE)</f>
        <v>-0.2482</v>
      </c>
      <c r="AX30" s="5">
        <f t="shared" si="19"/>
        <v>0.34885356093481379</v>
      </c>
      <c r="BB30">
        <f t="shared" si="20"/>
        <v>-4.8550458880000011</v>
      </c>
      <c r="BC30">
        <f t="shared" si="21"/>
        <v>0.34683215199999995</v>
      </c>
      <c r="BD30" s="5">
        <f>VLOOKUP(X52,'[1]Coefficient Normal'!$A$10:$P$14,2,TRUE)</f>
        <v>-2.3450000000000002</v>
      </c>
      <c r="BE30" s="5">
        <f>VLOOKUP(X52,'[1]Coefficient Normal'!$A$10:$P$14,3,TRUE)</f>
        <v>0.19470000000000001</v>
      </c>
      <c r="BF30" s="5">
        <f>VLOOKUP(X52,'[1]Coefficient Normal'!$A$10:$P$14,4,TRUE)</f>
        <v>-0.2044</v>
      </c>
      <c r="BG30" s="5">
        <f>VLOOKUP(X52,'[1]Coefficient Normal'!$A$10:$P$14,5,TRUE)</f>
        <v>0.4143</v>
      </c>
      <c r="BH30" s="5">
        <f>VLOOKUP(X52,'[1]Coefficient Normal'!$A$10:$P$14,6,TRUE)</f>
        <v>-0.55710000000000004</v>
      </c>
      <c r="BI30" s="5">
        <f>VLOOKUP(X52,'[1]Coefficient Normal'!$A$10:$P$14,7,TRUE)</f>
        <v>1.0931</v>
      </c>
      <c r="BJ30" s="5">
        <f>VLOOKUP(X52,'[1]Coefficient Normal'!$A$10:$P$14,8,TRUE)</f>
        <v>1E-4</v>
      </c>
      <c r="BK30" s="5">
        <f>VLOOKUP(X52,'[1]Coefficient Normal'!$A$10:$P$14,9,TRUE)</f>
        <v>3.5000000000000001E-3</v>
      </c>
      <c r="BL30" s="5">
        <f>VLOOKUP(X52,'[1]Coefficient Normal'!$A$10:$P$14,10,TRUE)</f>
        <v>-4.07E-2</v>
      </c>
      <c r="BM30" s="5">
        <f>VLOOKUP(X52,'[1]Coefficient Normal'!$A$10:$P$14,11,TRUE)</f>
        <v>1.6000000000000001E-3</v>
      </c>
      <c r="BN30" s="5">
        <f>VLOOKUP(X52,'[1]Coefficient Normal'!$A$10:$P$14,12,TRUE)</f>
        <v>-0.65949999999999998</v>
      </c>
      <c r="BO30" s="5">
        <f>VLOOKUP(X52,'[1]Coefficient Normal'!$A$10:$P$14,13,TRUE)</f>
        <v>-3.0099999999999998E-2</v>
      </c>
      <c r="BP30" s="5">
        <f>VLOOKUP(X52,'[1]Coefficient Normal'!$A$10:$P$14,14,TRUE)</f>
        <v>0.84219999999999995</v>
      </c>
      <c r="BQ30" s="5">
        <f>VLOOKUP(X52,'[1]Coefficient Normal'!$A$10:$P$14,15,TRUE)</f>
        <v>0.50680000000000003</v>
      </c>
      <c r="CB30">
        <f t="shared" si="44"/>
        <v>0</v>
      </c>
      <c r="CE30" s="6">
        <f>IF(Y52="sand",1,0)</f>
        <v>0</v>
      </c>
      <c r="CF30" s="6">
        <f>IF(CK30&lt;AX52,1,0)</f>
        <v>1</v>
      </c>
      <c r="CG30" s="6">
        <f>IF(O52&lt;100,1,0)</f>
        <v>0</v>
      </c>
      <c r="CH30">
        <f t="shared" si="22"/>
        <v>3.9944699999999997</v>
      </c>
      <c r="CI30" s="5">
        <f t="shared" si="45"/>
        <v>1.2086581192561823</v>
      </c>
      <c r="CJ30">
        <f t="shared" si="46"/>
        <v>1.0107496804494418</v>
      </c>
      <c r="CK30">
        <f t="shared" si="47"/>
        <v>-0.69314718055994562</v>
      </c>
      <c r="CN30">
        <f t="shared" si="23"/>
        <v>5</v>
      </c>
      <c r="CP30" s="5">
        <f>CK30-AX30</f>
        <v>-1.0420007414947594</v>
      </c>
      <c r="CQ30" s="5">
        <f>CI30*CP30</f>
        <v>-1.2594226564786033</v>
      </c>
      <c r="CR30" s="5">
        <f t="shared" si="48"/>
        <v>0.87754984970414984</v>
      </c>
      <c r="CS30" s="5">
        <f t="shared" si="49"/>
        <v>0</v>
      </c>
      <c r="CT30" s="5">
        <f t="shared" si="50"/>
        <v>2.1190402754198394</v>
      </c>
      <c r="CU30" s="5">
        <f t="shared" si="51"/>
        <v>8.1696252808241152E-2</v>
      </c>
      <c r="CV30">
        <f t="shared" si="24"/>
        <v>10.416195185964192</v>
      </c>
      <c r="CW30">
        <f t="shared" si="52"/>
        <v>100</v>
      </c>
      <c r="CX30">
        <v>0.57099999999999995</v>
      </c>
      <c r="CY30">
        <v>0.3</v>
      </c>
      <c r="CZ30" s="5">
        <f>BD30+CQ30+CR30+CS30+CT30+CU30</f>
        <v>-0.52613627854637313</v>
      </c>
      <c r="DA30" s="7">
        <f t="shared" si="53"/>
        <v>0.59088357443981465</v>
      </c>
      <c r="DB30">
        <f>VLOOKUP(E30,'[1]Coefficient Normal'!$A$10:$P$14,16,TRUE)</f>
        <v>0.3997</v>
      </c>
      <c r="DC30">
        <v>0.3</v>
      </c>
    </row>
    <row r="31" spans="1:107" x14ac:dyDescent="0.25">
      <c r="A31">
        <v>8</v>
      </c>
      <c r="B31">
        <f t="shared" si="54"/>
        <v>32.5</v>
      </c>
      <c r="C31">
        <f t="shared" si="55"/>
        <v>-147.5</v>
      </c>
      <c r="D31" t="str">
        <f t="shared" si="25"/>
        <v>SSComp_and_Normal</v>
      </c>
      <c r="E31">
        <v>45</v>
      </c>
      <c r="F31">
        <v>0.65</v>
      </c>
      <c r="G31">
        <f t="shared" si="26"/>
        <v>0.54820443977837574</v>
      </c>
      <c r="H31">
        <f t="shared" si="27"/>
        <v>0.64999999999999991</v>
      </c>
      <c r="I31">
        <f t="shared" si="28"/>
        <v>32.5</v>
      </c>
      <c r="J31">
        <v>1.0668</v>
      </c>
      <c r="K31">
        <f t="shared" si="29"/>
        <v>1066.8</v>
      </c>
      <c r="L31">
        <v>9.5250000000000005E-3</v>
      </c>
      <c r="M31">
        <f t="shared" si="30"/>
        <v>9.5250000000000004</v>
      </c>
      <c r="N31" s="3">
        <f t="shared" si="31"/>
        <v>111.99999999999999</v>
      </c>
      <c r="O31">
        <v>100</v>
      </c>
      <c r="P31" s="4" t="s">
        <v>73</v>
      </c>
      <c r="Q31" s="1">
        <f t="shared" si="32"/>
        <v>8</v>
      </c>
      <c r="R31" s="1">
        <f t="shared" si="33"/>
        <v>12</v>
      </c>
      <c r="S31" s="1">
        <f t="shared" si="34"/>
        <v>414000</v>
      </c>
      <c r="T31" s="1">
        <f t="shared" si="35"/>
        <v>517000</v>
      </c>
      <c r="U31" s="1">
        <f t="shared" si="36"/>
        <v>2.5466769467238102</v>
      </c>
      <c r="V31" s="3">
        <v>2.4313344008036557</v>
      </c>
      <c r="W31" s="1">
        <f t="shared" si="37"/>
        <v>0.93478935117382533</v>
      </c>
      <c r="X31" s="1">
        <v>90</v>
      </c>
      <c r="Y31" s="1" t="s">
        <v>71</v>
      </c>
      <c r="Z31" t="s">
        <v>74</v>
      </c>
      <c r="AA31">
        <f t="shared" si="38"/>
        <v>18</v>
      </c>
      <c r="AB31" s="1">
        <f t="shared" si="39"/>
        <v>0</v>
      </c>
      <c r="AC31">
        <f t="shared" si="40"/>
        <v>75</v>
      </c>
      <c r="AD31">
        <f t="shared" si="41"/>
        <v>0.72</v>
      </c>
      <c r="AE31">
        <v>0.9</v>
      </c>
      <c r="AF31" s="1">
        <v>1</v>
      </c>
      <c r="AG31" s="1">
        <f t="shared" si="14"/>
        <v>1.8</v>
      </c>
      <c r="AH31">
        <f t="shared" si="42"/>
        <v>180.97835631387795</v>
      </c>
      <c r="AI31">
        <f>IF(Z31="medium dense",'[1]Coefficient Normal'!$E$18 + ('[1]Coefficient Normal'!$E$19*AG31) + ('[1]Coefficient Normal'!$E$20*(AG31^2)) + ('[1]Coefficient Normal'!$E$21*(AG31^3)) + ('[1]Coefficient Normal'!$E$22*(AG31^4)),IF(Z31="dense",'[1]Coefficient Normal'!$F$18 + ('[1]Coefficient Normal'!$F$19*AG31) + ('[1]Coefficient Normal'!$F$20*(AG31^2)) + ('[1]Coefficient Normal'!$F$21*(AG31^3)) + ('[1]Coefficient Normal'!$F$22*(AG31^4)),IF(Z31="very dense",'[1]Coefficient Normal'!$G$18 + ('[1]Coefficient Normal'!$G$19*AG31) + ('[1]Coefficient Normal'!$G$20*(AG31^2)) + ('[1]Coefficient Normal'!$G$21*(AG31^3)) + ('[1]Coefficient Normal'!$G$22*(AG31^4)),0)))</f>
        <v>0</v>
      </c>
      <c r="AJ31">
        <f t="shared" si="15"/>
        <v>0</v>
      </c>
      <c r="AK31">
        <f t="shared" si="16"/>
        <v>411.25139999999999</v>
      </c>
      <c r="AL31">
        <f t="shared" si="43"/>
        <v>6.0192047063291065</v>
      </c>
      <c r="AM31">
        <f t="shared" si="17"/>
        <v>4.7184988712950942</v>
      </c>
      <c r="AN31">
        <f t="shared" si="18"/>
        <v>5.1983774457393972</v>
      </c>
      <c r="AO31">
        <v>0.65</v>
      </c>
      <c r="AP31" s="5">
        <f>VLOOKUP(X31,'[1]Coefficient Normal'!$A$3:$H$7,2,TRUE)</f>
        <v>14.575100000000001</v>
      </c>
      <c r="AQ31" s="5">
        <f>VLOOKUP(X31,'[1]Coefficient Normal'!$A$3:$H$7,3,TRUE)</f>
        <v>0.1356</v>
      </c>
      <c r="AR31" s="5">
        <f>VLOOKUP(X31,'[1]Coefficient Normal'!$A$3:$H$7,4,TRUE)</f>
        <v>2.9990000000000001</v>
      </c>
      <c r="AS31" s="5">
        <f>VLOOKUP(X31,'[1]Coefficient Normal'!$A$3:$H$7,5,TRUE)</f>
        <v>-0.94710000000000005</v>
      </c>
      <c r="AT31" s="5">
        <f>VLOOKUP(X31,'[1]Coefficient Normal'!$A$3:$H$7,6,TRUE)</f>
        <v>0.6603</v>
      </c>
      <c r="AU31" s="5">
        <f>VLOOKUP(X31,'[1]Coefficient Normal'!$A$3:$H$7,7,TRUE)</f>
        <v>-1.2488999999999999</v>
      </c>
      <c r="AV31" s="5">
        <f>VLOOKUP(X31,'[1]Coefficient Normal'!$A$3:$H$7,8,TRUE)</f>
        <v>-0.44140000000000001</v>
      </c>
      <c r="AX31" s="5">
        <f t="shared" si="19"/>
        <v>1.7298895189765271</v>
      </c>
      <c r="BB31">
        <f t="shared" si="20"/>
        <v>-3.8540037440000008</v>
      </c>
      <c r="BC31">
        <f t="shared" si="21"/>
        <v>0.423146776</v>
      </c>
      <c r="BD31" s="5">
        <f>VLOOKUP(X53,'[1]Coefficient Normal'!$A$10:$P$14,2,TRUE)</f>
        <v>5.1353999999999997</v>
      </c>
      <c r="BE31" s="5">
        <f>VLOOKUP(X53,'[1]Coefficient Normal'!$A$10:$P$14,3,TRUE)</f>
        <v>-4.9599999999999998E-2</v>
      </c>
      <c r="BF31" s="5">
        <f>VLOOKUP(X53,'[1]Coefficient Normal'!$A$10:$P$14,4,TRUE)</f>
        <v>0.44590000000000002</v>
      </c>
      <c r="BG31" s="5">
        <f>VLOOKUP(X53,'[1]Coefficient Normal'!$A$10:$P$14,5,TRUE)</f>
        <v>-0.83709999999999996</v>
      </c>
      <c r="BH31" s="5">
        <f>VLOOKUP(X53,'[1]Coefficient Normal'!$A$10:$P$14,6,TRUE)</f>
        <v>0.63090000000000002</v>
      </c>
      <c r="BI31" s="5">
        <f>VLOOKUP(X53,'[1]Coefficient Normal'!$A$10:$P$14,7,TRUE)</f>
        <v>0.91390000000000005</v>
      </c>
      <c r="BJ31" s="5">
        <f>VLOOKUP(X53,'[1]Coefficient Normal'!$A$10:$P$14,8,TRUE)</f>
        <v>2.5000000000000001E-3</v>
      </c>
      <c r="BK31" s="5">
        <f>VLOOKUP(X53,'[1]Coefficient Normal'!$A$10:$P$14,9,TRUE)</f>
        <v>1.6000000000000001E-3</v>
      </c>
      <c r="BL31" s="5">
        <f>VLOOKUP(X53,'[1]Coefficient Normal'!$A$10:$P$14,10,TRUE)</f>
        <v>-9.7500000000000003E-2</v>
      </c>
      <c r="BM31" s="5">
        <f>VLOOKUP(X53,'[1]Coefficient Normal'!$A$10:$P$14,11,TRUE)</f>
        <v>1.1999999999999999E-3</v>
      </c>
      <c r="BN31" s="5">
        <f>VLOOKUP(X53,'[1]Coefficient Normal'!$A$10:$P$14,12,TRUE)</f>
        <v>0.46479999999999999</v>
      </c>
      <c r="BO31" s="5">
        <f>VLOOKUP(X53,'[1]Coefficient Normal'!$A$10:$P$14,13,TRUE)</f>
        <v>8.0000000000000004E-4</v>
      </c>
      <c r="BP31" s="5">
        <f>VLOOKUP(X53,'[1]Coefficient Normal'!$A$10:$P$14,14,TRUE)</f>
        <v>6.7900000000000002E-2</v>
      </c>
      <c r="BQ31" s="5">
        <f>VLOOKUP(X53,'[1]Coefficient Normal'!$A$10:$P$14,15,TRUE)</f>
        <v>0.58979999999999999</v>
      </c>
      <c r="CB31">
        <f t="shared" si="44"/>
        <v>0</v>
      </c>
      <c r="CE31" s="6">
        <f>IF(Y53="sand",1,0)</f>
        <v>0</v>
      </c>
      <c r="CF31" s="6">
        <f>IF(CK31&lt;AX53,1,0)</f>
        <v>1</v>
      </c>
      <c r="CG31" s="6">
        <f>IF(O53&lt;100,1,0)</f>
        <v>0</v>
      </c>
      <c r="CH31">
        <f t="shared" si="22"/>
        <v>3.4479699999999998</v>
      </c>
      <c r="CI31" s="5">
        <f t="shared" si="45"/>
        <v>1.403245890784695</v>
      </c>
      <c r="CJ31">
        <f t="shared" si="46"/>
        <v>0.94342373851377304</v>
      </c>
      <c r="CK31">
        <f t="shared" si="47"/>
        <v>-0.43078291609245439</v>
      </c>
      <c r="CN31">
        <f t="shared" si="23"/>
        <v>1.7683085107040588</v>
      </c>
      <c r="CP31" s="5">
        <f>CK31-AX31</f>
        <v>-2.1606724350689817</v>
      </c>
      <c r="CQ31" s="5">
        <f>CI31*CP31</f>
        <v>-3.0319547158423092</v>
      </c>
      <c r="CR31" s="5">
        <f t="shared" si="48"/>
        <v>-0.23403754401623666</v>
      </c>
      <c r="CS31" s="5">
        <f t="shared" si="49"/>
        <v>0</v>
      </c>
      <c r="CT31" s="5">
        <f t="shared" si="50"/>
        <v>-5.0386762596680947</v>
      </c>
      <c r="CU31" s="5">
        <f t="shared" si="51"/>
        <v>4.0796210557198086E-2</v>
      </c>
      <c r="CV31">
        <f t="shared" si="24"/>
        <v>0.17894832478661904</v>
      </c>
      <c r="CW31">
        <f t="shared" si="52"/>
        <v>1.1959589411375768</v>
      </c>
      <c r="CX31">
        <v>0.57099999999999995</v>
      </c>
      <c r="CY31">
        <v>0.3</v>
      </c>
      <c r="CZ31" s="5">
        <f>BD31+CQ31+CR31+CS31+CT31+CU31</f>
        <v>-3.1284723089694428</v>
      </c>
      <c r="DA31" s="7">
        <f t="shared" si="53"/>
        <v>4.3784635580647532E-2</v>
      </c>
      <c r="DB31">
        <f>VLOOKUP(E31,'[1]Coefficient Normal'!$A$10:$P$14,16,TRUE)</f>
        <v>0.3997</v>
      </c>
      <c r="DC31">
        <v>0.3</v>
      </c>
    </row>
    <row r="32" spans="1:107" x14ac:dyDescent="0.25">
      <c r="A32">
        <v>9</v>
      </c>
      <c r="B32">
        <f t="shared" si="54"/>
        <v>37</v>
      </c>
      <c r="C32">
        <f t="shared" si="55"/>
        <v>-143</v>
      </c>
      <c r="D32" t="str">
        <f t="shared" si="25"/>
        <v>SSComp_and_Normal</v>
      </c>
      <c r="E32">
        <v>60</v>
      </c>
      <c r="F32">
        <v>0.54</v>
      </c>
      <c r="G32">
        <f t="shared" si="26"/>
        <v>0.43126317542553821</v>
      </c>
      <c r="H32">
        <f t="shared" si="27"/>
        <v>0.53999999999999981</v>
      </c>
      <c r="I32">
        <f t="shared" si="28"/>
        <v>37</v>
      </c>
      <c r="J32">
        <v>0.60960000000000003</v>
      </c>
      <c r="K32">
        <f t="shared" si="29"/>
        <v>609.6</v>
      </c>
      <c r="L32">
        <v>9.5250000000000005E-3</v>
      </c>
      <c r="M32">
        <f t="shared" si="30"/>
        <v>9.5250000000000004</v>
      </c>
      <c r="N32" s="3">
        <f t="shared" si="31"/>
        <v>64</v>
      </c>
      <c r="O32">
        <v>150</v>
      </c>
      <c r="P32" s="4" t="s">
        <v>75</v>
      </c>
      <c r="Q32" s="1">
        <f t="shared" si="32"/>
        <v>14</v>
      </c>
      <c r="R32" s="1">
        <f t="shared" si="33"/>
        <v>15</v>
      </c>
      <c r="S32" s="1">
        <f t="shared" si="34"/>
        <v>483000</v>
      </c>
      <c r="T32" s="1">
        <f t="shared" si="35"/>
        <v>565000</v>
      </c>
      <c r="U32" s="1">
        <f t="shared" si="36"/>
        <v>2.8799444073326219</v>
      </c>
      <c r="V32" s="3">
        <v>2.7690517990613435</v>
      </c>
      <c r="W32" s="1">
        <f t="shared" si="37"/>
        <v>1.0577709909520427</v>
      </c>
      <c r="X32" s="1">
        <v>45</v>
      </c>
      <c r="Y32" s="1" t="s">
        <v>71</v>
      </c>
      <c r="Z32" t="s">
        <v>76</v>
      </c>
      <c r="AA32">
        <f t="shared" si="38"/>
        <v>18.5</v>
      </c>
      <c r="AB32" s="1">
        <f t="shared" si="39"/>
        <v>0</v>
      </c>
      <c r="AC32">
        <f t="shared" si="40"/>
        <v>125</v>
      </c>
      <c r="AD32">
        <f t="shared" si="41"/>
        <v>0.4</v>
      </c>
      <c r="AE32">
        <v>0.9</v>
      </c>
      <c r="AF32" s="1">
        <v>1.2</v>
      </c>
      <c r="AG32" s="1">
        <f t="shared" si="14"/>
        <v>1.9685039370078738</v>
      </c>
      <c r="AH32">
        <f t="shared" si="42"/>
        <v>95.755744081416907</v>
      </c>
      <c r="AI32">
        <f>IF(Z32="medium dense",'[1]Coefficient Normal'!$E$18 + ('[1]Coefficient Normal'!$E$19*AG32) + ('[1]Coefficient Normal'!$E$20*(AG32^2)) + ('[1]Coefficient Normal'!$E$21*(AG32^3)) + ('[1]Coefficient Normal'!$E$22*(AG32^4)),IF(Z32="dense",'[1]Coefficient Normal'!$F$18 + ('[1]Coefficient Normal'!$F$19*AG32) + ('[1]Coefficient Normal'!$F$20*(AG32^2)) + ('[1]Coefficient Normal'!$F$21*(AG32^3)) + ('[1]Coefficient Normal'!$F$22*(AG32^4)),IF(Z32="very dense",'[1]Coefficient Normal'!$G$18 + ('[1]Coefficient Normal'!$G$19*AG32) + ('[1]Coefficient Normal'!$G$20*(AG32^2)) + ('[1]Coefficient Normal'!$G$21*(AG32^3)) + ('[1]Coefficient Normal'!$G$22*(AG32^4)),0)))</f>
        <v>0</v>
      </c>
      <c r="AJ32">
        <f t="shared" si="15"/>
        <v>0</v>
      </c>
      <c r="AK32">
        <f t="shared" si="16"/>
        <v>391.66800000000001</v>
      </c>
      <c r="AL32">
        <f t="shared" si="43"/>
        <v>5.9704145421596744</v>
      </c>
      <c r="AM32">
        <f t="shared" si="17"/>
        <v>4.1588830833596715</v>
      </c>
      <c r="AN32">
        <f t="shared" si="18"/>
        <v>4.5618006166678455</v>
      </c>
      <c r="AO32">
        <v>0.54</v>
      </c>
      <c r="AP32" s="5">
        <f>VLOOKUP(X32,'[1]Coefficient Normal'!$A$3:$H$7,2,TRUE)</f>
        <v>3.7532999999999999</v>
      </c>
      <c r="AQ32" s="5">
        <f>VLOOKUP(X32,'[1]Coefficient Normal'!$A$3:$H$7,3,TRUE)</f>
        <v>0.14510000000000001</v>
      </c>
      <c r="AR32" s="5">
        <f>VLOOKUP(X32,'[1]Coefficient Normal'!$A$3:$H$7,4,TRUE)</f>
        <v>1.2497</v>
      </c>
      <c r="AS32" s="5">
        <f>VLOOKUP(X32,'[1]Coefficient Normal'!$A$3:$H$7,5,TRUE)</f>
        <v>-0.46100000000000002</v>
      </c>
      <c r="AT32" s="5">
        <f>VLOOKUP(X32,'[1]Coefficient Normal'!$A$3:$H$7,6,TRUE)</f>
        <v>0.39140000000000003</v>
      </c>
      <c r="AU32" s="5">
        <f>VLOOKUP(X32,'[1]Coefficient Normal'!$A$3:$H$7,7,TRUE)</f>
        <v>-0.21310000000000001</v>
      </c>
      <c r="AV32" s="5">
        <f>VLOOKUP(X32,'[1]Coefficient Normal'!$A$3:$H$7,8,TRUE)</f>
        <v>-0.34139999999999998</v>
      </c>
      <c r="AX32" s="5">
        <f t="shared" si="19"/>
        <v>-0.47112628144118451</v>
      </c>
      <c r="BB32">
        <f t="shared" si="20"/>
        <v>-3.5047235680000006</v>
      </c>
      <c r="BC32">
        <f t="shared" si="21"/>
        <v>0.57156387200000003</v>
      </c>
      <c r="BD32" s="5">
        <f>VLOOKUP(X54,'[1]Coefficient Normal'!$A$10:$P$14,2,TRUE)</f>
        <v>-1.1082000000000001</v>
      </c>
      <c r="BE32" s="5">
        <f>VLOOKUP(X54,'[1]Coefficient Normal'!$A$10:$P$14,3,TRUE)</f>
        <v>0.10630000000000001</v>
      </c>
      <c r="BF32" s="5">
        <f>VLOOKUP(X54,'[1]Coefficient Normal'!$A$10:$P$14,4,TRUE)</f>
        <v>-0.1439</v>
      </c>
      <c r="BG32" s="5">
        <f>VLOOKUP(X54,'[1]Coefficient Normal'!$A$10:$P$14,5,TRUE)</f>
        <v>0.27879999999999999</v>
      </c>
      <c r="BH32" s="5">
        <f>VLOOKUP(X54,'[1]Coefficient Normal'!$A$10:$P$14,6,TRUE)</f>
        <v>-0.31030000000000002</v>
      </c>
      <c r="BI32" s="5">
        <f>VLOOKUP(X54,'[1]Coefficient Normal'!$A$10:$P$14,7,TRUE)</f>
        <v>1.2553000000000001</v>
      </c>
      <c r="BJ32" s="5">
        <f>VLOOKUP(X54,'[1]Coefficient Normal'!$A$10:$P$14,8,TRUE)</f>
        <v>2.9999999999999997E-4</v>
      </c>
      <c r="BK32" s="5">
        <f>VLOOKUP(X54,'[1]Coefficient Normal'!$A$10:$P$14,9,TRUE)</f>
        <v>5.1999999999999998E-3</v>
      </c>
      <c r="BL32" s="5">
        <f>VLOOKUP(X54,'[1]Coefficient Normal'!$A$10:$P$14,10,TRUE)</f>
        <v>-8.5900000000000004E-2</v>
      </c>
      <c r="BM32" s="5">
        <f>VLOOKUP(X54,'[1]Coefficient Normal'!$A$10:$P$14,11,TRUE)</f>
        <v>5.9999999999999995E-4</v>
      </c>
      <c r="BN32" s="5">
        <f>VLOOKUP(X54,'[1]Coefficient Normal'!$A$10:$P$14,12,TRUE)</f>
        <v>-0.21759999999999999</v>
      </c>
      <c r="BO32" s="5">
        <f>VLOOKUP(X54,'[1]Coefficient Normal'!$A$10:$P$14,13,TRUE)</f>
        <v>-2.69E-2</v>
      </c>
      <c r="BP32" s="5">
        <f>VLOOKUP(X54,'[1]Coefficient Normal'!$A$10:$P$14,14,TRUE)</f>
        <v>0.57389999999999997</v>
      </c>
      <c r="BQ32" s="5">
        <f>VLOOKUP(X54,'[1]Coefficient Normal'!$A$10:$P$14,15,TRUE)</f>
        <v>0.34460000000000002</v>
      </c>
      <c r="CB32">
        <f t="shared" si="44"/>
        <v>0</v>
      </c>
      <c r="CE32" s="6">
        <f>IF(Y54="sand",1,0)</f>
        <v>0</v>
      </c>
      <c r="CF32" s="6">
        <f>IF(CK32&lt;AX54,1,0)</f>
        <v>1</v>
      </c>
      <c r="CG32" s="6">
        <f>IF(O54&lt;100,1,0)</f>
        <v>1</v>
      </c>
      <c r="CH32">
        <f t="shared" si="22"/>
        <v>2.9014699999999998</v>
      </c>
      <c r="CI32" s="5">
        <f t="shared" si="45"/>
        <v>1.5824267232244251</v>
      </c>
      <c r="CJ32">
        <f t="shared" si="46"/>
        <v>0.91804733759374801</v>
      </c>
      <c r="CK32">
        <f t="shared" si="47"/>
        <v>-0.61618613942381728</v>
      </c>
      <c r="CN32">
        <f t="shared" si="23"/>
        <v>1.5764605715018656</v>
      </c>
      <c r="CP32" s="5">
        <f>CK32-AX32</f>
        <v>-0.14505985798263277</v>
      </c>
      <c r="CQ32" s="5">
        <f>CI32*CP32</f>
        <v>-0.22954659573885805</v>
      </c>
      <c r="CR32" s="5">
        <f t="shared" si="48"/>
        <v>0.44208927176113311</v>
      </c>
      <c r="CS32" s="5">
        <f t="shared" si="49"/>
        <v>0</v>
      </c>
      <c r="CT32" s="5">
        <f t="shared" si="50"/>
        <v>1.6645515743541173</v>
      </c>
      <c r="CU32" s="5">
        <f t="shared" si="51"/>
        <v>0.15358369081139006</v>
      </c>
      <c r="CV32">
        <f t="shared" si="24"/>
        <v>-1.2418470642912407</v>
      </c>
      <c r="CW32">
        <f t="shared" si="52"/>
        <v>0.2888502000181864</v>
      </c>
      <c r="CX32">
        <v>0.57099999999999995</v>
      </c>
      <c r="CY32">
        <v>0.3</v>
      </c>
      <c r="CZ32" s="5">
        <f>BD32+CQ32+CR32+CS32+CT32+CU32</f>
        <v>0.92247794118778237</v>
      </c>
      <c r="DA32" s="7">
        <f t="shared" si="53"/>
        <v>2.5155159740757824</v>
      </c>
      <c r="DB32">
        <f>VLOOKUP(E32,'[1]Coefficient Normal'!$A$10:$P$14,16,TRUE)</f>
        <v>0.50170000000000003</v>
      </c>
      <c r="DC32">
        <v>0.3</v>
      </c>
    </row>
    <row r="33" spans="1:107" x14ac:dyDescent="0.25">
      <c r="A33">
        <v>10</v>
      </c>
      <c r="B33">
        <f t="shared" si="54"/>
        <v>41.5</v>
      </c>
      <c r="C33">
        <f t="shared" si="55"/>
        <v>-138.5</v>
      </c>
      <c r="D33" t="str">
        <f t="shared" si="25"/>
        <v>SSComp_and_Normal</v>
      </c>
      <c r="E33">
        <v>60</v>
      </c>
      <c r="F33">
        <v>0.5</v>
      </c>
      <c r="G33">
        <f t="shared" si="26"/>
        <v>0.37447786039450109</v>
      </c>
      <c r="H33">
        <f t="shared" si="27"/>
        <v>0.49999999999999989</v>
      </c>
      <c r="I33">
        <f t="shared" si="28"/>
        <v>41.5</v>
      </c>
      <c r="J33">
        <v>0.60960000000000003</v>
      </c>
      <c r="K33">
        <f t="shared" si="29"/>
        <v>609.6</v>
      </c>
      <c r="L33">
        <v>9.5250000000000005E-3</v>
      </c>
      <c r="M33">
        <f t="shared" si="30"/>
        <v>9.5250000000000004</v>
      </c>
      <c r="N33" s="3">
        <f t="shared" si="31"/>
        <v>64</v>
      </c>
      <c r="O33">
        <v>200</v>
      </c>
      <c r="P33" s="4" t="s">
        <v>70</v>
      </c>
      <c r="Q33" s="1">
        <f t="shared" si="32"/>
        <v>8</v>
      </c>
      <c r="R33" s="1">
        <f t="shared" si="33"/>
        <v>10</v>
      </c>
      <c r="S33" s="1">
        <f t="shared" si="34"/>
        <v>359000</v>
      </c>
      <c r="T33" s="1">
        <f t="shared" si="35"/>
        <v>455000</v>
      </c>
      <c r="U33" s="1">
        <f t="shared" si="36"/>
        <v>1.9969902892117808</v>
      </c>
      <c r="V33" s="3">
        <v>1.9041242414694344</v>
      </c>
      <c r="W33" s="1">
        <f t="shared" si="37"/>
        <v>0.69164119173371341</v>
      </c>
      <c r="X33" s="1">
        <v>60</v>
      </c>
      <c r="Y33" s="1" t="s">
        <v>71</v>
      </c>
      <c r="Z33" t="s">
        <v>72</v>
      </c>
      <c r="AA33">
        <f t="shared" si="38"/>
        <v>17.5</v>
      </c>
      <c r="AB33" s="1">
        <f t="shared" si="39"/>
        <v>0</v>
      </c>
      <c r="AC33">
        <f t="shared" si="40"/>
        <v>37.5</v>
      </c>
      <c r="AD33">
        <f t="shared" si="41"/>
        <v>1.1000000000000001</v>
      </c>
      <c r="AE33">
        <v>0.9</v>
      </c>
      <c r="AF33" s="1">
        <v>2.5</v>
      </c>
      <c r="AG33" s="1">
        <f t="shared" si="14"/>
        <v>4.1010498687664043</v>
      </c>
      <c r="AH33">
        <f t="shared" si="42"/>
        <v>78.998488867168945</v>
      </c>
      <c r="AI33">
        <f>IF(Z33="medium dense",'[1]Coefficient Normal'!$E$18 + ('[1]Coefficient Normal'!$E$19*AG33) + ('[1]Coefficient Normal'!$E$20*(AG33^2)) + ('[1]Coefficient Normal'!$E$21*(AG33^3)) + ('[1]Coefficient Normal'!$E$22*(AG33^4)),IF(Z33="dense",'[1]Coefficient Normal'!$F$18 + ('[1]Coefficient Normal'!$F$19*AG33) + ('[1]Coefficient Normal'!$F$20*(AG33^2)) + ('[1]Coefficient Normal'!$F$21*(AG33^3)) + ('[1]Coefficient Normal'!$F$22*(AG33^4)),IF(Z33="very dense",'[1]Coefficient Normal'!$G$18 + ('[1]Coefficient Normal'!$G$19*AG33) + ('[1]Coefficient Normal'!$G$20*(AG33^2)) + ('[1]Coefficient Normal'!$G$21*(AG33^3)) + ('[1]Coefficient Normal'!$G$22*(AG33^4)),0)))</f>
        <v>0</v>
      </c>
      <c r="AJ33">
        <f t="shared" si="15"/>
        <v>0</v>
      </c>
      <c r="AK33">
        <f t="shared" si="16"/>
        <v>117.5004</v>
      </c>
      <c r="AL33" s="8">
        <f t="shared" si="43"/>
        <v>4.7664417378337385</v>
      </c>
      <c r="AM33" s="8">
        <f t="shared" si="17"/>
        <v>4.1588830833596715</v>
      </c>
      <c r="AN33" s="8">
        <f t="shared" si="18"/>
        <v>4.3694287240203895</v>
      </c>
      <c r="AO33">
        <v>0.5</v>
      </c>
      <c r="AP33" s="5">
        <f>VLOOKUP(X33,'[1]Coefficient Normal'!$A$3:$H$7,2,TRUE)</f>
        <v>4.3182999999999998</v>
      </c>
      <c r="AQ33" s="5">
        <f>VLOOKUP(X33,'[1]Coefficient Normal'!$A$3:$H$7,3,TRUE)</f>
        <v>-2.7900000000000001E-2</v>
      </c>
      <c r="AR33" s="5">
        <f>VLOOKUP(X33,'[1]Coefficient Normal'!$A$3:$H$7,4,TRUE)</f>
        <v>1.0497000000000001</v>
      </c>
      <c r="AS33" s="5">
        <f>VLOOKUP(X33,'[1]Coefficient Normal'!$A$3:$H$7,5,TRUE)</f>
        <v>-0.46910000000000002</v>
      </c>
      <c r="AT33" s="5">
        <f>VLOOKUP(X33,'[1]Coefficient Normal'!$A$3:$H$7,6,TRUE)</f>
        <v>0.29149999999999998</v>
      </c>
      <c r="AU33" s="5">
        <f>VLOOKUP(X33,'[1]Coefficient Normal'!$A$3:$H$7,7,TRUE)</f>
        <v>-0.28610000000000002</v>
      </c>
      <c r="AV33" s="5">
        <f>VLOOKUP(X33,'[1]Coefficient Normal'!$A$3:$H$7,8,TRUE)</f>
        <v>-0.1348</v>
      </c>
      <c r="AX33" s="9">
        <f t="shared" si="19"/>
        <v>-5.107107739031902E-2</v>
      </c>
      <c r="BB33">
        <f t="shared" si="20"/>
        <v>-2.7042235680000006</v>
      </c>
      <c r="BC33">
        <f t="shared" si="21"/>
        <v>0.67006387200000006</v>
      </c>
      <c r="BD33" s="5">
        <f>VLOOKUP(X55,'[1]Coefficient Normal'!$A$10:$P$14,2,TRUE)</f>
        <v>-2.1276999999999999</v>
      </c>
      <c r="BE33" s="5">
        <f>VLOOKUP(X55,'[1]Coefficient Normal'!$A$10:$P$14,3,TRUE)</f>
        <v>0.14760000000000001</v>
      </c>
      <c r="BF33" s="5">
        <f>VLOOKUP(X55,'[1]Coefficient Normal'!$A$10:$P$14,4,TRUE)</f>
        <v>-0.21829999999999999</v>
      </c>
      <c r="BG33" s="5">
        <f>VLOOKUP(X55,'[1]Coefficient Normal'!$A$10:$P$14,5,TRUE)</f>
        <v>0.42270000000000002</v>
      </c>
      <c r="BH33" s="5">
        <f>VLOOKUP(X55,'[1]Coefficient Normal'!$A$10:$P$14,6,TRUE)</f>
        <v>-0.53720000000000001</v>
      </c>
      <c r="BI33" s="5">
        <f>VLOOKUP(X55,'[1]Coefficient Normal'!$A$10:$P$14,7,TRUE)</f>
        <v>1.252</v>
      </c>
      <c r="BJ33" s="5">
        <f>VLOOKUP(X55,'[1]Coefficient Normal'!$A$10:$P$14,8,TRUE)</f>
        <v>-5.9999999999999995E-4</v>
      </c>
      <c r="BK33" s="5">
        <f>VLOOKUP(X55,'[1]Coefficient Normal'!$A$10:$P$14,9,TRUE)</f>
        <v>5.3E-3</v>
      </c>
      <c r="BL33" s="5">
        <f>VLOOKUP(X55,'[1]Coefficient Normal'!$A$10:$P$14,10,TRUE)</f>
        <v>-4.8500000000000001E-2</v>
      </c>
      <c r="BM33" s="5">
        <f>VLOOKUP(X55,'[1]Coefficient Normal'!$A$10:$P$14,11,TRUE)</f>
        <v>1.2999999999999999E-3</v>
      </c>
      <c r="BN33" s="5">
        <f>VLOOKUP(X55,'[1]Coefficient Normal'!$A$10:$P$14,12,TRUE)</f>
        <v>-0.56599999999999995</v>
      </c>
      <c r="BO33" s="5">
        <f>VLOOKUP(X55,'[1]Coefficient Normal'!$A$10:$P$14,13,TRUE)</f>
        <v>-3.2099999999999997E-2</v>
      </c>
      <c r="BP33" s="5">
        <f>VLOOKUP(X55,'[1]Coefficient Normal'!$A$10:$P$14,14,TRUE)</f>
        <v>0.84970000000000001</v>
      </c>
      <c r="BQ33" s="5">
        <f>VLOOKUP(X55,'[1]Coefficient Normal'!$A$10:$P$14,15,TRUE)</f>
        <v>9.01E-2</v>
      </c>
      <c r="CB33">
        <f t="shared" si="44"/>
        <v>0</v>
      </c>
      <c r="CE33" s="6">
        <f>IF(Y55="sand",1,0)</f>
        <v>0</v>
      </c>
      <c r="CF33" s="10">
        <f>IF(CK33&lt;AX55,1,0)</f>
        <v>1</v>
      </c>
      <c r="CG33" s="10">
        <f>IF(O55&lt;100,1,0)</f>
        <v>1</v>
      </c>
      <c r="CH33">
        <f t="shared" si="22"/>
        <v>2.3549699999999998</v>
      </c>
      <c r="CI33" s="5">
        <f t="shared" si="45"/>
        <v>1.8178009066796985</v>
      </c>
      <c r="CJ33">
        <f t="shared" si="46"/>
        <v>0.73121991891867877</v>
      </c>
      <c r="CK33">
        <f t="shared" si="47"/>
        <v>-0.69314718055994551</v>
      </c>
      <c r="CN33">
        <f t="shared" si="23"/>
        <v>0.93134404582386288</v>
      </c>
      <c r="CP33" s="5">
        <f>CK33-AX33</f>
        <v>-0.64207610316962649</v>
      </c>
      <c r="CQ33" s="9">
        <f>CI33*CP33</f>
        <v>-1.1671665224991146</v>
      </c>
      <c r="CR33" s="5">
        <f t="shared" si="48"/>
        <v>0.61385114310388755</v>
      </c>
      <c r="CS33" s="5">
        <f t="shared" si="49"/>
        <v>0</v>
      </c>
      <c r="CT33" s="5">
        <f t="shared" si="50"/>
        <v>2.0147749225823213</v>
      </c>
      <c r="CU33" s="5">
        <f t="shared" si="51"/>
        <v>0.26588836192033111</v>
      </c>
      <c r="CV33">
        <f t="shared" si="24"/>
        <v>-2.61006676416683</v>
      </c>
      <c r="CW33">
        <f t="shared" si="52"/>
        <v>7.3529634454394296E-2</v>
      </c>
      <c r="CX33">
        <v>0.57099999999999995</v>
      </c>
      <c r="CY33">
        <v>0.3</v>
      </c>
      <c r="CZ33" s="9">
        <f>BD33+CQ33+CR33+CS33+CT33+CU33</f>
        <v>-0.40035209489257434</v>
      </c>
      <c r="DA33" s="12">
        <f t="shared" si="53"/>
        <v>0.67008407131622449</v>
      </c>
      <c r="DB33">
        <f>VLOOKUP(E33,'[1]Coefficient Normal'!$A$10:$P$14,16,TRUE)</f>
        <v>0.50170000000000003</v>
      </c>
      <c r="DC33">
        <v>0.3</v>
      </c>
    </row>
    <row r="34" spans="1:107" x14ac:dyDescent="0.25">
      <c r="A34">
        <v>11</v>
      </c>
      <c r="B34">
        <f t="shared" si="54"/>
        <v>46</v>
      </c>
      <c r="C34">
        <f t="shared" si="55"/>
        <v>-134</v>
      </c>
      <c r="D34" t="str">
        <f t="shared" si="25"/>
        <v>SSComp_and_Normal</v>
      </c>
      <c r="E34">
        <v>60</v>
      </c>
      <c r="F34">
        <v>0.7</v>
      </c>
      <c r="G34">
        <f t="shared" si="26"/>
        <v>0.48626085932129814</v>
      </c>
      <c r="H34">
        <f t="shared" si="27"/>
        <v>0.69999999999999984</v>
      </c>
      <c r="I34">
        <f t="shared" si="28"/>
        <v>46</v>
      </c>
      <c r="J34">
        <v>0.20319999999999999</v>
      </c>
      <c r="K34">
        <f t="shared" si="29"/>
        <v>203.2</v>
      </c>
      <c r="L34" s="8">
        <v>9.5250000000000005E-3</v>
      </c>
      <c r="M34">
        <f t="shared" si="30"/>
        <v>9.5250000000000004</v>
      </c>
      <c r="N34" s="3">
        <f t="shared" si="31"/>
        <v>21.333333333333332</v>
      </c>
      <c r="O34">
        <v>15</v>
      </c>
      <c r="P34" s="4" t="s">
        <v>75</v>
      </c>
      <c r="Q34" s="1">
        <f t="shared" si="32"/>
        <v>14</v>
      </c>
      <c r="R34" s="1">
        <f t="shared" si="33"/>
        <v>15</v>
      </c>
      <c r="S34" s="1">
        <f t="shared" si="34"/>
        <v>483000</v>
      </c>
      <c r="T34" s="1">
        <f t="shared" si="35"/>
        <v>565000</v>
      </c>
      <c r="U34" s="1">
        <f t="shared" si="36"/>
        <v>2.8799444073326219</v>
      </c>
      <c r="V34" s="3">
        <v>2.7690517990613435</v>
      </c>
      <c r="W34" s="1">
        <f t="shared" si="37"/>
        <v>1.0577709909520427</v>
      </c>
      <c r="X34" s="1">
        <v>75</v>
      </c>
      <c r="Y34" s="1" t="s">
        <v>78</v>
      </c>
      <c r="Z34" t="s">
        <v>79</v>
      </c>
      <c r="AA34">
        <f t="shared" si="38"/>
        <v>18</v>
      </c>
      <c r="AB34" s="1">
        <f t="shared" si="39"/>
        <v>37</v>
      </c>
      <c r="AC34">
        <f t="shared" si="40"/>
        <v>0</v>
      </c>
      <c r="AD34">
        <f t="shared" si="41"/>
        <v>0</v>
      </c>
      <c r="AE34">
        <v>0.9</v>
      </c>
      <c r="AF34" s="1">
        <v>1</v>
      </c>
      <c r="AG34" s="1">
        <f t="shared" si="14"/>
        <v>4.9212598425196852</v>
      </c>
      <c r="AH34">
        <f t="shared" si="42"/>
        <v>7.5479720641402661</v>
      </c>
      <c r="AI34">
        <f>IF(Z34="medium dense",'[1]Coefficient Normal'!$E$18 + ('[1]Coefficient Normal'!$E$19*AG34) + ('[1]Coefficient Normal'!$E$20*(AG34^2)) + ('[1]Coefficient Normal'!$E$21*(AG34^3)) + ('[1]Coefficient Normal'!$E$22*(AG34^4)),IF(Z34="dense",'[1]Coefficient Normal'!$F$18 + ('[1]Coefficient Normal'!$F$19*AG34) + ('[1]Coefficient Normal'!$F$20*(AG34^2)) + ('[1]Coefficient Normal'!$F$21*(AG34^3)) + ('[1]Coefficient Normal'!$F$22*(AG34^4)),IF(Z34="very dense",'[1]Coefficient Normal'!$G$18 + ('[1]Coefficient Normal'!$G$19*AG34) + ('[1]Coefficient Normal'!$G$20*(AG34^2)) + ('[1]Coefficient Normal'!$G$21*(AG34^3)) + ('[1]Coefficient Normal'!$G$22*(AG34^4)),0)))</f>
        <v>15.021996738528912</v>
      </c>
      <c r="AJ34">
        <f t="shared" si="15"/>
        <v>64.071522599936642</v>
      </c>
      <c r="AK34">
        <f t="shared" si="16"/>
        <v>78.754212178694615</v>
      </c>
      <c r="AL34" s="8">
        <f t="shared" si="43"/>
        <v>4.3663317642587351</v>
      </c>
      <c r="AM34" s="8">
        <f t="shared" si="17"/>
        <v>3.0602707946915619</v>
      </c>
      <c r="AN34" s="8">
        <f t="shared" si="18"/>
        <v>2.0212789264051603</v>
      </c>
      <c r="AO34">
        <v>0.7</v>
      </c>
      <c r="AP34" s="5">
        <f>VLOOKUP(X34,'[1]Coefficient Normal'!$A$3:$H$7,2,TRUE)</f>
        <v>5.5951000000000004</v>
      </c>
      <c r="AQ34" s="5">
        <f>VLOOKUP(X34,'[1]Coefficient Normal'!$A$3:$H$7,3,TRUE)</f>
        <v>1.6E-2</v>
      </c>
      <c r="AR34" s="5">
        <f>VLOOKUP(X34,'[1]Coefficient Normal'!$A$3:$H$7,4,TRUE)</f>
        <v>1.2641</v>
      </c>
      <c r="AS34" s="5">
        <f>VLOOKUP(X34,'[1]Coefficient Normal'!$A$3:$H$7,5,TRUE)</f>
        <v>-0.52429999999999999</v>
      </c>
      <c r="AT34" s="5">
        <f>VLOOKUP(X34,'[1]Coefficient Normal'!$A$3:$H$7,6,TRUE)</f>
        <v>0.35830000000000001</v>
      </c>
      <c r="AU34" s="5">
        <f>VLOOKUP(X34,'[1]Coefficient Normal'!$A$3:$H$7,7,TRUE)</f>
        <v>-0.35920000000000002</v>
      </c>
      <c r="AV34" s="5">
        <f>VLOOKUP(X34,'[1]Coefficient Normal'!$A$3:$H$7,8,TRUE)</f>
        <v>-0.2482</v>
      </c>
      <c r="AX34" s="9">
        <f t="shared" si="19"/>
        <v>0.32843540792398818</v>
      </c>
      <c r="BB34">
        <f t="shared" si="20"/>
        <v>-6.0671578560000006</v>
      </c>
      <c r="BC34">
        <f t="shared" si="21"/>
        <v>0.34998462400000002</v>
      </c>
      <c r="BD34" s="5">
        <f>VLOOKUP(X56,'[1]Coefficient Normal'!$A$10:$P$14,2,TRUE)</f>
        <v>-2.3450000000000002</v>
      </c>
      <c r="BE34" s="5">
        <f>VLOOKUP(X56,'[1]Coefficient Normal'!$A$10:$P$14,3,TRUE)</f>
        <v>0.19470000000000001</v>
      </c>
      <c r="BF34" s="5">
        <f>VLOOKUP(X56,'[1]Coefficient Normal'!$A$10:$P$14,4,TRUE)</f>
        <v>-0.2044</v>
      </c>
      <c r="BG34" s="5">
        <f>VLOOKUP(X56,'[1]Coefficient Normal'!$A$10:$P$14,5,TRUE)</f>
        <v>0.4143</v>
      </c>
      <c r="BH34" s="5">
        <f>VLOOKUP(X56,'[1]Coefficient Normal'!$A$10:$P$14,6,TRUE)</f>
        <v>-0.55710000000000004</v>
      </c>
      <c r="BI34" s="5">
        <f>VLOOKUP(X56,'[1]Coefficient Normal'!$A$10:$P$14,7,TRUE)</f>
        <v>1.0931</v>
      </c>
      <c r="BJ34" s="5">
        <f>VLOOKUP(X56,'[1]Coefficient Normal'!$A$10:$P$14,8,TRUE)</f>
        <v>1E-4</v>
      </c>
      <c r="BK34" s="5">
        <f>VLOOKUP(X56,'[1]Coefficient Normal'!$A$10:$P$14,9,TRUE)</f>
        <v>3.5000000000000001E-3</v>
      </c>
      <c r="BL34" s="5">
        <f>VLOOKUP(X56,'[1]Coefficient Normal'!$A$10:$P$14,10,TRUE)</f>
        <v>-4.07E-2</v>
      </c>
      <c r="BM34" s="5">
        <f>VLOOKUP(X56,'[1]Coefficient Normal'!$A$10:$P$14,11,TRUE)</f>
        <v>1.6000000000000001E-3</v>
      </c>
      <c r="BN34" s="5">
        <f>VLOOKUP(X56,'[1]Coefficient Normal'!$A$10:$P$14,12,TRUE)</f>
        <v>-0.65949999999999998</v>
      </c>
      <c r="BO34" s="5">
        <f>VLOOKUP(X56,'[1]Coefficient Normal'!$A$10:$P$14,13,TRUE)</f>
        <v>-3.0099999999999998E-2</v>
      </c>
      <c r="BP34" s="5">
        <f>VLOOKUP(X56,'[1]Coefficient Normal'!$A$10:$P$14,14,TRUE)</f>
        <v>0.84219999999999995</v>
      </c>
      <c r="BQ34" s="5">
        <f>VLOOKUP(X56,'[1]Coefficient Normal'!$A$10:$P$14,15,TRUE)</f>
        <v>0.50680000000000003</v>
      </c>
      <c r="CB34">
        <f t="shared" si="44"/>
        <v>0</v>
      </c>
      <c r="CE34" s="6">
        <f>IF(Y56="sand",1,0)</f>
        <v>1</v>
      </c>
      <c r="CF34" s="10">
        <f>IF(CK34&lt;AX56,1,0)</f>
        <v>1</v>
      </c>
      <c r="CG34" s="10">
        <f>IF(O56&lt;100,1,0)</f>
        <v>0</v>
      </c>
      <c r="CH34">
        <f t="shared" si="22"/>
        <v>4.3770199999999999</v>
      </c>
      <c r="CI34" s="5">
        <f t="shared" si="45"/>
        <v>1.0872881305397475</v>
      </c>
      <c r="CJ34">
        <f t="shared" si="46"/>
        <v>1.2214126973364505</v>
      </c>
      <c r="CK34">
        <f t="shared" si="47"/>
        <v>-0.35667494393873261</v>
      </c>
      <c r="CN34">
        <f t="shared" si="23"/>
        <v>5</v>
      </c>
      <c r="CP34" s="5">
        <f>CK34-AX34</f>
        <v>-0.68511035186272085</v>
      </c>
      <c r="CQ34" s="9">
        <f>CI34*CP34</f>
        <v>-0.74491235369024633</v>
      </c>
      <c r="CR34" s="5">
        <f t="shared" si="48"/>
        <v>0.59583472372644719</v>
      </c>
      <c r="CS34" s="5">
        <f t="shared" si="49"/>
        <v>-0.41314941255721477</v>
      </c>
      <c r="CT34" s="5">
        <f t="shared" si="50"/>
        <v>1.808971249932394</v>
      </c>
      <c r="CU34" s="5">
        <f t="shared" si="51"/>
        <v>0.88777481820206827</v>
      </c>
      <c r="CV34">
        <f t="shared" si="24"/>
        <v>10.286341905123237</v>
      </c>
      <c r="CW34">
        <f t="shared" si="52"/>
        <v>100</v>
      </c>
      <c r="CX34">
        <v>0.57099999999999995</v>
      </c>
      <c r="CY34">
        <v>0.3</v>
      </c>
      <c r="CZ34" s="9">
        <f>BD34+CQ34+CR34+CS34+CT34+CU34</f>
        <v>-0.21048097438655178</v>
      </c>
      <c r="DA34" s="12">
        <f t="shared" si="53"/>
        <v>0.8101944694535077</v>
      </c>
      <c r="DB34">
        <f>VLOOKUP(E34,'[1]Coefficient Normal'!$A$10:$P$14,16,TRUE)</f>
        <v>0.50170000000000003</v>
      </c>
      <c r="DC34">
        <v>0.3</v>
      </c>
    </row>
    <row r="35" spans="1:107" x14ac:dyDescent="0.25">
      <c r="A35">
        <v>12</v>
      </c>
      <c r="B35">
        <f t="shared" si="54"/>
        <v>50.5</v>
      </c>
      <c r="C35">
        <f t="shared" si="55"/>
        <v>-129.5</v>
      </c>
      <c r="D35" t="str">
        <f t="shared" si="25"/>
        <v>SSComp_and_Normal</v>
      </c>
      <c r="E35">
        <v>60</v>
      </c>
      <c r="F35">
        <v>0.6</v>
      </c>
      <c r="G35">
        <f t="shared" si="26"/>
        <v>0.3816469321666584</v>
      </c>
      <c r="H35">
        <f t="shared" si="27"/>
        <v>0.59999999999999987</v>
      </c>
      <c r="I35">
        <f t="shared" si="28"/>
        <v>50.5</v>
      </c>
      <c r="J35">
        <v>0.30480000000000002</v>
      </c>
      <c r="K35">
        <f t="shared" si="29"/>
        <v>304.8</v>
      </c>
      <c r="L35">
        <v>9.5250000000000005E-3</v>
      </c>
      <c r="M35">
        <f t="shared" si="30"/>
        <v>9.5250000000000004</v>
      </c>
      <c r="N35" s="3">
        <f t="shared" si="31"/>
        <v>32</v>
      </c>
      <c r="O35">
        <v>30</v>
      </c>
      <c r="P35" s="4" t="s">
        <v>77</v>
      </c>
      <c r="Q35" s="1">
        <f t="shared" si="32"/>
        <v>15</v>
      </c>
      <c r="R35" s="1">
        <f t="shared" si="33"/>
        <v>20</v>
      </c>
      <c r="S35" s="1">
        <f t="shared" si="34"/>
        <v>552000</v>
      </c>
      <c r="T35" s="1">
        <f t="shared" si="35"/>
        <v>625000</v>
      </c>
      <c r="U35" s="1">
        <f t="shared" si="36"/>
        <v>2.9888368774026359</v>
      </c>
      <c r="V35" s="3">
        <v>2.8464933991254466</v>
      </c>
      <c r="W35" s="1">
        <f t="shared" si="37"/>
        <v>1.0948843075076633</v>
      </c>
      <c r="X35" s="1">
        <v>90</v>
      </c>
      <c r="Y35" s="1" t="s">
        <v>78</v>
      </c>
      <c r="Z35" t="s">
        <v>80</v>
      </c>
      <c r="AA35">
        <f t="shared" si="38"/>
        <v>18.5</v>
      </c>
      <c r="AB35" s="1">
        <f t="shared" si="39"/>
        <v>40</v>
      </c>
      <c r="AC35">
        <f t="shared" si="40"/>
        <v>0</v>
      </c>
      <c r="AD35">
        <f t="shared" si="41"/>
        <v>0</v>
      </c>
      <c r="AE35">
        <v>0.9</v>
      </c>
      <c r="AF35" s="1">
        <v>1.2</v>
      </c>
      <c r="AG35" s="1">
        <f t="shared" si="14"/>
        <v>3.9370078740157477</v>
      </c>
      <c r="AH35">
        <f t="shared" si="42"/>
        <v>15.444677723460234</v>
      </c>
      <c r="AI35">
        <f>IF(Z35="medium dense",'[1]Coefficient Normal'!$E$18 + ('[1]Coefficient Normal'!$E$19*AG35) + ('[1]Coefficient Normal'!$E$20*(AG35^2)) + ('[1]Coefficient Normal'!$E$21*(AG35^3)) + ('[1]Coefficient Normal'!$E$22*(AG35^4)),IF(Z35="dense",'[1]Coefficient Normal'!$F$18 + ('[1]Coefficient Normal'!$F$19*AG35) + ('[1]Coefficient Normal'!$F$20*(AG35^2)) + ('[1]Coefficient Normal'!$F$21*(AG35^3)) + ('[1]Coefficient Normal'!$F$22*(AG35^4)),IF(Z35="very dense",'[1]Coefficient Normal'!$G$18 + ('[1]Coefficient Normal'!$G$19*AG35) + ('[1]Coefficient Normal'!$G$20*(AG35^2)) + ('[1]Coefficient Normal'!$G$21*(AG35^3)) + ('[1]Coefficient Normal'!$G$22*(AG35^4)),0)))</f>
        <v>16.731938607979529</v>
      </c>
      <c r="AJ35">
        <f t="shared" si="15"/>
        <v>80</v>
      </c>
      <c r="AK35">
        <f t="shared" si="16"/>
        <v>181.96591610720998</v>
      </c>
      <c r="AL35">
        <f t="shared" si="43"/>
        <v>5.2038193954025953</v>
      </c>
      <c r="AM35">
        <f t="shared" si="17"/>
        <v>3.4657359027997265</v>
      </c>
      <c r="AN35">
        <f t="shared" si="18"/>
        <v>2.7372644600771081</v>
      </c>
      <c r="AO35">
        <v>0.6</v>
      </c>
      <c r="AP35" s="5">
        <f>VLOOKUP(X35,'[1]Coefficient Normal'!$A$3:$H$7,2,TRUE)</f>
        <v>14.575100000000001</v>
      </c>
      <c r="AQ35" s="5">
        <f>VLOOKUP(X35,'[1]Coefficient Normal'!$A$3:$H$7,3,TRUE)</f>
        <v>0.1356</v>
      </c>
      <c r="AR35" s="5">
        <f>VLOOKUP(X35,'[1]Coefficient Normal'!$A$3:$H$7,4,TRUE)</f>
        <v>2.9990000000000001</v>
      </c>
      <c r="AS35" s="5">
        <f>VLOOKUP(X35,'[1]Coefficient Normal'!$A$3:$H$7,5,TRUE)</f>
        <v>-0.94710000000000005</v>
      </c>
      <c r="AT35" s="5">
        <f>VLOOKUP(X35,'[1]Coefficient Normal'!$A$3:$H$7,6,TRUE)</f>
        <v>0.6603</v>
      </c>
      <c r="AU35" s="5">
        <f>VLOOKUP(X35,'[1]Coefficient Normal'!$A$3:$H$7,7,TRUE)</f>
        <v>-1.2488999999999999</v>
      </c>
      <c r="AV35" s="5">
        <f>VLOOKUP(X35,'[1]Coefficient Normal'!$A$3:$H$7,8,TRUE)</f>
        <v>-0.44140000000000001</v>
      </c>
      <c r="AX35" s="5">
        <f t="shared" si="19"/>
        <v>1.2064671580089743</v>
      </c>
      <c r="BB35">
        <f t="shared" si="20"/>
        <v>-5.7267367840000007</v>
      </c>
      <c r="BC35">
        <f t="shared" si="21"/>
        <v>0.36844193599999997</v>
      </c>
      <c r="BD35" s="5">
        <f>VLOOKUP(X57,'[1]Coefficient Normal'!$A$10:$P$14,2,TRUE)</f>
        <v>5.1353999999999997</v>
      </c>
      <c r="BE35" s="5">
        <f>VLOOKUP(X57,'[1]Coefficient Normal'!$A$10:$P$14,3,TRUE)</f>
        <v>-4.9599999999999998E-2</v>
      </c>
      <c r="BF35" s="5">
        <f>VLOOKUP(X57,'[1]Coefficient Normal'!$A$10:$P$14,4,TRUE)</f>
        <v>0.44590000000000002</v>
      </c>
      <c r="BG35" s="5">
        <f>VLOOKUP(X57,'[1]Coefficient Normal'!$A$10:$P$14,5,TRUE)</f>
        <v>-0.83709999999999996</v>
      </c>
      <c r="BH35" s="5">
        <f>VLOOKUP(X57,'[1]Coefficient Normal'!$A$10:$P$14,6,TRUE)</f>
        <v>0.63090000000000002</v>
      </c>
      <c r="BI35" s="5">
        <f>VLOOKUP(X57,'[1]Coefficient Normal'!$A$10:$P$14,7,TRUE)</f>
        <v>0.91390000000000005</v>
      </c>
      <c r="BJ35" s="5">
        <f>VLOOKUP(X57,'[1]Coefficient Normal'!$A$10:$P$14,8,TRUE)</f>
        <v>2.5000000000000001E-3</v>
      </c>
      <c r="BK35" s="5">
        <f>VLOOKUP(X57,'[1]Coefficient Normal'!$A$10:$P$14,9,TRUE)</f>
        <v>1.6000000000000001E-3</v>
      </c>
      <c r="BL35" s="5">
        <f>VLOOKUP(X57,'[1]Coefficient Normal'!$A$10:$P$14,10,TRUE)</f>
        <v>-9.7500000000000003E-2</v>
      </c>
      <c r="BM35" s="5">
        <f>VLOOKUP(X57,'[1]Coefficient Normal'!$A$10:$P$14,11,TRUE)</f>
        <v>1.1999999999999999E-3</v>
      </c>
      <c r="BN35" s="5">
        <f>VLOOKUP(X57,'[1]Coefficient Normal'!$A$10:$P$14,12,TRUE)</f>
        <v>0.46479999999999999</v>
      </c>
      <c r="BO35" s="5">
        <f>VLOOKUP(X57,'[1]Coefficient Normal'!$A$10:$P$14,13,TRUE)</f>
        <v>8.0000000000000004E-4</v>
      </c>
      <c r="BP35" s="5">
        <f>VLOOKUP(X57,'[1]Coefficient Normal'!$A$10:$P$14,14,TRUE)</f>
        <v>6.7900000000000002E-2</v>
      </c>
      <c r="BQ35" s="5">
        <f>VLOOKUP(X57,'[1]Coefficient Normal'!$A$10:$P$14,15,TRUE)</f>
        <v>0.58979999999999999</v>
      </c>
      <c r="CB35">
        <f t="shared" si="44"/>
        <v>0</v>
      </c>
      <c r="CE35" s="6">
        <f>IF(Y57="sand",1,0)</f>
        <v>1</v>
      </c>
      <c r="CF35" s="6">
        <f>IF(CK35&lt;AX57,1,0)</f>
        <v>1</v>
      </c>
      <c r="CG35" s="6">
        <f>IF(O57&lt;100,1,0)</f>
        <v>0</v>
      </c>
      <c r="CH35">
        <f t="shared" si="22"/>
        <v>4.2130700000000001</v>
      </c>
      <c r="CI35" s="5">
        <f t="shared" si="45"/>
        <v>0.89341169430865064</v>
      </c>
      <c r="CJ35">
        <f t="shared" si="46"/>
        <v>1.1306428388058418</v>
      </c>
      <c r="CK35">
        <f t="shared" si="47"/>
        <v>-0.51082562376599094</v>
      </c>
      <c r="CN35">
        <f t="shared" si="23"/>
        <v>5</v>
      </c>
      <c r="CP35" s="5">
        <f>CK35-AX35</f>
        <v>-1.7172927817749652</v>
      </c>
      <c r="CQ35" s="5">
        <f>CI35*CP35</f>
        <v>-1.5342494537895874</v>
      </c>
      <c r="CR35" s="5">
        <f t="shared" si="48"/>
        <v>-0.17190050077886643</v>
      </c>
      <c r="CS35" s="5">
        <f t="shared" si="49"/>
        <v>1.2205462227483825</v>
      </c>
      <c r="CT35" s="5">
        <f t="shared" si="50"/>
        <v>-4.356117215891512</v>
      </c>
      <c r="CU35" s="5">
        <f t="shared" si="51"/>
        <v>-0.74957194626652957</v>
      </c>
      <c r="CV35">
        <f t="shared" si="24"/>
        <v>9.570659339929211</v>
      </c>
      <c r="CW35">
        <f t="shared" si="52"/>
        <v>100</v>
      </c>
      <c r="CX35">
        <v>0.57099999999999995</v>
      </c>
      <c r="CY35">
        <v>0.3</v>
      </c>
      <c r="CZ35" s="5">
        <f>BD35+CQ35+CR35+CS35+CT35+CU35</f>
        <v>-0.45589289397811328</v>
      </c>
      <c r="DA35" s="7">
        <f t="shared" si="53"/>
        <v>0.63388172601284831</v>
      </c>
      <c r="DB35">
        <f>VLOOKUP(E35,'[1]Coefficient Normal'!$A$10:$P$14,16,TRUE)</f>
        <v>0.50170000000000003</v>
      </c>
      <c r="DC35">
        <v>0.3</v>
      </c>
    </row>
    <row r="36" spans="1:107" x14ac:dyDescent="0.25">
      <c r="A36">
        <v>13</v>
      </c>
      <c r="B36">
        <f t="shared" si="54"/>
        <v>55</v>
      </c>
      <c r="C36">
        <f t="shared" si="55"/>
        <v>-125</v>
      </c>
      <c r="D36" t="str">
        <f t="shared" si="25"/>
        <v>SSComp_and_Normal</v>
      </c>
      <c r="E36">
        <v>75</v>
      </c>
      <c r="F36">
        <v>0.5</v>
      </c>
      <c r="G36">
        <f t="shared" si="26"/>
        <v>0.28678821817552308</v>
      </c>
      <c r="H36">
        <f t="shared" si="27"/>
        <v>0.49999999999999994</v>
      </c>
      <c r="I36">
        <f t="shared" si="28"/>
        <v>55</v>
      </c>
      <c r="J36">
        <v>0.40639999999999998</v>
      </c>
      <c r="K36">
        <f t="shared" si="29"/>
        <v>406.4</v>
      </c>
      <c r="L36">
        <v>9.5250000000000005E-3</v>
      </c>
      <c r="M36">
        <f t="shared" si="30"/>
        <v>9.5250000000000004</v>
      </c>
      <c r="N36" s="3">
        <f t="shared" si="31"/>
        <v>42.666666666666664</v>
      </c>
      <c r="O36">
        <v>50</v>
      </c>
      <c r="P36" s="4" t="s">
        <v>70</v>
      </c>
      <c r="Q36" s="1">
        <f t="shared" si="32"/>
        <v>8</v>
      </c>
      <c r="R36" s="1">
        <f t="shared" si="33"/>
        <v>10</v>
      </c>
      <c r="S36" s="1">
        <f t="shared" si="34"/>
        <v>359000</v>
      </c>
      <c r="T36" s="1">
        <f t="shared" si="35"/>
        <v>455000</v>
      </c>
      <c r="U36" s="1">
        <f t="shared" si="36"/>
        <v>1.9969902892117808</v>
      </c>
      <c r="V36" s="3">
        <v>1.9041242414694344</v>
      </c>
      <c r="W36" s="1">
        <f t="shared" si="37"/>
        <v>0.69164119173371341</v>
      </c>
      <c r="X36" s="1">
        <v>45</v>
      </c>
      <c r="Y36" s="1" t="s">
        <v>78</v>
      </c>
      <c r="Z36" t="s">
        <v>81</v>
      </c>
      <c r="AA36">
        <f t="shared" si="38"/>
        <v>19</v>
      </c>
      <c r="AB36" s="1">
        <f t="shared" si="39"/>
        <v>43</v>
      </c>
      <c r="AC36">
        <f t="shared" si="40"/>
        <v>0</v>
      </c>
      <c r="AD36">
        <f t="shared" si="41"/>
        <v>0</v>
      </c>
      <c r="AE36">
        <v>0.9</v>
      </c>
      <c r="AF36" s="1">
        <v>0.78739999999999999</v>
      </c>
      <c r="AG36" s="1">
        <f t="shared" si="14"/>
        <v>1.9375</v>
      </c>
      <c r="AH36">
        <f t="shared" si="42"/>
        <v>15.302662526126202</v>
      </c>
      <c r="AI36">
        <f>IF(Z36="medium dense",'[1]Coefficient Normal'!$E$18 + ('[1]Coefficient Normal'!$E$19*AG36) + ('[1]Coefficient Normal'!$E$20*(AG36^2)) + ('[1]Coefficient Normal'!$E$21*(AG36^3)) + ('[1]Coefficient Normal'!$E$22*(AG36^4)),IF(Z36="dense",'[1]Coefficient Normal'!$F$18 + ('[1]Coefficient Normal'!$F$19*AG36) + ('[1]Coefficient Normal'!$F$20*(AG36^2)) + ('[1]Coefficient Normal'!$F$21*(AG36^3)) + ('[1]Coefficient Normal'!$F$22*(AG36^4)),IF(Z36="very dense",'[1]Coefficient Normal'!$G$18 + ('[1]Coefficient Normal'!$G$19*AG36) + ('[1]Coefficient Normal'!$G$20*(AG36^2)) + ('[1]Coefficient Normal'!$G$21*(AG36^3)) + ('[1]Coefficient Normal'!$G$22*(AG36^4)),0)))</f>
        <v>18.713735701307833</v>
      </c>
      <c r="AJ36">
        <f t="shared" si="15"/>
        <v>80</v>
      </c>
      <c r="AK36">
        <f t="shared" si="16"/>
        <v>239.30161510492547</v>
      </c>
      <c r="AL36">
        <f t="shared" si="43"/>
        <v>5.4777247441808345</v>
      </c>
      <c r="AM36">
        <f t="shared" si="17"/>
        <v>3.7534179752515073</v>
      </c>
      <c r="AN36">
        <f t="shared" si="18"/>
        <v>2.7280268345738752</v>
      </c>
      <c r="AO36">
        <v>0.5</v>
      </c>
      <c r="AP36" s="5">
        <f>VLOOKUP(X36,'[1]Coefficient Normal'!$A$3:$H$7,2,TRUE)</f>
        <v>3.7532999999999999</v>
      </c>
      <c r="AQ36" s="5">
        <f>VLOOKUP(X36,'[1]Coefficient Normal'!$A$3:$H$7,3,TRUE)</f>
        <v>0.14510000000000001</v>
      </c>
      <c r="AR36" s="5">
        <f>VLOOKUP(X36,'[1]Coefficient Normal'!$A$3:$H$7,4,TRUE)</f>
        <v>1.2497</v>
      </c>
      <c r="AS36" s="5">
        <f>VLOOKUP(X36,'[1]Coefficient Normal'!$A$3:$H$7,5,TRUE)</f>
        <v>-0.46100000000000002</v>
      </c>
      <c r="AT36" s="5">
        <f>VLOOKUP(X36,'[1]Coefficient Normal'!$A$3:$H$7,6,TRUE)</f>
        <v>0.39140000000000003</v>
      </c>
      <c r="AU36" s="5">
        <f>VLOOKUP(X36,'[1]Coefficient Normal'!$A$3:$H$7,7,TRUE)</f>
        <v>-0.21310000000000001</v>
      </c>
      <c r="AV36" s="5">
        <f>VLOOKUP(X36,'[1]Coefficient Normal'!$A$3:$H$7,8,TRUE)</f>
        <v>-0.34139999999999998</v>
      </c>
      <c r="AX36" s="5">
        <f t="shared" si="19"/>
        <v>-0.3625858935497186</v>
      </c>
      <c r="BB36">
        <f t="shared" si="20"/>
        <v>-5.3062657120000001</v>
      </c>
      <c r="BC36">
        <f t="shared" si="21"/>
        <v>0.396749248</v>
      </c>
      <c r="BD36" s="5">
        <f>VLOOKUP(X58,'[1]Coefficient Normal'!$A$10:$P$14,2,TRUE)</f>
        <v>-1.1082000000000001</v>
      </c>
      <c r="BE36" s="5">
        <f>VLOOKUP(X58,'[1]Coefficient Normal'!$A$10:$P$14,3,TRUE)</f>
        <v>0.10630000000000001</v>
      </c>
      <c r="BF36" s="5">
        <f>VLOOKUP(X58,'[1]Coefficient Normal'!$A$10:$P$14,4,TRUE)</f>
        <v>-0.1439</v>
      </c>
      <c r="BG36" s="5">
        <f>VLOOKUP(X58,'[1]Coefficient Normal'!$A$10:$P$14,5,TRUE)</f>
        <v>0.27879999999999999</v>
      </c>
      <c r="BH36" s="5">
        <f>VLOOKUP(X58,'[1]Coefficient Normal'!$A$10:$P$14,6,TRUE)</f>
        <v>-0.31030000000000002</v>
      </c>
      <c r="BI36" s="5">
        <f>VLOOKUP(X58,'[1]Coefficient Normal'!$A$10:$P$14,7,TRUE)</f>
        <v>1.2553000000000001</v>
      </c>
      <c r="BJ36" s="5">
        <f>VLOOKUP(X58,'[1]Coefficient Normal'!$A$10:$P$14,8,TRUE)</f>
        <v>2.9999999999999997E-4</v>
      </c>
      <c r="BK36" s="5">
        <f>VLOOKUP(X58,'[1]Coefficient Normal'!$A$10:$P$14,9,TRUE)</f>
        <v>5.1999999999999998E-3</v>
      </c>
      <c r="BL36" s="5">
        <f>VLOOKUP(X58,'[1]Coefficient Normal'!$A$10:$P$14,10,TRUE)</f>
        <v>-8.5900000000000004E-2</v>
      </c>
      <c r="BM36" s="5">
        <f>VLOOKUP(X58,'[1]Coefficient Normal'!$A$10:$P$14,11,TRUE)</f>
        <v>5.9999999999999995E-4</v>
      </c>
      <c r="BN36" s="5">
        <f>VLOOKUP(X58,'[1]Coefficient Normal'!$A$10:$P$14,12,TRUE)</f>
        <v>-0.21759999999999999</v>
      </c>
      <c r="BO36" s="5">
        <f>VLOOKUP(X58,'[1]Coefficient Normal'!$A$10:$P$14,13,TRUE)</f>
        <v>-2.69E-2</v>
      </c>
      <c r="BP36" s="5">
        <f>VLOOKUP(X58,'[1]Coefficient Normal'!$A$10:$P$14,14,TRUE)</f>
        <v>0.57389999999999997</v>
      </c>
      <c r="BQ36" s="5">
        <f>VLOOKUP(X58,'[1]Coefficient Normal'!$A$10:$P$14,15,TRUE)</f>
        <v>0.34460000000000002</v>
      </c>
      <c r="CB36">
        <f t="shared" si="44"/>
        <v>0</v>
      </c>
      <c r="CE36" s="6">
        <f>IF(Y58="sand",1,0)</f>
        <v>1</v>
      </c>
      <c r="CF36" s="6">
        <f>IF(CK36&lt;AX58,1,0)</f>
        <v>1</v>
      </c>
      <c r="CG36" s="6">
        <f>IF(O58&lt;100,1,0)</f>
        <v>1</v>
      </c>
      <c r="CH36">
        <f t="shared" si="22"/>
        <v>3.9944699999999997</v>
      </c>
      <c r="CI36" s="5">
        <f t="shared" si="45"/>
        <v>1.0254907987578381</v>
      </c>
      <c r="CJ36">
        <f t="shared" si="46"/>
        <v>1.015717845075544</v>
      </c>
      <c r="CK36">
        <f t="shared" si="47"/>
        <v>-0.6931471805599454</v>
      </c>
      <c r="CN36">
        <f t="shared" si="23"/>
        <v>5</v>
      </c>
      <c r="CP36" s="5">
        <f>CK36-AX36</f>
        <v>-0.3305612870102268</v>
      </c>
      <c r="CQ36" s="5">
        <f>CI36*CP36</f>
        <v>-0.33898755825453647</v>
      </c>
      <c r="CR36" s="5">
        <f t="shared" si="48"/>
        <v>0.39898833076923523</v>
      </c>
      <c r="CS36" s="5">
        <f t="shared" si="49"/>
        <v>-0.39256306149518067</v>
      </c>
      <c r="CT36" s="5">
        <f t="shared" si="50"/>
        <v>1.5271896586776166</v>
      </c>
      <c r="CU36" s="5">
        <f t="shared" si="51"/>
        <v>0.27939951385735351</v>
      </c>
      <c r="CV36">
        <f t="shared" si="24"/>
        <v>8.6024183415717523</v>
      </c>
      <c r="CW36">
        <f t="shared" si="52"/>
        <v>100</v>
      </c>
      <c r="CX36">
        <v>0.57099999999999995</v>
      </c>
      <c r="CY36">
        <v>0.3</v>
      </c>
      <c r="CZ36" s="5">
        <f>BD36+CQ36+CR36+CS36+CT36+CU36</f>
        <v>0.365826883554488</v>
      </c>
      <c r="DA36" s="7">
        <f t="shared" si="53"/>
        <v>1.4417056380942708</v>
      </c>
      <c r="DB36">
        <f>VLOOKUP(E36,'[1]Coefficient Normal'!$A$10:$P$14,16,TRUE)</f>
        <v>0.43780000000000002</v>
      </c>
      <c r="DC36">
        <v>0.3</v>
      </c>
    </row>
    <row r="37" spans="1:107" x14ac:dyDescent="0.25">
      <c r="A37">
        <v>14</v>
      </c>
      <c r="B37">
        <f t="shared" si="54"/>
        <v>59.5</v>
      </c>
      <c r="C37">
        <f t="shared" si="55"/>
        <v>-120.5</v>
      </c>
      <c r="D37" t="str">
        <f t="shared" si="25"/>
        <v>SSComp_and_Normal</v>
      </c>
      <c r="E37">
        <v>75</v>
      </c>
      <c r="F37">
        <v>0.2</v>
      </c>
      <c r="G37">
        <f t="shared" si="26"/>
        <v>0.10150767259214087</v>
      </c>
      <c r="H37">
        <f t="shared" si="27"/>
        <v>0.19999999999999998</v>
      </c>
      <c r="I37">
        <f t="shared" si="28"/>
        <v>59.5</v>
      </c>
      <c r="J37">
        <v>0.50800000000000001</v>
      </c>
      <c r="K37">
        <f t="shared" si="29"/>
        <v>508</v>
      </c>
      <c r="L37">
        <v>9.5250000000000005E-3</v>
      </c>
      <c r="M37">
        <f t="shared" si="30"/>
        <v>9.5250000000000004</v>
      </c>
      <c r="N37" s="3">
        <f t="shared" si="31"/>
        <v>53.333333333333329</v>
      </c>
      <c r="O37">
        <v>100</v>
      </c>
      <c r="P37" s="4" t="s">
        <v>73</v>
      </c>
      <c r="Q37" s="1">
        <f t="shared" si="32"/>
        <v>8</v>
      </c>
      <c r="R37" s="1">
        <f t="shared" si="33"/>
        <v>12</v>
      </c>
      <c r="S37" s="1">
        <f t="shared" si="34"/>
        <v>414000</v>
      </c>
      <c r="T37" s="1">
        <f t="shared" si="35"/>
        <v>517000</v>
      </c>
      <c r="U37" s="1">
        <f t="shared" si="36"/>
        <v>2.5466769467238102</v>
      </c>
      <c r="V37" s="3">
        <v>2.4313344008036557</v>
      </c>
      <c r="W37" s="1">
        <f t="shared" si="37"/>
        <v>0.93478935117382533</v>
      </c>
      <c r="X37" s="1">
        <v>60</v>
      </c>
      <c r="Y37" s="1" t="s">
        <v>78</v>
      </c>
      <c r="Z37" t="s">
        <v>79</v>
      </c>
      <c r="AA37">
        <f t="shared" si="38"/>
        <v>18</v>
      </c>
      <c r="AB37" s="1">
        <f t="shared" si="39"/>
        <v>37</v>
      </c>
      <c r="AC37">
        <f t="shared" si="40"/>
        <v>0</v>
      </c>
      <c r="AD37">
        <f t="shared" si="41"/>
        <v>0</v>
      </c>
      <c r="AE37">
        <v>0.9</v>
      </c>
      <c r="AF37" s="1">
        <v>1</v>
      </c>
      <c r="AG37" s="1">
        <f t="shared" si="14"/>
        <v>1.9685039370078741</v>
      </c>
      <c r="AH37">
        <f t="shared" si="42"/>
        <v>18.869930160350666</v>
      </c>
      <c r="AI37">
        <f>IF(Z37="medium dense",'[1]Coefficient Normal'!$E$18 + ('[1]Coefficient Normal'!$E$19*AG37) + ('[1]Coefficient Normal'!$E$20*(AG37^2)) + ('[1]Coefficient Normal'!$E$21*(AG37^3)) + ('[1]Coefficient Normal'!$E$22*(AG37^4)),IF(Z37="dense",'[1]Coefficient Normal'!$F$18 + ('[1]Coefficient Normal'!$F$19*AG37) + ('[1]Coefficient Normal'!$F$20*(AG37^2)) + ('[1]Coefficient Normal'!$F$21*(AG37^3)) + ('[1]Coefficient Normal'!$F$22*(AG37^4)),IF(Z37="very dense",'[1]Coefficient Normal'!$G$18 + ('[1]Coefficient Normal'!$G$19*AG37) + ('[1]Coefficient Normal'!$G$20*(AG37^2)) + ('[1]Coefficient Normal'!$G$21*(AG37^3)) + ('[1]Coefficient Normal'!$G$22*(AG37^4)),0)))</f>
        <v>12.774171397112466</v>
      </c>
      <c r="AJ37">
        <f t="shared" si="15"/>
        <v>64.071522599936642</v>
      </c>
      <c r="AK37">
        <f t="shared" si="16"/>
        <v>265.61800392926688</v>
      </c>
      <c r="AL37">
        <f t="shared" si="43"/>
        <v>5.582059201183184</v>
      </c>
      <c r="AM37">
        <f t="shared" si="17"/>
        <v>3.976561526565717</v>
      </c>
      <c r="AN37">
        <f t="shared" si="18"/>
        <v>2.9375696582793154</v>
      </c>
      <c r="AO37">
        <v>0.2</v>
      </c>
      <c r="AP37" s="5">
        <f>VLOOKUP(X37,'[1]Coefficient Normal'!$A$3:$H$7,2,TRUE)</f>
        <v>4.3182999999999998</v>
      </c>
      <c r="AQ37" s="5">
        <f>VLOOKUP(X37,'[1]Coefficient Normal'!$A$3:$H$7,3,TRUE)</f>
        <v>-2.7900000000000001E-2</v>
      </c>
      <c r="AR37" s="5">
        <f>VLOOKUP(X37,'[1]Coefficient Normal'!$A$3:$H$7,4,TRUE)</f>
        <v>1.0497000000000001</v>
      </c>
      <c r="AS37" s="5">
        <f>VLOOKUP(X37,'[1]Coefficient Normal'!$A$3:$H$7,5,TRUE)</f>
        <v>-0.46910000000000002</v>
      </c>
      <c r="AT37" s="5">
        <f>VLOOKUP(X37,'[1]Coefficient Normal'!$A$3:$H$7,6,TRUE)</f>
        <v>0.29149999999999998</v>
      </c>
      <c r="AU37" s="5">
        <f>VLOOKUP(X37,'[1]Coefficient Normal'!$A$3:$H$7,7,TRUE)</f>
        <v>-0.28610000000000002</v>
      </c>
      <c r="AV37" s="5">
        <f>VLOOKUP(X37,'[1]Coefficient Normal'!$A$3:$H$7,8,TRUE)</f>
        <v>-0.1348</v>
      </c>
      <c r="AX37" s="5">
        <f t="shared" si="19"/>
        <v>-0.10704403265285317</v>
      </c>
      <c r="BB37">
        <f t="shared" si="20"/>
        <v>-4.4054946400000006</v>
      </c>
      <c r="BC37">
        <f t="shared" si="21"/>
        <v>0.48415656000000001</v>
      </c>
      <c r="BD37" s="5">
        <f>VLOOKUP(X59,'[1]Coefficient Normal'!$A$10:$P$14,2,TRUE)</f>
        <v>-2.1276999999999999</v>
      </c>
      <c r="BE37" s="5">
        <f>VLOOKUP(X59,'[1]Coefficient Normal'!$A$10:$P$14,3,TRUE)</f>
        <v>0.14760000000000001</v>
      </c>
      <c r="BF37" s="5">
        <f>VLOOKUP(X59,'[1]Coefficient Normal'!$A$10:$P$14,4,TRUE)</f>
        <v>-0.21829999999999999</v>
      </c>
      <c r="BG37" s="5">
        <f>VLOOKUP(X59,'[1]Coefficient Normal'!$A$10:$P$14,5,TRUE)</f>
        <v>0.42270000000000002</v>
      </c>
      <c r="BH37" s="5">
        <f>VLOOKUP(X59,'[1]Coefficient Normal'!$A$10:$P$14,6,TRUE)</f>
        <v>-0.53720000000000001</v>
      </c>
      <c r="BI37" s="5">
        <f>VLOOKUP(X59,'[1]Coefficient Normal'!$A$10:$P$14,7,TRUE)</f>
        <v>1.252</v>
      </c>
      <c r="BJ37" s="5">
        <f>VLOOKUP(X59,'[1]Coefficient Normal'!$A$10:$P$14,8,TRUE)</f>
        <v>-5.9999999999999995E-4</v>
      </c>
      <c r="BK37" s="5">
        <f>VLOOKUP(X59,'[1]Coefficient Normal'!$A$10:$P$14,9,TRUE)</f>
        <v>5.3E-3</v>
      </c>
      <c r="BL37" s="5">
        <f>VLOOKUP(X59,'[1]Coefficient Normal'!$A$10:$P$14,10,TRUE)</f>
        <v>-4.8500000000000001E-2</v>
      </c>
      <c r="BM37" s="5">
        <f>VLOOKUP(X59,'[1]Coefficient Normal'!$A$10:$P$14,11,TRUE)</f>
        <v>1.2999999999999999E-3</v>
      </c>
      <c r="BN37" s="5">
        <f>VLOOKUP(X59,'[1]Coefficient Normal'!$A$10:$P$14,12,TRUE)</f>
        <v>-0.56599999999999995</v>
      </c>
      <c r="BO37" s="5">
        <f>VLOOKUP(X59,'[1]Coefficient Normal'!$A$10:$P$14,13,TRUE)</f>
        <v>-3.2099999999999997E-2</v>
      </c>
      <c r="BP37" s="5">
        <f>VLOOKUP(X59,'[1]Coefficient Normal'!$A$10:$P$14,14,TRUE)</f>
        <v>0.84970000000000001</v>
      </c>
      <c r="BQ37" s="5">
        <f>VLOOKUP(X59,'[1]Coefficient Normal'!$A$10:$P$14,15,TRUE)</f>
        <v>9.01E-2</v>
      </c>
      <c r="CB37">
        <f t="shared" si="44"/>
        <v>0</v>
      </c>
      <c r="CE37" s="6">
        <f>IF(Y59="sand",1,0)</f>
        <v>1</v>
      </c>
      <c r="CF37" s="6">
        <f>IF(CK37&lt;AX59,1,0)</f>
        <v>1</v>
      </c>
      <c r="CG37" s="6">
        <f>IF(O59&lt;100,1,0)</f>
        <v>1</v>
      </c>
      <c r="CH37">
        <f t="shared" si="22"/>
        <v>3.4479699999999998</v>
      </c>
      <c r="CI37" s="5">
        <f t="shared" si="45"/>
        <v>1.3100113752371227</v>
      </c>
      <c r="CJ37">
        <f t="shared" si="46"/>
        <v>0.61423787001730523</v>
      </c>
      <c r="CK37">
        <f t="shared" si="47"/>
        <v>-1.6094379124341005</v>
      </c>
      <c r="CN37">
        <f t="shared" si="23"/>
        <v>0.71569864061147725</v>
      </c>
      <c r="CP37" s="5">
        <f>CK37-AX37</f>
        <v>-1.5023938797812473</v>
      </c>
      <c r="CQ37" s="5">
        <f>CI37*CP37</f>
        <v>-1.9681530726000682</v>
      </c>
      <c r="CR37" s="5">
        <f t="shared" si="48"/>
        <v>0.58694048132109988</v>
      </c>
      <c r="CS37" s="5">
        <f t="shared" si="49"/>
        <v>-0.64127145640237448</v>
      </c>
      <c r="CT37" s="5">
        <f t="shared" si="50"/>
        <v>2.3595364243401318</v>
      </c>
      <c r="CU37" s="5">
        <f t="shared" si="51"/>
        <v>0.36383150223004357</v>
      </c>
      <c r="CV37">
        <f t="shared" si="24"/>
        <v>-2.5217619676340286</v>
      </c>
      <c r="CW37">
        <f t="shared" si="52"/>
        <v>8.0317964347901144E-2</v>
      </c>
      <c r="CX37">
        <v>0.57099999999999995</v>
      </c>
      <c r="CY37">
        <v>0.3</v>
      </c>
      <c r="CZ37" s="5">
        <f>BD37+CQ37+CR37+CS37+CT37+CU37</f>
        <v>-1.4268161211111674</v>
      </c>
      <c r="DA37" s="7">
        <f t="shared" si="53"/>
        <v>0.24007206710493009</v>
      </c>
      <c r="DB37">
        <f>VLOOKUP(E37,'[1]Coefficient Normal'!$A$10:$P$14,16,TRUE)</f>
        <v>0.43780000000000002</v>
      </c>
      <c r="DC37">
        <v>0.3</v>
      </c>
    </row>
    <row r="38" spans="1:107" x14ac:dyDescent="0.25">
      <c r="A38">
        <v>15</v>
      </c>
      <c r="B38">
        <f t="shared" si="54"/>
        <v>64</v>
      </c>
      <c r="C38">
        <f t="shared" si="55"/>
        <v>-116</v>
      </c>
      <c r="D38" t="str">
        <f t="shared" si="25"/>
        <v>SSComp_and_Normal</v>
      </c>
      <c r="E38">
        <v>75</v>
      </c>
      <c r="F38">
        <v>0.4</v>
      </c>
      <c r="G38">
        <f t="shared" si="26"/>
        <v>0.17534845871563101</v>
      </c>
      <c r="H38">
        <f t="shared" si="27"/>
        <v>0.39999999999999997</v>
      </c>
      <c r="I38">
        <f t="shared" si="28"/>
        <v>64</v>
      </c>
      <c r="J38">
        <v>0.60960000000000003</v>
      </c>
      <c r="K38">
        <f t="shared" si="29"/>
        <v>609.6</v>
      </c>
      <c r="L38">
        <v>9.5250000000000005E-3</v>
      </c>
      <c r="M38">
        <f t="shared" si="30"/>
        <v>9.5250000000000004</v>
      </c>
      <c r="N38" s="3">
        <f t="shared" si="31"/>
        <v>64</v>
      </c>
      <c r="O38">
        <v>15</v>
      </c>
      <c r="P38" s="4" t="s">
        <v>75</v>
      </c>
      <c r="Q38" s="1">
        <f t="shared" si="32"/>
        <v>14</v>
      </c>
      <c r="R38" s="1">
        <f t="shared" si="33"/>
        <v>15</v>
      </c>
      <c r="S38" s="1">
        <f t="shared" si="34"/>
        <v>483000</v>
      </c>
      <c r="T38" s="1">
        <f t="shared" si="35"/>
        <v>565000</v>
      </c>
      <c r="U38" s="1">
        <f t="shared" si="36"/>
        <v>2.8799444073326219</v>
      </c>
      <c r="V38" s="3">
        <v>2.7690517990613435</v>
      </c>
      <c r="W38" s="1">
        <f t="shared" si="37"/>
        <v>1.0577709909520427</v>
      </c>
      <c r="X38" s="1">
        <v>75</v>
      </c>
      <c r="Y38" s="1" t="s">
        <v>78</v>
      </c>
      <c r="Z38" t="s">
        <v>80</v>
      </c>
      <c r="AA38">
        <f t="shared" si="38"/>
        <v>18.5</v>
      </c>
      <c r="AB38" s="1">
        <f t="shared" si="39"/>
        <v>40</v>
      </c>
      <c r="AC38">
        <f t="shared" si="40"/>
        <v>0</v>
      </c>
      <c r="AD38">
        <f t="shared" si="41"/>
        <v>0</v>
      </c>
      <c r="AE38">
        <v>0.9</v>
      </c>
      <c r="AF38" s="1">
        <v>1.2</v>
      </c>
      <c r="AG38" s="1">
        <f t="shared" si="14"/>
        <v>1.9685039370078738</v>
      </c>
      <c r="AH38">
        <f t="shared" si="42"/>
        <v>30.889355446920469</v>
      </c>
      <c r="AI38">
        <f>IF(Z38="medium dense",'[1]Coefficient Normal'!$E$18 + ('[1]Coefficient Normal'!$E$19*AG38) + ('[1]Coefficient Normal'!$E$20*(AG38^2)) + ('[1]Coefficient Normal'!$E$21*(AG38^3)) + ('[1]Coefficient Normal'!$E$22*(AG38^4)),IF(Z38="dense",'[1]Coefficient Normal'!$F$18 + ('[1]Coefficient Normal'!$F$19*AG38) + ('[1]Coefficient Normal'!$F$20*(AG38^2)) + ('[1]Coefficient Normal'!$F$21*(AG38^3)) + ('[1]Coefficient Normal'!$F$22*(AG38^4)),IF(Z38="very dense",'[1]Coefficient Normal'!$G$18 + ('[1]Coefficient Normal'!$G$19*AG38) + ('[1]Coefficient Normal'!$G$20*(AG38^2)) + ('[1]Coefficient Normal'!$G$21*(AG38^3)) + ('[1]Coefficient Normal'!$G$22*(AG38^4)),0)))</f>
        <v>15.896480151009957</v>
      </c>
      <c r="AJ38">
        <f t="shared" si="15"/>
        <v>80</v>
      </c>
      <c r="AK38">
        <f t="shared" si="16"/>
        <v>490.12197186123592</v>
      </c>
      <c r="AL38">
        <f t="shared" si="43"/>
        <v>6.1946542822944775</v>
      </c>
      <c r="AM38">
        <f t="shared" si="17"/>
        <v>4.1588830833596715</v>
      </c>
      <c r="AN38">
        <f t="shared" si="18"/>
        <v>3.4304116406370531</v>
      </c>
      <c r="AO38">
        <v>0.4</v>
      </c>
      <c r="AP38" s="5">
        <f>VLOOKUP(X38,'[1]Coefficient Normal'!$A$3:$H$7,2,TRUE)</f>
        <v>5.5951000000000004</v>
      </c>
      <c r="AQ38" s="5">
        <f>VLOOKUP(X38,'[1]Coefficient Normal'!$A$3:$H$7,3,TRUE)</f>
        <v>1.6E-2</v>
      </c>
      <c r="AR38" s="5">
        <f>VLOOKUP(X38,'[1]Coefficient Normal'!$A$3:$H$7,4,TRUE)</f>
        <v>1.2641</v>
      </c>
      <c r="AS38" s="5">
        <f>VLOOKUP(X38,'[1]Coefficient Normal'!$A$3:$H$7,5,TRUE)</f>
        <v>-0.52429999999999999</v>
      </c>
      <c r="AT38" s="5">
        <f>VLOOKUP(X38,'[1]Coefficient Normal'!$A$3:$H$7,6,TRUE)</f>
        <v>0.35830000000000001</v>
      </c>
      <c r="AU38" s="5">
        <f>VLOOKUP(X38,'[1]Coefficient Normal'!$A$3:$H$7,7,TRUE)</f>
        <v>-0.35920000000000002</v>
      </c>
      <c r="AV38" s="5">
        <f>VLOOKUP(X38,'[1]Coefficient Normal'!$A$3:$H$7,8,TRUE)</f>
        <v>-0.2482</v>
      </c>
      <c r="AX38" s="5">
        <f t="shared" si="19"/>
        <v>0.13470859092986165</v>
      </c>
      <c r="BB38">
        <f t="shared" si="20"/>
        <v>-5.6660735680000007</v>
      </c>
      <c r="BC38">
        <f t="shared" si="21"/>
        <v>0.30561387200000001</v>
      </c>
      <c r="BD38" s="5">
        <f>VLOOKUP(X60,'[1]Coefficient Normal'!$A$10:$P$14,2,TRUE)</f>
        <v>-2.3450000000000002</v>
      </c>
      <c r="BE38" s="5">
        <f>VLOOKUP(X60,'[1]Coefficient Normal'!$A$10:$P$14,3,TRUE)</f>
        <v>0.19470000000000001</v>
      </c>
      <c r="BF38" s="5">
        <f>VLOOKUP(X60,'[1]Coefficient Normal'!$A$10:$P$14,4,TRUE)</f>
        <v>-0.2044</v>
      </c>
      <c r="BG38" s="5">
        <f>VLOOKUP(X60,'[1]Coefficient Normal'!$A$10:$P$14,5,TRUE)</f>
        <v>0.4143</v>
      </c>
      <c r="BH38" s="5">
        <f>VLOOKUP(X60,'[1]Coefficient Normal'!$A$10:$P$14,6,TRUE)</f>
        <v>-0.55710000000000004</v>
      </c>
      <c r="BI38" s="5">
        <f>VLOOKUP(X60,'[1]Coefficient Normal'!$A$10:$P$14,7,TRUE)</f>
        <v>1.0931</v>
      </c>
      <c r="BJ38" s="5">
        <f>VLOOKUP(X60,'[1]Coefficient Normal'!$A$10:$P$14,8,TRUE)</f>
        <v>1E-4</v>
      </c>
      <c r="BK38" s="5">
        <f>VLOOKUP(X60,'[1]Coefficient Normal'!$A$10:$P$14,9,TRUE)</f>
        <v>3.5000000000000001E-3</v>
      </c>
      <c r="BL38" s="5">
        <f>VLOOKUP(X60,'[1]Coefficient Normal'!$A$10:$P$14,10,TRUE)</f>
        <v>-4.07E-2</v>
      </c>
      <c r="BM38" s="5">
        <f>VLOOKUP(X60,'[1]Coefficient Normal'!$A$10:$P$14,11,TRUE)</f>
        <v>1.6000000000000001E-3</v>
      </c>
      <c r="BN38" s="5">
        <f>VLOOKUP(X60,'[1]Coefficient Normal'!$A$10:$P$14,12,TRUE)</f>
        <v>-0.65949999999999998</v>
      </c>
      <c r="BO38" s="5">
        <f>VLOOKUP(X60,'[1]Coefficient Normal'!$A$10:$P$14,13,TRUE)</f>
        <v>-3.0099999999999998E-2</v>
      </c>
      <c r="BP38" s="5">
        <f>VLOOKUP(X60,'[1]Coefficient Normal'!$A$10:$P$14,14,TRUE)</f>
        <v>0.84219999999999995</v>
      </c>
      <c r="BQ38" s="5">
        <f>VLOOKUP(X60,'[1]Coefficient Normal'!$A$10:$P$14,15,TRUE)</f>
        <v>0.50680000000000003</v>
      </c>
      <c r="CB38">
        <f t="shared" si="44"/>
        <v>0</v>
      </c>
      <c r="CE38" s="6">
        <f>IF(Y60="sand",1,0)</f>
        <v>1</v>
      </c>
      <c r="CF38" s="6">
        <f>IF(CK38&lt;AX60,1,0)</f>
        <v>1</v>
      </c>
      <c r="CG38" s="6">
        <f>IF(O60&lt;100,1,0)</f>
        <v>0</v>
      </c>
      <c r="CH38">
        <f t="shared" si="22"/>
        <v>4.3770199999999999</v>
      </c>
      <c r="CI38" s="5">
        <f t="shared" si="45"/>
        <v>1.1578889355446922</v>
      </c>
      <c r="CJ38">
        <f t="shared" si="46"/>
        <v>0.89675018067216705</v>
      </c>
      <c r="CK38">
        <f t="shared" si="47"/>
        <v>-0.91629073187415511</v>
      </c>
      <c r="CN38">
        <f t="shared" si="23"/>
        <v>1.4553728937418067</v>
      </c>
      <c r="CP38" s="5">
        <f>CK38-AX38</f>
        <v>-1.0509993228040169</v>
      </c>
      <c r="CQ38" s="5">
        <f>CI38*CP38</f>
        <v>-1.2169404871397353</v>
      </c>
      <c r="CR38" s="5">
        <f t="shared" si="48"/>
        <v>0.80973453633012804</v>
      </c>
      <c r="CS38" s="5">
        <f t="shared" si="49"/>
        <v>-0.70117613934621359</v>
      </c>
      <c r="CT38" s="5">
        <f t="shared" si="50"/>
        <v>2.566445269154602</v>
      </c>
      <c r="CU38" s="5">
        <f t="shared" si="51"/>
        <v>0.27573791218506416</v>
      </c>
      <c r="CV38">
        <f t="shared" si="24"/>
        <v>0.76212969070267444</v>
      </c>
      <c r="CW38">
        <f t="shared" si="52"/>
        <v>2.1428349400916917</v>
      </c>
      <c r="CX38">
        <v>0.57099999999999995</v>
      </c>
      <c r="CY38">
        <v>0.3</v>
      </c>
      <c r="CZ38" s="5">
        <f>BD38+CQ38+CR38+CS38+CT38+CU38</f>
        <v>-0.6111989088161548</v>
      </c>
      <c r="DA38" s="7">
        <f t="shared" si="53"/>
        <v>0.54269983127276356</v>
      </c>
      <c r="DB38">
        <f>VLOOKUP(E38,'[1]Coefficient Normal'!$A$10:$P$14,16,TRUE)</f>
        <v>0.43780000000000002</v>
      </c>
      <c r="DC38">
        <v>0.3</v>
      </c>
    </row>
    <row r="39" spans="1:107" x14ac:dyDescent="0.25">
      <c r="A39">
        <v>16</v>
      </c>
      <c r="B39">
        <f t="shared" si="54"/>
        <v>68.5</v>
      </c>
      <c r="C39">
        <f t="shared" si="55"/>
        <v>-111.5</v>
      </c>
      <c r="D39" t="str">
        <f t="shared" si="25"/>
        <v>SSComp_and_Normal</v>
      </c>
      <c r="E39">
        <v>75</v>
      </c>
      <c r="F39">
        <v>0.3</v>
      </c>
      <c r="G39">
        <f t="shared" si="26"/>
        <v>0.10995036801728915</v>
      </c>
      <c r="H39">
        <f t="shared" si="27"/>
        <v>0.3</v>
      </c>
      <c r="I39">
        <f t="shared" si="28"/>
        <v>68.5</v>
      </c>
      <c r="J39">
        <v>0.76200000000000001</v>
      </c>
      <c r="K39">
        <f t="shared" si="29"/>
        <v>762</v>
      </c>
      <c r="L39">
        <v>9.5250000000000005E-3</v>
      </c>
      <c r="M39">
        <f t="shared" si="30"/>
        <v>9.5250000000000004</v>
      </c>
      <c r="N39" s="3">
        <f t="shared" si="31"/>
        <v>80</v>
      </c>
      <c r="O39">
        <v>30</v>
      </c>
      <c r="P39" s="4" t="s">
        <v>70</v>
      </c>
      <c r="Q39" s="1">
        <f t="shared" si="32"/>
        <v>8</v>
      </c>
      <c r="R39" s="1">
        <f t="shared" si="33"/>
        <v>10</v>
      </c>
      <c r="S39" s="1">
        <f t="shared" si="34"/>
        <v>359000</v>
      </c>
      <c r="T39" s="1">
        <f t="shared" si="35"/>
        <v>455000</v>
      </c>
      <c r="U39" s="1">
        <f t="shared" si="36"/>
        <v>1.9969902892117808</v>
      </c>
      <c r="V39" s="3">
        <v>1.9041242414694344</v>
      </c>
      <c r="W39" s="1">
        <f t="shared" si="37"/>
        <v>0.69164119173371341</v>
      </c>
      <c r="X39" s="1">
        <v>90</v>
      </c>
      <c r="Y39" s="1" t="s">
        <v>78</v>
      </c>
      <c r="Z39" t="s">
        <v>81</v>
      </c>
      <c r="AA39">
        <f t="shared" si="38"/>
        <v>19</v>
      </c>
      <c r="AB39" s="1">
        <f t="shared" si="39"/>
        <v>43</v>
      </c>
      <c r="AC39">
        <f t="shared" si="40"/>
        <v>0</v>
      </c>
      <c r="AD39">
        <f t="shared" si="41"/>
        <v>0</v>
      </c>
      <c r="AE39">
        <v>0.9</v>
      </c>
      <c r="AF39" s="1">
        <v>2.5</v>
      </c>
      <c r="AG39" s="1">
        <f t="shared" si="14"/>
        <v>3.2808398950131235</v>
      </c>
      <c r="AH39">
        <f t="shared" si="42"/>
        <v>91.098845048535139</v>
      </c>
      <c r="AI39">
        <f>IF(Z39="medium dense",'[1]Coefficient Normal'!$E$18 + ('[1]Coefficient Normal'!$E$19*AG39) + ('[1]Coefficient Normal'!$E$20*(AG39^2)) + ('[1]Coefficient Normal'!$E$21*(AG39^3)) + ('[1]Coefficient Normal'!$E$22*(AG39^4)),IF(Z39="dense",'[1]Coefficient Normal'!$F$18 + ('[1]Coefficient Normal'!$F$19*AG39) + ('[1]Coefficient Normal'!$F$20*(AG39^2)) + ('[1]Coefficient Normal'!$F$21*(AG39^3)) + ('[1]Coefficient Normal'!$F$22*(AG39^4)),IF(Z39="very dense",'[1]Coefficient Normal'!$G$18 + ('[1]Coefficient Normal'!$G$19*AG39) + ('[1]Coefficient Normal'!$G$20*(AG39^2)) + ('[1]Coefficient Normal'!$G$21*(AG39^3)) + ('[1]Coefficient Normal'!$G$22*(AG39^4)),0)))</f>
        <v>18.946620562042259</v>
      </c>
      <c r="AJ39">
        <f t="shared" si="15"/>
        <v>80</v>
      </c>
      <c r="AK39">
        <f t="shared" si="16"/>
        <v>1127.0623712431197</v>
      </c>
      <c r="AL39">
        <f t="shared" si="43"/>
        <v>7.0273698552263655</v>
      </c>
      <c r="AM39">
        <f t="shared" si="17"/>
        <v>4.3820266346738812</v>
      </c>
      <c r="AN39">
        <f t="shared" si="18"/>
        <v>4.511945126342904</v>
      </c>
      <c r="AO39">
        <v>0.3</v>
      </c>
      <c r="AP39" s="5">
        <f>VLOOKUP(X39,'[1]Coefficient Normal'!$A$3:$H$7,2,TRUE)</f>
        <v>14.575100000000001</v>
      </c>
      <c r="AQ39" s="5">
        <f>VLOOKUP(X39,'[1]Coefficient Normal'!$A$3:$H$7,3,TRUE)</f>
        <v>0.1356</v>
      </c>
      <c r="AR39" s="5">
        <f>VLOOKUP(X39,'[1]Coefficient Normal'!$A$3:$H$7,4,TRUE)</f>
        <v>2.9990000000000001</v>
      </c>
      <c r="AS39" s="5">
        <f>VLOOKUP(X39,'[1]Coefficient Normal'!$A$3:$H$7,5,TRUE)</f>
        <v>-0.94710000000000005</v>
      </c>
      <c r="AT39" s="5">
        <f>VLOOKUP(X39,'[1]Coefficient Normal'!$A$3:$H$7,6,TRUE)</f>
        <v>0.6603</v>
      </c>
      <c r="AU39" s="5">
        <f>VLOOKUP(X39,'[1]Coefficient Normal'!$A$3:$H$7,7,TRUE)</f>
        <v>-1.2488999999999999</v>
      </c>
      <c r="AV39" s="5">
        <f>VLOOKUP(X39,'[1]Coefficient Normal'!$A$3:$H$7,8,TRUE)</f>
        <v>-0.44140000000000001</v>
      </c>
      <c r="AX39" s="5">
        <f t="shared" si="19"/>
        <v>-0.24043353396761535</v>
      </c>
      <c r="BB39">
        <f t="shared" si="20"/>
        <v>-5.2755169600000009</v>
      </c>
      <c r="BC39">
        <f t="shared" si="21"/>
        <v>0.31852483999999998</v>
      </c>
      <c r="BD39" s="5">
        <f>VLOOKUP(X61,'[1]Coefficient Normal'!$A$10:$P$14,2,TRUE)</f>
        <v>5.1353999999999997</v>
      </c>
      <c r="BE39" s="5">
        <f>VLOOKUP(X61,'[1]Coefficient Normal'!$A$10:$P$14,3,TRUE)</f>
        <v>-4.9599999999999998E-2</v>
      </c>
      <c r="BF39" s="5">
        <f>VLOOKUP(X61,'[1]Coefficient Normal'!$A$10:$P$14,4,TRUE)</f>
        <v>0.44590000000000002</v>
      </c>
      <c r="BG39" s="5">
        <f>VLOOKUP(X61,'[1]Coefficient Normal'!$A$10:$P$14,5,TRUE)</f>
        <v>-0.83709999999999996</v>
      </c>
      <c r="BH39" s="5">
        <f>VLOOKUP(X61,'[1]Coefficient Normal'!$A$10:$P$14,6,TRUE)</f>
        <v>0.63090000000000002</v>
      </c>
      <c r="BI39" s="5">
        <f>VLOOKUP(X61,'[1]Coefficient Normal'!$A$10:$P$14,7,TRUE)</f>
        <v>0.91390000000000005</v>
      </c>
      <c r="BJ39" s="5">
        <f>VLOOKUP(X61,'[1]Coefficient Normal'!$A$10:$P$14,8,TRUE)</f>
        <v>2.5000000000000001E-3</v>
      </c>
      <c r="BK39" s="5">
        <f>VLOOKUP(X61,'[1]Coefficient Normal'!$A$10:$P$14,9,TRUE)</f>
        <v>1.6000000000000001E-3</v>
      </c>
      <c r="BL39" s="5">
        <f>VLOOKUP(X61,'[1]Coefficient Normal'!$A$10:$P$14,10,TRUE)</f>
        <v>-9.7500000000000003E-2</v>
      </c>
      <c r="BM39" s="5">
        <f>VLOOKUP(X61,'[1]Coefficient Normal'!$A$10:$P$14,11,TRUE)</f>
        <v>1.1999999999999999E-3</v>
      </c>
      <c r="BN39" s="5">
        <f>VLOOKUP(X61,'[1]Coefficient Normal'!$A$10:$P$14,12,TRUE)</f>
        <v>0.46479999999999999</v>
      </c>
      <c r="BO39" s="5">
        <f>VLOOKUP(X61,'[1]Coefficient Normal'!$A$10:$P$14,13,TRUE)</f>
        <v>8.0000000000000004E-4</v>
      </c>
      <c r="BP39" s="5">
        <f>VLOOKUP(X61,'[1]Coefficient Normal'!$A$10:$P$14,14,TRUE)</f>
        <v>6.7900000000000002E-2</v>
      </c>
      <c r="BQ39" s="5">
        <f>VLOOKUP(X61,'[1]Coefficient Normal'!$A$10:$P$14,15,TRUE)</f>
        <v>0.58979999999999999</v>
      </c>
      <c r="CB39">
        <f t="shared" si="44"/>
        <v>0</v>
      </c>
      <c r="CE39" s="6">
        <f>IF(Y61="sand",1,0)</f>
        <v>1</v>
      </c>
      <c r="CF39" s="6">
        <f>IF(CK39&lt;AX61,1,0)</f>
        <v>1</v>
      </c>
      <c r="CG39" s="6">
        <f>IF(O61&lt;100,1,0)</f>
        <v>0</v>
      </c>
      <c r="CH39">
        <f t="shared" si="22"/>
        <v>4.2130700000000001</v>
      </c>
      <c r="CI39" s="5">
        <f t="shared" si="45"/>
        <v>1.1401471126213381</v>
      </c>
      <c r="CJ39">
        <f t="shared" si="46"/>
        <v>0.72816040206931676</v>
      </c>
      <c r="CK39">
        <f t="shared" si="47"/>
        <v>-1.2039728043259361</v>
      </c>
      <c r="CN39">
        <f t="shared" si="23"/>
        <v>0.92480029573556288</v>
      </c>
      <c r="CP39" s="5">
        <f>CK39-AX39</f>
        <v>-0.96353927035832077</v>
      </c>
      <c r="CQ39" s="5">
        <f>CI39*CP39</f>
        <v>-1.0985765169963102</v>
      </c>
      <c r="CR39" s="5">
        <f t="shared" si="48"/>
        <v>-0.2173485210798245</v>
      </c>
      <c r="CS39" s="5">
        <f t="shared" si="49"/>
        <v>2.0118763318363011</v>
      </c>
      <c r="CT39" s="5">
        <f t="shared" si="50"/>
        <v>-5.8826113058099905</v>
      </c>
      <c r="CU39" s="5">
        <f t="shared" si="51"/>
        <v>-0.17148412352712514</v>
      </c>
      <c r="CV39">
        <f t="shared" si="24"/>
        <v>-1.0966148331302419</v>
      </c>
      <c r="CW39">
        <f t="shared" si="52"/>
        <v>0.33399981726036504</v>
      </c>
      <c r="CX39">
        <v>0.57099999999999995</v>
      </c>
      <c r="CY39">
        <v>0.3</v>
      </c>
      <c r="CZ39" s="5">
        <f>BD39+CQ39+CR39+CS39+CT39+CU39</f>
        <v>-0.22274413557694947</v>
      </c>
      <c r="DA39" s="7">
        <f t="shared" si="53"/>
        <v>0.80031959641147754</v>
      </c>
      <c r="DB39">
        <f>VLOOKUP(E39,'[1]Coefficient Normal'!$A$10:$P$14,16,TRUE)</f>
        <v>0.43780000000000002</v>
      </c>
      <c r="DC39">
        <v>0.3</v>
      </c>
    </row>
    <row r="40" spans="1:107" x14ac:dyDescent="0.25">
      <c r="A40">
        <v>17</v>
      </c>
      <c r="B40">
        <f t="shared" si="54"/>
        <v>73</v>
      </c>
      <c r="C40">
        <f t="shared" si="55"/>
        <v>-107</v>
      </c>
      <c r="D40" t="str">
        <f t="shared" si="25"/>
        <v>SSComp_and_Normal</v>
      </c>
      <c r="E40">
        <v>90</v>
      </c>
      <c r="F40">
        <v>0.5</v>
      </c>
      <c r="G40">
        <f t="shared" si="26"/>
        <v>0.14618585236136833</v>
      </c>
      <c r="H40">
        <f t="shared" si="27"/>
        <v>0.50000000000000011</v>
      </c>
      <c r="I40">
        <f t="shared" si="28"/>
        <v>73</v>
      </c>
      <c r="J40">
        <v>0.86360000000000003</v>
      </c>
      <c r="K40">
        <f t="shared" si="29"/>
        <v>863.6</v>
      </c>
      <c r="L40">
        <v>9.5250000000000005E-3</v>
      </c>
      <c r="M40">
        <f t="shared" si="30"/>
        <v>9.5250000000000004</v>
      </c>
      <c r="N40" s="3">
        <f t="shared" si="31"/>
        <v>90.666666666666671</v>
      </c>
      <c r="O40">
        <v>50</v>
      </c>
      <c r="P40" s="4" t="s">
        <v>75</v>
      </c>
      <c r="Q40" s="1">
        <f t="shared" si="32"/>
        <v>14</v>
      </c>
      <c r="R40" s="1">
        <f t="shared" si="33"/>
        <v>15</v>
      </c>
      <c r="S40" s="1">
        <f t="shared" si="34"/>
        <v>483000</v>
      </c>
      <c r="T40" s="1">
        <f t="shared" si="35"/>
        <v>565000</v>
      </c>
      <c r="U40" s="1">
        <f t="shared" si="36"/>
        <v>2.8799444073326219</v>
      </c>
      <c r="V40" s="3">
        <v>2.7690517990613435</v>
      </c>
      <c r="W40" s="1">
        <f t="shared" si="37"/>
        <v>1.0577709909520427</v>
      </c>
      <c r="X40" s="1">
        <v>45</v>
      </c>
      <c r="Y40" s="1" t="s">
        <v>78</v>
      </c>
      <c r="Z40" t="s">
        <v>79</v>
      </c>
      <c r="AA40">
        <f t="shared" si="38"/>
        <v>18</v>
      </c>
      <c r="AB40" s="1">
        <f t="shared" si="39"/>
        <v>37</v>
      </c>
      <c r="AC40">
        <f t="shared" si="40"/>
        <v>0</v>
      </c>
      <c r="AD40">
        <f t="shared" si="41"/>
        <v>0</v>
      </c>
      <c r="AE40">
        <v>0.9</v>
      </c>
      <c r="AF40" s="1">
        <v>1</v>
      </c>
      <c r="AG40" s="1">
        <f t="shared" si="14"/>
        <v>1.8</v>
      </c>
      <c r="AH40">
        <f t="shared" si="42"/>
        <v>32.078881272596128</v>
      </c>
      <c r="AI40">
        <f>IF(Z40="medium dense",'[1]Coefficient Normal'!$E$18 + ('[1]Coefficient Normal'!$E$19*AG40) + ('[1]Coefficient Normal'!$E$20*(AG40^2)) + ('[1]Coefficient Normal'!$E$21*(AG40^3)) + ('[1]Coefficient Normal'!$E$22*(AG40^4)),IF(Z40="dense",'[1]Coefficient Normal'!$F$18 + ('[1]Coefficient Normal'!$F$19*AG40) + ('[1]Coefficient Normal'!$F$20*(AG40^2)) + ('[1]Coefficient Normal'!$F$21*(AG40^3)) + ('[1]Coefficient Normal'!$F$22*(AG40^4)),IF(Z40="very dense",'[1]Coefficient Normal'!$G$18 + ('[1]Coefficient Normal'!$G$19*AG40) + ('[1]Coefficient Normal'!$G$20*(AG40^2)) + ('[1]Coefficient Normal'!$G$21*(AG40^3)) + ('[1]Coefficient Normal'!$G$22*(AG40^4)),0)))</f>
        <v>12.698394373823998</v>
      </c>
      <c r="AJ40">
        <f t="shared" si="15"/>
        <v>64.071522599936642</v>
      </c>
      <c r="AK40">
        <f t="shared" si="16"/>
        <v>627.45773501028293</v>
      </c>
      <c r="AL40">
        <f t="shared" si="43"/>
        <v>6.4416763141722324</v>
      </c>
      <c r="AM40">
        <f t="shared" si="17"/>
        <v>4.5071897776278878</v>
      </c>
      <c r="AN40">
        <f t="shared" si="18"/>
        <v>3.4681979093414856</v>
      </c>
      <c r="AO40">
        <v>0.5</v>
      </c>
      <c r="AP40" s="5">
        <f>VLOOKUP(X40,'[1]Coefficient Normal'!$A$3:$H$7,2,TRUE)</f>
        <v>3.7532999999999999</v>
      </c>
      <c r="AQ40" s="5">
        <f>VLOOKUP(X40,'[1]Coefficient Normal'!$A$3:$H$7,3,TRUE)</f>
        <v>0.14510000000000001</v>
      </c>
      <c r="AR40" s="5">
        <f>VLOOKUP(X40,'[1]Coefficient Normal'!$A$3:$H$7,4,TRUE)</f>
        <v>1.2497</v>
      </c>
      <c r="AS40" s="5">
        <f>VLOOKUP(X40,'[1]Coefficient Normal'!$A$3:$H$7,5,TRUE)</f>
        <v>-0.46100000000000002</v>
      </c>
      <c r="AT40" s="5">
        <f>VLOOKUP(X40,'[1]Coefficient Normal'!$A$3:$H$7,6,TRUE)</f>
        <v>0.39140000000000003</v>
      </c>
      <c r="AU40" s="5">
        <f>VLOOKUP(X40,'[1]Coefficient Normal'!$A$3:$H$7,7,TRUE)</f>
        <v>-0.21310000000000001</v>
      </c>
      <c r="AV40" s="5">
        <f>VLOOKUP(X40,'[1]Coefficient Normal'!$A$3:$H$7,8,TRUE)</f>
        <v>-0.34139999999999998</v>
      </c>
      <c r="AX40" s="5">
        <f t="shared" si="19"/>
        <v>-8.2895354092242579E-2</v>
      </c>
      <c r="BB40">
        <f t="shared" si="20"/>
        <v>-4.8550458880000011</v>
      </c>
      <c r="BC40">
        <f t="shared" si="21"/>
        <v>0.34683215199999995</v>
      </c>
      <c r="BD40" s="5">
        <f>VLOOKUP(X62,'[1]Coefficient Normal'!$A$10:$P$14,2,TRUE)</f>
        <v>-1.1082000000000001</v>
      </c>
      <c r="BE40" s="5">
        <f>VLOOKUP(X62,'[1]Coefficient Normal'!$A$10:$P$14,3,TRUE)</f>
        <v>0.10630000000000001</v>
      </c>
      <c r="BF40" s="5">
        <f>VLOOKUP(X62,'[1]Coefficient Normal'!$A$10:$P$14,4,TRUE)</f>
        <v>-0.1439</v>
      </c>
      <c r="BG40" s="5">
        <f>VLOOKUP(X62,'[1]Coefficient Normal'!$A$10:$P$14,5,TRUE)</f>
        <v>0.27879999999999999</v>
      </c>
      <c r="BH40" s="5">
        <f>VLOOKUP(X62,'[1]Coefficient Normal'!$A$10:$P$14,6,TRUE)</f>
        <v>-0.31030000000000002</v>
      </c>
      <c r="BI40" s="5">
        <f>VLOOKUP(X62,'[1]Coefficient Normal'!$A$10:$P$14,7,TRUE)</f>
        <v>1.2553000000000001</v>
      </c>
      <c r="BJ40" s="5">
        <f>VLOOKUP(X62,'[1]Coefficient Normal'!$A$10:$P$14,8,TRUE)</f>
        <v>2.9999999999999997E-4</v>
      </c>
      <c r="BK40" s="5">
        <f>VLOOKUP(X62,'[1]Coefficient Normal'!$A$10:$P$14,9,TRUE)</f>
        <v>5.1999999999999998E-3</v>
      </c>
      <c r="BL40" s="5">
        <f>VLOOKUP(X62,'[1]Coefficient Normal'!$A$10:$P$14,10,TRUE)</f>
        <v>-8.5900000000000004E-2</v>
      </c>
      <c r="BM40" s="5">
        <f>VLOOKUP(X62,'[1]Coefficient Normal'!$A$10:$P$14,11,TRUE)</f>
        <v>5.9999999999999995E-4</v>
      </c>
      <c r="BN40" s="5">
        <f>VLOOKUP(X62,'[1]Coefficient Normal'!$A$10:$P$14,12,TRUE)</f>
        <v>-0.21759999999999999</v>
      </c>
      <c r="BO40" s="5">
        <f>VLOOKUP(X62,'[1]Coefficient Normal'!$A$10:$P$14,13,TRUE)</f>
        <v>-2.69E-2</v>
      </c>
      <c r="BP40" s="5">
        <f>VLOOKUP(X62,'[1]Coefficient Normal'!$A$10:$P$14,14,TRUE)</f>
        <v>0.57389999999999997</v>
      </c>
      <c r="BQ40" s="5">
        <f>VLOOKUP(X62,'[1]Coefficient Normal'!$A$10:$P$14,15,TRUE)</f>
        <v>0.34460000000000002</v>
      </c>
      <c r="CB40">
        <f t="shared" si="44"/>
        <v>0</v>
      </c>
      <c r="CE40" s="6">
        <f>IF(Y62="sand",1,0)</f>
        <v>1</v>
      </c>
      <c r="CF40" s="6">
        <f>IF(CK40&lt;AX62,1,0)</f>
        <v>1</v>
      </c>
      <c r="CG40" s="6">
        <f>IF(O62&lt;100,1,0)</f>
        <v>1</v>
      </c>
      <c r="CH40">
        <f t="shared" si="22"/>
        <v>3.9944699999999997</v>
      </c>
      <c r="CI40" s="5">
        <f t="shared" si="45"/>
        <v>1.0593236643817789</v>
      </c>
      <c r="CJ40">
        <f t="shared" si="46"/>
        <v>0.73405717969518491</v>
      </c>
      <c r="CK40">
        <f t="shared" si="47"/>
        <v>-0.69314718055994506</v>
      </c>
      <c r="CN40">
        <f t="shared" si="23"/>
        <v>0.93746890399272054</v>
      </c>
      <c r="CP40" s="5">
        <f>CK40-AX40</f>
        <v>-0.61025182646770249</v>
      </c>
      <c r="CQ40" s="5">
        <f>CI40*CP40</f>
        <v>-0.64645420100944007</v>
      </c>
      <c r="CR40" s="5">
        <f t="shared" si="48"/>
        <v>0.47911427336184448</v>
      </c>
      <c r="CS40" s="5">
        <f t="shared" si="49"/>
        <v>-0.49907367915423978</v>
      </c>
      <c r="CT40" s="5">
        <f t="shared" si="50"/>
        <v>1.7959393563912183</v>
      </c>
      <c r="CU40" s="5">
        <f t="shared" si="51"/>
        <v>4.550412357996271E-2</v>
      </c>
      <c r="CV40">
        <f t="shared" si="24"/>
        <v>-1.2970530598538033</v>
      </c>
      <c r="CW40">
        <f t="shared" si="52"/>
        <v>0.27333611247455469</v>
      </c>
      <c r="CX40">
        <v>0.57099999999999995</v>
      </c>
      <c r="CY40">
        <v>0.3</v>
      </c>
      <c r="CZ40" s="5">
        <f>BD40+CQ40+CR40+CS40+CT40+CU40</f>
        <v>6.6829873169345536E-2</v>
      </c>
      <c r="DA40" s="7">
        <f t="shared" si="53"/>
        <v>1.0691135777973713</v>
      </c>
      <c r="DB40">
        <f>VLOOKUP(E40,'[1]Coefficient Normal'!$A$10:$P$14,16,TRUE)</f>
        <v>0.34749999999999998</v>
      </c>
      <c r="DC40">
        <v>0.3</v>
      </c>
    </row>
    <row r="41" spans="1:107" x14ac:dyDescent="0.25">
      <c r="A41">
        <v>18</v>
      </c>
      <c r="B41">
        <f t="shared" si="54"/>
        <v>77.5</v>
      </c>
      <c r="C41">
        <f t="shared" si="55"/>
        <v>-102.5</v>
      </c>
      <c r="D41" t="str">
        <f t="shared" si="25"/>
        <v>SSComp_and_Normal</v>
      </c>
      <c r="E41">
        <v>90</v>
      </c>
      <c r="F41">
        <v>0.7</v>
      </c>
      <c r="G41">
        <f t="shared" si="26"/>
        <v>0.15150772975667195</v>
      </c>
      <c r="H41">
        <f t="shared" si="27"/>
        <v>0.7</v>
      </c>
      <c r="I41">
        <f t="shared" si="28"/>
        <v>77.5</v>
      </c>
      <c r="J41">
        <v>1.0668</v>
      </c>
      <c r="K41">
        <f t="shared" si="29"/>
        <v>1066.8</v>
      </c>
      <c r="L41">
        <v>9.5250000000000005E-3</v>
      </c>
      <c r="M41">
        <f t="shared" si="30"/>
        <v>9.5250000000000004</v>
      </c>
      <c r="N41" s="3">
        <f t="shared" si="31"/>
        <v>111.99999999999999</v>
      </c>
      <c r="O41">
        <v>100</v>
      </c>
      <c r="P41" s="4" t="s">
        <v>77</v>
      </c>
      <c r="Q41" s="1">
        <f t="shared" si="32"/>
        <v>15</v>
      </c>
      <c r="R41" s="1">
        <f t="shared" si="33"/>
        <v>20</v>
      </c>
      <c r="S41" s="1">
        <f t="shared" si="34"/>
        <v>552000</v>
      </c>
      <c r="T41" s="1">
        <f t="shared" si="35"/>
        <v>625000</v>
      </c>
      <c r="U41" s="1">
        <f t="shared" si="36"/>
        <v>2.9888368774026359</v>
      </c>
      <c r="V41" s="3">
        <v>2.8464933991254466</v>
      </c>
      <c r="W41" s="1">
        <f t="shared" si="37"/>
        <v>1.0948843075076633</v>
      </c>
      <c r="X41" s="1">
        <v>60</v>
      </c>
      <c r="Y41" s="1" t="s">
        <v>78</v>
      </c>
      <c r="Z41" t="s">
        <v>80</v>
      </c>
      <c r="AA41">
        <f t="shared" si="38"/>
        <v>18.5</v>
      </c>
      <c r="AB41" s="1">
        <f t="shared" si="39"/>
        <v>40</v>
      </c>
      <c r="AC41">
        <f t="shared" si="40"/>
        <v>0</v>
      </c>
      <c r="AD41">
        <f t="shared" si="41"/>
        <v>0</v>
      </c>
      <c r="AE41">
        <v>0.9</v>
      </c>
      <c r="AF41" s="1">
        <v>1.2</v>
      </c>
      <c r="AG41" s="1">
        <f t="shared" si="14"/>
        <v>1.8</v>
      </c>
      <c r="AH41">
        <f t="shared" si="42"/>
        <v>54.056372032110822</v>
      </c>
      <c r="AI41">
        <f>IF(Z41="medium dense",'[1]Coefficient Normal'!$E$18 + ('[1]Coefficient Normal'!$E$19*AG41) + ('[1]Coefficient Normal'!$E$20*(AG41^2)) + ('[1]Coefficient Normal'!$E$21*(AG41^3)) + ('[1]Coefficient Normal'!$E$22*(AG41^4)),IF(Z41="dense",'[1]Coefficient Normal'!$F$18 + ('[1]Coefficient Normal'!$F$19*AG41) + ('[1]Coefficient Normal'!$F$20*(AG41^2)) + ('[1]Coefficient Normal'!$F$21*(AG41^3)) + ('[1]Coefficient Normal'!$F$22*(AG41^4)),IF(Z41="very dense",'[1]Coefficient Normal'!$G$18 + ('[1]Coefficient Normal'!$G$19*AG41) + ('[1]Coefficient Normal'!$G$20*(AG41^2)) + ('[1]Coefficient Normal'!$G$21*(AG41^3)) + ('[1]Coefficient Normal'!$G$22*(AG41^4)),0)))</f>
        <v>15.892875891056001</v>
      </c>
      <c r="AJ41">
        <f t="shared" si="15"/>
        <v>80</v>
      </c>
      <c r="AK41">
        <f t="shared" si="16"/>
        <v>1218.5564016128435</v>
      </c>
      <c r="AL41">
        <f t="shared" si="43"/>
        <v>7.1054221597353733</v>
      </c>
      <c r="AM41">
        <f t="shared" si="17"/>
        <v>4.7184988712950942</v>
      </c>
      <c r="AN41">
        <f t="shared" si="18"/>
        <v>3.9900274285724762</v>
      </c>
      <c r="AO41">
        <v>0.7</v>
      </c>
      <c r="AP41" s="5">
        <f>VLOOKUP(X41,'[1]Coefficient Normal'!$A$3:$H$7,2,TRUE)</f>
        <v>4.3182999999999998</v>
      </c>
      <c r="AQ41" s="5">
        <f>VLOOKUP(X41,'[1]Coefficient Normal'!$A$3:$H$7,3,TRUE)</f>
        <v>-2.7900000000000001E-2</v>
      </c>
      <c r="AR41" s="5">
        <f>VLOOKUP(X41,'[1]Coefficient Normal'!$A$3:$H$7,4,TRUE)</f>
        <v>1.0497000000000001</v>
      </c>
      <c r="AS41" s="5">
        <f>VLOOKUP(X41,'[1]Coefficient Normal'!$A$3:$H$7,5,TRUE)</f>
        <v>-0.46910000000000002</v>
      </c>
      <c r="AT41" s="5">
        <f>VLOOKUP(X41,'[1]Coefficient Normal'!$A$3:$H$7,6,TRUE)</f>
        <v>0.29149999999999998</v>
      </c>
      <c r="AU41" s="5">
        <f>VLOOKUP(X41,'[1]Coefficient Normal'!$A$3:$H$7,7,TRUE)</f>
        <v>-0.28610000000000002</v>
      </c>
      <c r="AV41" s="5">
        <f>VLOOKUP(X41,'[1]Coefficient Normal'!$A$3:$H$7,8,TRUE)</f>
        <v>-0.1348</v>
      </c>
      <c r="AX41" s="5">
        <f t="shared" si="19"/>
        <v>-0.2073129804089624</v>
      </c>
      <c r="BB41">
        <f t="shared" si="20"/>
        <v>-3.8540037440000008</v>
      </c>
      <c r="BC41">
        <f t="shared" si="21"/>
        <v>0.423146776</v>
      </c>
      <c r="BD41" s="5">
        <f>VLOOKUP(X63,'[1]Coefficient Normal'!$A$10:$P$14,2,TRUE)</f>
        <v>-2.1276999999999999</v>
      </c>
      <c r="BE41" s="5">
        <f>VLOOKUP(X63,'[1]Coefficient Normal'!$A$10:$P$14,3,TRUE)</f>
        <v>0.14760000000000001</v>
      </c>
      <c r="BF41" s="5">
        <f>VLOOKUP(X63,'[1]Coefficient Normal'!$A$10:$P$14,4,TRUE)</f>
        <v>-0.21829999999999999</v>
      </c>
      <c r="BG41" s="5">
        <f>VLOOKUP(X63,'[1]Coefficient Normal'!$A$10:$P$14,5,TRUE)</f>
        <v>0.42270000000000002</v>
      </c>
      <c r="BH41" s="5">
        <f>VLOOKUP(X63,'[1]Coefficient Normal'!$A$10:$P$14,6,TRUE)</f>
        <v>-0.53720000000000001</v>
      </c>
      <c r="BI41" s="5">
        <f>VLOOKUP(X63,'[1]Coefficient Normal'!$A$10:$P$14,7,TRUE)</f>
        <v>1.252</v>
      </c>
      <c r="BJ41" s="5">
        <f>VLOOKUP(X63,'[1]Coefficient Normal'!$A$10:$P$14,8,TRUE)</f>
        <v>-5.9999999999999995E-4</v>
      </c>
      <c r="BK41" s="5">
        <f>VLOOKUP(X63,'[1]Coefficient Normal'!$A$10:$P$14,9,TRUE)</f>
        <v>5.3E-3</v>
      </c>
      <c r="BL41" s="5">
        <f>VLOOKUP(X63,'[1]Coefficient Normal'!$A$10:$P$14,10,TRUE)</f>
        <v>-4.8500000000000001E-2</v>
      </c>
      <c r="BM41" s="5">
        <f>VLOOKUP(X63,'[1]Coefficient Normal'!$A$10:$P$14,11,TRUE)</f>
        <v>1.2999999999999999E-3</v>
      </c>
      <c r="BN41" s="5">
        <f>VLOOKUP(X63,'[1]Coefficient Normal'!$A$10:$P$14,12,TRUE)</f>
        <v>-0.56599999999999995</v>
      </c>
      <c r="BO41" s="5">
        <f>VLOOKUP(X63,'[1]Coefficient Normal'!$A$10:$P$14,13,TRUE)</f>
        <v>-3.2099999999999997E-2</v>
      </c>
      <c r="BP41" s="5">
        <f>VLOOKUP(X63,'[1]Coefficient Normal'!$A$10:$P$14,14,TRUE)</f>
        <v>0.84970000000000001</v>
      </c>
      <c r="BQ41" s="5">
        <f>VLOOKUP(X63,'[1]Coefficient Normal'!$A$10:$P$14,15,TRUE)</f>
        <v>9.01E-2</v>
      </c>
      <c r="CB41">
        <f t="shared" si="44"/>
        <v>0</v>
      </c>
      <c r="CE41" s="6">
        <f>IF(Y63="sand",1,0)</f>
        <v>1</v>
      </c>
      <c r="CF41" s="6">
        <f>IF(CK41&lt;AX63,1,0)</f>
        <v>1</v>
      </c>
      <c r="CG41" s="6">
        <f>IF(O63&lt;100,1,0)</f>
        <v>1</v>
      </c>
      <c r="CH41">
        <f t="shared" si="22"/>
        <v>3.4479699999999998</v>
      </c>
      <c r="CI41" s="5">
        <f t="shared" si="45"/>
        <v>1.3651661767807335</v>
      </c>
      <c r="CJ41">
        <f t="shared" si="46"/>
        <v>0.5704472806207479</v>
      </c>
      <c r="CK41">
        <f t="shared" si="47"/>
        <v>-0.35667494393873245</v>
      </c>
      <c r="CN41">
        <f t="shared" si="23"/>
        <v>0.64818563502819404</v>
      </c>
      <c r="CP41" s="5">
        <f>CK41-AX41</f>
        <v>-0.14936196352977005</v>
      </c>
      <c r="CQ41" s="5">
        <f>CI41*CP41</f>
        <v>-0.20390390070839953</v>
      </c>
      <c r="CR41" s="5">
        <f t="shared" si="48"/>
        <v>0.69645043340315593</v>
      </c>
      <c r="CS41" s="5">
        <f t="shared" si="49"/>
        <v>-0.87102298765737152</v>
      </c>
      <c r="CT41" s="5">
        <f t="shared" si="50"/>
        <v>3.0034619469201425</v>
      </c>
      <c r="CU41" s="5">
        <f t="shared" si="51"/>
        <v>-3.4737239358577927E-2</v>
      </c>
      <c r="CV41">
        <f t="shared" si="24"/>
        <v>-2.4681777770931332</v>
      </c>
      <c r="CW41">
        <f t="shared" si="52"/>
        <v>8.4739131986406327E-2</v>
      </c>
      <c r="CX41">
        <v>0.57099999999999995</v>
      </c>
      <c r="CY41">
        <v>0.3</v>
      </c>
      <c r="CZ41" s="5">
        <f>BD41+CQ41+CR41+CS41+CT41+CU41</f>
        <v>0.46254825259894988</v>
      </c>
      <c r="DA41" s="7">
        <f t="shared" si="53"/>
        <v>1.5881157531796817</v>
      </c>
      <c r="DB41">
        <f>VLOOKUP(E41,'[1]Coefficient Normal'!$A$10:$P$14,16,TRUE)</f>
        <v>0.34749999999999998</v>
      </c>
      <c r="DC41">
        <v>0.3</v>
      </c>
    </row>
    <row r="42" spans="1:107" x14ac:dyDescent="0.25">
      <c r="A42">
        <v>19</v>
      </c>
      <c r="B42">
        <f t="shared" si="54"/>
        <v>82</v>
      </c>
      <c r="C42">
        <f t="shared" si="55"/>
        <v>-98</v>
      </c>
      <c r="D42" t="str">
        <f t="shared" si="25"/>
        <v>SSComp_and_Normal</v>
      </c>
      <c r="E42">
        <v>90</v>
      </c>
      <c r="F42">
        <v>0.6</v>
      </c>
      <c r="G42">
        <f t="shared" si="26"/>
        <v>8.3503860576039216E-2</v>
      </c>
      <c r="H42">
        <f t="shared" si="27"/>
        <v>0.6</v>
      </c>
      <c r="I42">
        <f t="shared" si="28"/>
        <v>82</v>
      </c>
      <c r="J42">
        <v>0.60960000000000003</v>
      </c>
      <c r="K42">
        <f t="shared" si="29"/>
        <v>609.6</v>
      </c>
      <c r="L42">
        <v>9.5250000000000005E-3</v>
      </c>
      <c r="M42">
        <f t="shared" si="30"/>
        <v>9.5250000000000004</v>
      </c>
      <c r="N42" s="3">
        <f t="shared" si="31"/>
        <v>64</v>
      </c>
      <c r="O42">
        <v>150</v>
      </c>
      <c r="P42" s="4" t="s">
        <v>70</v>
      </c>
      <c r="Q42" s="1">
        <f t="shared" si="32"/>
        <v>8</v>
      </c>
      <c r="R42" s="1">
        <f t="shared" si="33"/>
        <v>10</v>
      </c>
      <c r="S42" s="1">
        <f t="shared" si="34"/>
        <v>359000</v>
      </c>
      <c r="T42" s="1">
        <f t="shared" si="35"/>
        <v>455000</v>
      </c>
      <c r="U42" s="1">
        <f t="shared" si="36"/>
        <v>1.9969902892117808</v>
      </c>
      <c r="V42" s="3">
        <v>1.9041242414694344</v>
      </c>
      <c r="W42" s="1">
        <f t="shared" si="37"/>
        <v>0.69164119173371341</v>
      </c>
      <c r="X42" s="1">
        <v>75</v>
      </c>
      <c r="Y42" s="1" t="s">
        <v>78</v>
      </c>
      <c r="Z42" t="s">
        <v>81</v>
      </c>
      <c r="AA42">
        <f t="shared" si="38"/>
        <v>19</v>
      </c>
      <c r="AB42" s="1">
        <f t="shared" si="39"/>
        <v>43</v>
      </c>
      <c r="AC42">
        <f t="shared" si="40"/>
        <v>0</v>
      </c>
      <c r="AD42">
        <f t="shared" si="41"/>
        <v>0</v>
      </c>
      <c r="AE42">
        <v>0.9</v>
      </c>
      <c r="AF42" s="1">
        <v>0.8</v>
      </c>
      <c r="AG42" s="1">
        <f t="shared" si="14"/>
        <v>1.8</v>
      </c>
      <c r="AH42">
        <f t="shared" si="42"/>
        <v>23.321304332424997</v>
      </c>
      <c r="AI42">
        <f>IF(Z42="medium dense",'[1]Coefficient Normal'!$E$18 + ('[1]Coefficient Normal'!$E$19*AG42) + ('[1]Coefficient Normal'!$E$20*(AG42^2)) + ('[1]Coefficient Normal'!$E$21*(AG42^3)) + ('[1]Coefficient Normal'!$E$22*(AG42^4)),IF(Z42="dense",'[1]Coefficient Normal'!$F$18 + ('[1]Coefficient Normal'!$F$19*AG42) + ('[1]Coefficient Normal'!$F$20*(AG42^2)) + ('[1]Coefficient Normal'!$F$21*(AG42^3)) + ('[1]Coefficient Normal'!$F$22*(AG42^4)),IF(Z42="very dense",'[1]Coefficient Normal'!$G$18 + ('[1]Coefficient Normal'!$G$19*AG42) + ('[1]Coefficient Normal'!$G$20*(AG42^2)) + ('[1]Coefficient Normal'!$G$21*(AG42^3)) + ('[1]Coefficient Normal'!$G$22*(AG42^4)),0)))</f>
        <v>18.784824717152006</v>
      </c>
      <c r="AJ42">
        <f t="shared" si="15"/>
        <v>80</v>
      </c>
      <c r="AK42">
        <f t="shared" si="16"/>
        <v>456.48392464315316</v>
      </c>
      <c r="AL42">
        <f t="shared" si="43"/>
        <v>6.1235534850516817</v>
      </c>
      <c r="AM42">
        <f t="shared" si="17"/>
        <v>4.1588830833596715</v>
      </c>
      <c r="AN42">
        <f t="shared" si="18"/>
        <v>3.1493672918403295</v>
      </c>
      <c r="AO42">
        <v>0.6</v>
      </c>
      <c r="AP42" s="5">
        <f>VLOOKUP(X42,'[1]Coefficient Normal'!$A$3:$H$7,2,TRUE)</f>
        <v>5.5951000000000004</v>
      </c>
      <c r="AQ42" s="5">
        <f>VLOOKUP(X42,'[1]Coefficient Normal'!$A$3:$H$7,3,TRUE)</f>
        <v>1.6E-2</v>
      </c>
      <c r="AR42" s="5">
        <f>VLOOKUP(X42,'[1]Coefficient Normal'!$A$3:$H$7,4,TRUE)</f>
        <v>1.2641</v>
      </c>
      <c r="AS42" s="5">
        <f>VLOOKUP(X42,'[1]Coefficient Normal'!$A$3:$H$7,5,TRUE)</f>
        <v>-0.52429999999999999</v>
      </c>
      <c r="AT42" s="5">
        <f>VLOOKUP(X42,'[1]Coefficient Normal'!$A$3:$H$7,6,TRUE)</f>
        <v>0.35830000000000001</v>
      </c>
      <c r="AU42" s="5">
        <f>VLOOKUP(X42,'[1]Coefficient Normal'!$A$3:$H$7,7,TRUE)</f>
        <v>-0.35920000000000002</v>
      </c>
      <c r="AV42" s="5">
        <f>VLOOKUP(X42,'[1]Coefficient Normal'!$A$3:$H$7,8,TRUE)</f>
        <v>-0.2482</v>
      </c>
      <c r="AX42" s="5">
        <f t="shared" si="19"/>
        <v>0.13566025909879786</v>
      </c>
      <c r="BB42">
        <f t="shared" si="20"/>
        <v>-3.5047235680000006</v>
      </c>
      <c r="BC42">
        <f t="shared" si="21"/>
        <v>0.57156387200000003</v>
      </c>
      <c r="BD42" s="5">
        <f>VLOOKUP(X64,'[1]Coefficient Normal'!$A$10:$P$14,2,TRUE)</f>
        <v>-2.3450000000000002</v>
      </c>
      <c r="BE42" s="5">
        <f>VLOOKUP(X64,'[1]Coefficient Normal'!$A$10:$P$14,3,TRUE)</f>
        <v>0.19470000000000001</v>
      </c>
      <c r="BF42" s="5">
        <f>VLOOKUP(X64,'[1]Coefficient Normal'!$A$10:$P$14,4,TRUE)</f>
        <v>-0.2044</v>
      </c>
      <c r="BG42" s="5">
        <f>VLOOKUP(X64,'[1]Coefficient Normal'!$A$10:$P$14,5,TRUE)</f>
        <v>0.4143</v>
      </c>
      <c r="BH42" s="5">
        <f>VLOOKUP(X64,'[1]Coefficient Normal'!$A$10:$P$14,6,TRUE)</f>
        <v>-0.55710000000000004</v>
      </c>
      <c r="BI42" s="5">
        <f>VLOOKUP(X64,'[1]Coefficient Normal'!$A$10:$P$14,7,TRUE)</f>
        <v>1.0931</v>
      </c>
      <c r="BJ42" s="5">
        <f>VLOOKUP(X64,'[1]Coefficient Normal'!$A$10:$P$14,8,TRUE)</f>
        <v>1E-4</v>
      </c>
      <c r="BK42" s="5">
        <f>VLOOKUP(X64,'[1]Coefficient Normal'!$A$10:$P$14,9,TRUE)</f>
        <v>3.5000000000000001E-3</v>
      </c>
      <c r="BL42" s="5">
        <f>VLOOKUP(X64,'[1]Coefficient Normal'!$A$10:$P$14,10,TRUE)</f>
        <v>-4.07E-2</v>
      </c>
      <c r="BM42" s="5">
        <f>VLOOKUP(X64,'[1]Coefficient Normal'!$A$10:$P$14,11,TRUE)</f>
        <v>1.6000000000000001E-3</v>
      </c>
      <c r="BN42" s="5">
        <f>VLOOKUP(X64,'[1]Coefficient Normal'!$A$10:$P$14,12,TRUE)</f>
        <v>-0.65949999999999998</v>
      </c>
      <c r="BO42" s="5">
        <f>VLOOKUP(X64,'[1]Coefficient Normal'!$A$10:$P$14,13,TRUE)</f>
        <v>-3.0099999999999998E-2</v>
      </c>
      <c r="BP42" s="5">
        <f>VLOOKUP(X64,'[1]Coefficient Normal'!$A$10:$P$14,14,TRUE)</f>
        <v>0.84219999999999995</v>
      </c>
      <c r="BQ42" s="5">
        <f>VLOOKUP(X64,'[1]Coefficient Normal'!$A$10:$P$14,15,TRUE)</f>
        <v>0.50680000000000003</v>
      </c>
      <c r="CB42">
        <f t="shared" si="44"/>
        <v>0</v>
      </c>
      <c r="CE42" s="6">
        <f>IF(Y64="sand",1,0)</f>
        <v>1</v>
      </c>
      <c r="CF42" s="6">
        <f>IF(CK42&lt;AX64,1,0)</f>
        <v>1</v>
      </c>
      <c r="CG42" s="6">
        <f>IF(O64&lt;100,1,0)</f>
        <v>0</v>
      </c>
      <c r="CH42">
        <f t="shared" si="22"/>
        <v>2.9014699999999998</v>
      </c>
      <c r="CI42" s="5">
        <f t="shared" si="45"/>
        <v>1.1571321304332425</v>
      </c>
      <c r="CJ42">
        <f t="shared" si="46"/>
        <v>0.35218739268352872</v>
      </c>
      <c r="CK42">
        <f t="shared" si="47"/>
        <v>-0.51082562376599072</v>
      </c>
      <c r="CN42">
        <f t="shared" si="23"/>
        <v>0.36793869138213087</v>
      </c>
      <c r="CP42" s="5">
        <f>CK42-AX42</f>
        <v>-0.64648588286478859</v>
      </c>
      <c r="CQ42" s="5">
        <f>CI42*CP42</f>
        <v>-0.74806958693434844</v>
      </c>
      <c r="CR42" s="5">
        <f t="shared" si="48"/>
        <v>0.80973453633012804</v>
      </c>
      <c r="CS42" s="5">
        <f t="shared" si="49"/>
        <v>-0.64373067445216337</v>
      </c>
      <c r="CT42" s="5">
        <f t="shared" si="50"/>
        <v>2.5369882088569118</v>
      </c>
      <c r="CU42" s="5">
        <f t="shared" si="51"/>
        <v>0.27573791218506416</v>
      </c>
      <c r="CV42">
        <f t="shared" si="24"/>
        <v>-3.356259712331624</v>
      </c>
      <c r="CW42">
        <f t="shared" si="52"/>
        <v>3.4865422077461725E-2</v>
      </c>
      <c r="CX42">
        <v>0.57099999999999995</v>
      </c>
      <c r="CY42">
        <v>0.3</v>
      </c>
      <c r="CZ42" s="5">
        <f>BD42+CQ42+CR42+CS42+CT42+CU42</f>
        <v>-0.11433960401440768</v>
      </c>
      <c r="DA42" s="7">
        <f t="shared" si="53"/>
        <v>0.89195499294533009</v>
      </c>
      <c r="DB42">
        <f>VLOOKUP(E42,'[1]Coefficient Normal'!$A$10:$P$14,16,TRUE)</f>
        <v>0.34749999999999998</v>
      </c>
      <c r="DC42">
        <v>0.3</v>
      </c>
    </row>
    <row r="43" spans="1:107" x14ac:dyDescent="0.25">
      <c r="A43">
        <v>20</v>
      </c>
      <c r="B43">
        <f t="shared" si="54"/>
        <v>86.5</v>
      </c>
      <c r="C43">
        <f t="shared" si="55"/>
        <v>-93.5</v>
      </c>
      <c r="D43" t="str">
        <f t="shared" si="25"/>
        <v>SSComp_and_Normal</v>
      </c>
      <c r="E43">
        <v>90</v>
      </c>
      <c r="F43">
        <v>1.5</v>
      </c>
      <c r="G43">
        <f t="shared" si="26"/>
        <v>9.1572809302285174E-2</v>
      </c>
      <c r="H43">
        <f t="shared" si="27"/>
        <v>1.5000000000000004</v>
      </c>
      <c r="I43">
        <f t="shared" si="28"/>
        <v>86.5</v>
      </c>
      <c r="J43">
        <v>0.60960000000000003</v>
      </c>
      <c r="K43">
        <f t="shared" si="29"/>
        <v>609.6</v>
      </c>
      <c r="L43">
        <v>9.5250000000000005E-3</v>
      </c>
      <c r="M43">
        <f t="shared" si="30"/>
        <v>9.5250000000000004</v>
      </c>
      <c r="N43" s="3">
        <f t="shared" si="31"/>
        <v>64</v>
      </c>
      <c r="O43">
        <v>200</v>
      </c>
      <c r="P43" s="4" t="s">
        <v>70</v>
      </c>
      <c r="Q43" s="1">
        <f t="shared" si="32"/>
        <v>8</v>
      </c>
      <c r="R43" s="1">
        <f t="shared" si="33"/>
        <v>10</v>
      </c>
      <c r="S43" s="1">
        <f t="shared" si="34"/>
        <v>359000</v>
      </c>
      <c r="T43" s="1">
        <f t="shared" si="35"/>
        <v>455000</v>
      </c>
      <c r="U43" s="1">
        <f t="shared" si="36"/>
        <v>1.9969902892117808</v>
      </c>
      <c r="V43" s="3">
        <v>1.9041242414694344</v>
      </c>
      <c r="W43" s="1">
        <f t="shared" si="37"/>
        <v>0.69164119173371341</v>
      </c>
      <c r="X43" s="1">
        <v>90</v>
      </c>
      <c r="Y43" s="1" t="s">
        <v>78</v>
      </c>
      <c r="Z43" t="s">
        <v>79</v>
      </c>
      <c r="AA43">
        <f t="shared" si="38"/>
        <v>18</v>
      </c>
      <c r="AB43" s="1">
        <f t="shared" si="39"/>
        <v>37</v>
      </c>
      <c r="AC43">
        <f t="shared" si="40"/>
        <v>0</v>
      </c>
      <c r="AD43">
        <f t="shared" si="41"/>
        <v>0</v>
      </c>
      <c r="AE43">
        <v>0.9</v>
      </c>
      <c r="AF43" s="1">
        <v>2</v>
      </c>
      <c r="AG43" s="1">
        <f t="shared" si="14"/>
        <v>3.280839895013123</v>
      </c>
      <c r="AH43">
        <f t="shared" si="42"/>
        <v>45.287832384841593</v>
      </c>
      <c r="AI43">
        <f>IF(Z43="medium dense",'[1]Coefficient Normal'!$E$18 + ('[1]Coefficient Normal'!$E$19*AG43) + ('[1]Coefficient Normal'!$E$20*(AG43^2)) + ('[1]Coefficient Normal'!$E$21*(AG43^3)) + ('[1]Coefficient Normal'!$E$22*(AG43^4)),IF(Z43="dense",'[1]Coefficient Normal'!$F$18 + ('[1]Coefficient Normal'!$F$19*AG43) + ('[1]Coefficient Normal'!$F$20*(AG43^2)) + ('[1]Coefficient Normal'!$F$21*(AG43^3)) + ('[1]Coefficient Normal'!$F$22*(AG43^4)),IF(Z43="very dense",'[1]Coefficient Normal'!$G$18 + ('[1]Coefficient Normal'!$G$19*AG43) + ('[1]Coefficient Normal'!$G$20*(AG43^2)) + ('[1]Coefficient Normal'!$G$21*(AG43^3)) + ('[1]Coefficient Normal'!$G$22*(AG43^4)),0)))</f>
        <v>13.682696709843736</v>
      </c>
      <c r="AJ43">
        <f t="shared" si="15"/>
        <v>64.071522599936642</v>
      </c>
      <c r="AK43">
        <f t="shared" si="16"/>
        <v>514.5628010862082</v>
      </c>
      <c r="AL43">
        <f t="shared" si="43"/>
        <v>6.2433176101889645</v>
      </c>
      <c r="AM43">
        <f t="shared" si="17"/>
        <v>4.1588830833596715</v>
      </c>
      <c r="AN43">
        <f t="shared" si="18"/>
        <v>3.8130383956332152</v>
      </c>
      <c r="AO43">
        <v>1.5</v>
      </c>
      <c r="AP43" s="5">
        <f>VLOOKUP(X43,'[1]Coefficient Normal'!$A$3:$H$7,2,TRUE)</f>
        <v>14.575100000000001</v>
      </c>
      <c r="AQ43" s="5">
        <f>VLOOKUP(X43,'[1]Coefficient Normal'!$A$3:$H$7,3,TRUE)</f>
        <v>0.1356</v>
      </c>
      <c r="AR43" s="5">
        <f>VLOOKUP(X43,'[1]Coefficient Normal'!$A$3:$H$7,4,TRUE)</f>
        <v>2.9990000000000001</v>
      </c>
      <c r="AS43" s="5">
        <f>VLOOKUP(X43,'[1]Coefficient Normal'!$A$3:$H$7,5,TRUE)</f>
        <v>-0.94710000000000005</v>
      </c>
      <c r="AT43" s="5">
        <f>VLOOKUP(X43,'[1]Coefficient Normal'!$A$3:$H$7,6,TRUE)</f>
        <v>0.6603</v>
      </c>
      <c r="AU43" s="5">
        <f>VLOOKUP(X43,'[1]Coefficient Normal'!$A$3:$H$7,7,TRUE)</f>
        <v>-1.2488999999999999</v>
      </c>
      <c r="AV43" s="5">
        <f>VLOOKUP(X43,'[1]Coefficient Normal'!$A$3:$H$7,8,TRUE)</f>
        <v>-0.44140000000000001</v>
      </c>
      <c r="AX43" s="5">
        <f t="shared" si="19"/>
        <v>0.84664796280374888</v>
      </c>
      <c r="BB43">
        <f t="shared" si="20"/>
        <v>-2.7042235680000006</v>
      </c>
      <c r="BC43">
        <f t="shared" si="21"/>
        <v>0.67006387200000006</v>
      </c>
      <c r="BD43" s="5">
        <f>VLOOKUP(X65,'[1]Coefficient Normal'!$A$10:$P$14,2,TRUE)</f>
        <v>5.1353999999999997</v>
      </c>
      <c r="BE43" s="5">
        <f>VLOOKUP(X65,'[1]Coefficient Normal'!$A$10:$P$14,3,TRUE)</f>
        <v>-4.9599999999999998E-2</v>
      </c>
      <c r="BF43" s="5">
        <f>VLOOKUP(X65,'[1]Coefficient Normal'!$A$10:$P$14,4,TRUE)</f>
        <v>0.44590000000000002</v>
      </c>
      <c r="BG43" s="5">
        <f>VLOOKUP(X65,'[1]Coefficient Normal'!$A$10:$P$14,5,TRUE)</f>
        <v>-0.83709999999999996</v>
      </c>
      <c r="BH43" s="5">
        <f>VLOOKUP(X65,'[1]Coefficient Normal'!$A$10:$P$14,6,TRUE)</f>
        <v>0.63090000000000002</v>
      </c>
      <c r="BI43" s="5">
        <f>VLOOKUP(X65,'[1]Coefficient Normal'!$A$10:$P$14,7,TRUE)</f>
        <v>0.91390000000000005</v>
      </c>
      <c r="BJ43" s="5">
        <f>VLOOKUP(X65,'[1]Coefficient Normal'!$A$10:$P$14,8,TRUE)</f>
        <v>2.5000000000000001E-3</v>
      </c>
      <c r="BK43" s="5">
        <f>VLOOKUP(X65,'[1]Coefficient Normal'!$A$10:$P$14,9,TRUE)</f>
        <v>1.6000000000000001E-3</v>
      </c>
      <c r="BL43" s="5">
        <f>VLOOKUP(X65,'[1]Coefficient Normal'!$A$10:$P$14,10,TRUE)</f>
        <v>-9.7500000000000003E-2</v>
      </c>
      <c r="BM43" s="5">
        <f>VLOOKUP(X65,'[1]Coefficient Normal'!$A$10:$P$14,11,TRUE)</f>
        <v>1.1999999999999999E-3</v>
      </c>
      <c r="BN43" s="5">
        <f>VLOOKUP(X65,'[1]Coefficient Normal'!$A$10:$P$14,12,TRUE)</f>
        <v>0.46479999999999999</v>
      </c>
      <c r="BO43" s="5">
        <f>VLOOKUP(X65,'[1]Coefficient Normal'!$A$10:$P$14,13,TRUE)</f>
        <v>8.0000000000000004E-4</v>
      </c>
      <c r="BP43" s="5">
        <f>VLOOKUP(X65,'[1]Coefficient Normal'!$A$10:$P$14,14,TRUE)</f>
        <v>6.7900000000000002E-2</v>
      </c>
      <c r="BQ43" s="5">
        <f>VLOOKUP(X65,'[1]Coefficient Normal'!$A$10:$P$14,15,TRUE)</f>
        <v>0.58979999999999999</v>
      </c>
      <c r="CB43">
        <f t="shared" si="44"/>
        <v>0</v>
      </c>
      <c r="CE43" s="6">
        <f>IF(Y65="sand",1,0)</f>
        <v>1</v>
      </c>
      <c r="CF43" s="6">
        <f>IF(CK43&lt;AX65,1,0)</f>
        <v>1</v>
      </c>
      <c r="CG43" s="6">
        <f>IF(O65&lt;100,1,0)</f>
        <v>0</v>
      </c>
      <c r="CH43">
        <f t="shared" si="22"/>
        <v>2.3549699999999998</v>
      </c>
      <c r="CI43" s="5">
        <f t="shared" si="45"/>
        <v>1.0064195809621042</v>
      </c>
      <c r="CJ43">
        <f t="shared" si="46"/>
        <v>0.13316631420087185</v>
      </c>
      <c r="CK43">
        <f t="shared" si="47"/>
        <v>0.40546510810816466</v>
      </c>
      <c r="CN43">
        <f t="shared" si="23"/>
        <v>0.13396195504767106</v>
      </c>
      <c r="CP43" s="5">
        <f>CK43-AX43</f>
        <v>-0.44118285469558421</v>
      </c>
      <c r="CQ43" s="5">
        <f>CI43*CP43</f>
        <v>-0.44401506375039473</v>
      </c>
      <c r="CR43" s="5">
        <f t="shared" si="48"/>
        <v>-0.20628060093463971</v>
      </c>
      <c r="CS43" s="5">
        <f t="shared" si="49"/>
        <v>1.7002338206128507</v>
      </c>
      <c r="CT43" s="5">
        <f t="shared" si="50"/>
        <v>-5.2262811714891821</v>
      </c>
      <c r="CU43" s="5">
        <f t="shared" si="51"/>
        <v>-0.31226539005126003</v>
      </c>
      <c r="CV43">
        <f t="shared" si="24"/>
        <v>-3.8000758425494232</v>
      </c>
      <c r="CW43">
        <f t="shared" si="52"/>
        <v>2.2369075264133204E-2</v>
      </c>
      <c r="CX43">
        <v>0.57099999999999995</v>
      </c>
      <c r="CY43">
        <v>0.3</v>
      </c>
      <c r="CZ43" s="5">
        <f>BD43+CQ43+CR43+CS43+CT43+CU43</f>
        <v>0.6467915943873741</v>
      </c>
      <c r="DA43" s="7">
        <f t="shared" si="53"/>
        <v>1.90940484569212</v>
      </c>
      <c r="DB43">
        <f>VLOOKUP(E43,'[1]Coefficient Normal'!$A$10:$P$14,16,TRUE)</f>
        <v>0.34749999999999998</v>
      </c>
      <c r="DC43">
        <v>0.3</v>
      </c>
    </row>
    <row r="45" spans="1:107" x14ac:dyDescent="0.25">
      <c r="A45" t="s">
        <v>0</v>
      </c>
      <c r="B45" t="s">
        <v>82</v>
      </c>
      <c r="C45" t="s">
        <v>131</v>
      </c>
      <c r="D45" t="s">
        <v>83</v>
      </c>
      <c r="E45" t="s">
        <v>15</v>
      </c>
      <c r="F45" t="s">
        <v>58</v>
      </c>
      <c r="G45" t="s">
        <v>132</v>
      </c>
      <c r="H45" t="s">
        <v>133</v>
      </c>
      <c r="I45" t="s">
        <v>134</v>
      </c>
      <c r="J45" t="s">
        <v>1</v>
      </c>
      <c r="K45" t="s">
        <v>2</v>
      </c>
      <c r="L45" t="s">
        <v>3</v>
      </c>
      <c r="M45" t="s">
        <v>4</v>
      </c>
      <c r="N45" t="s">
        <v>5</v>
      </c>
      <c r="O45" t="s">
        <v>6</v>
      </c>
      <c r="P45" t="s">
        <v>7</v>
      </c>
      <c r="Q45" s="1" t="s">
        <v>8</v>
      </c>
      <c r="R45" s="1" t="s">
        <v>9</v>
      </c>
      <c r="S45" s="1" t="s">
        <v>10</v>
      </c>
      <c r="T45" s="1" t="s">
        <v>11</v>
      </c>
      <c r="U45" s="2" t="s">
        <v>12</v>
      </c>
      <c r="V45" t="s">
        <v>13</v>
      </c>
      <c r="W45" t="s">
        <v>14</v>
      </c>
      <c r="X45" t="s">
        <v>15</v>
      </c>
      <c r="Y45" t="s">
        <v>16</v>
      </c>
      <c r="Z45" t="s">
        <v>17</v>
      </c>
      <c r="AA45" t="s">
        <v>18</v>
      </c>
      <c r="AB45" t="s">
        <v>19</v>
      </c>
      <c r="AC45" t="s">
        <v>20</v>
      </c>
      <c r="AD45" t="s">
        <v>21</v>
      </c>
      <c r="AE45" t="s">
        <v>22</v>
      </c>
      <c r="AF45" t="s">
        <v>23</v>
      </c>
      <c r="AG45" t="s">
        <v>24</v>
      </c>
      <c r="AH45" t="s">
        <v>25</v>
      </c>
      <c r="AI45" t="s">
        <v>26</v>
      </c>
      <c r="AJ45" t="s">
        <v>27</v>
      </c>
      <c r="AK45" t="s">
        <v>28</v>
      </c>
      <c r="AL45" t="s">
        <v>29</v>
      </c>
      <c r="AM45" t="s">
        <v>30</v>
      </c>
      <c r="AN45" t="s">
        <v>31</v>
      </c>
      <c r="AO45" t="s">
        <v>58</v>
      </c>
      <c r="AP45" t="s">
        <v>32</v>
      </c>
      <c r="AQ45" t="s">
        <v>33</v>
      </c>
      <c r="AR45" t="s">
        <v>34</v>
      </c>
      <c r="AS45" t="s">
        <v>35</v>
      </c>
      <c r="AT45" t="s">
        <v>36</v>
      </c>
      <c r="AU45" t="s">
        <v>37</v>
      </c>
      <c r="AV45" t="s">
        <v>38</v>
      </c>
      <c r="AX45" t="s">
        <v>39</v>
      </c>
      <c r="CH45" t="s">
        <v>57</v>
      </c>
      <c r="CP45" t="s">
        <v>60</v>
      </c>
      <c r="CQ45" t="s">
        <v>61</v>
      </c>
      <c r="CR45" t="s">
        <v>62</v>
      </c>
      <c r="CS45" t="s">
        <v>63</v>
      </c>
      <c r="CT45" t="s">
        <v>64</v>
      </c>
      <c r="CU45" t="s">
        <v>65</v>
      </c>
    </row>
    <row r="46" spans="1:107" x14ac:dyDescent="0.25">
      <c r="A46">
        <v>1</v>
      </c>
      <c r="B46">
        <v>1</v>
      </c>
      <c r="C46">
        <v>-90</v>
      </c>
      <c r="D46" t="str">
        <f>IF(B46&lt;=90,IF(C46=-180,"SSComp",IF(AND(C46&gt;-180,C46&lt;-90),"SSComp_and_Normal",IF(C46=-90,"Normal",IF(AND(C46&gt;-90,C46&lt;0),"SSTens_and_Normal",IF(C46=0,"SSTens"))))),IF(C46=0,"SSComp",IF(AND(C46&gt;0,C46&lt;90),"SSComp_and_Reverse",IF(C46=90,"Reverse",IF(AND(C46&gt;90,C46&lt;180),"SSTens_and_Reverse",IF(C46=180,"SSTens"))))))</f>
        <v>Normal</v>
      </c>
      <c r="E46">
        <v>1</v>
      </c>
      <c r="F46">
        <v>0.2</v>
      </c>
      <c r="G46">
        <f>F46/ABS(COS(RADIANS(90-B46)))</f>
        <v>11.459737699709981</v>
      </c>
      <c r="I46">
        <f>B46</f>
        <v>1</v>
      </c>
      <c r="J46">
        <v>1.0668</v>
      </c>
      <c r="K46">
        <f>J46*1000</f>
        <v>1066.8</v>
      </c>
      <c r="L46">
        <v>9.5250000000000005E-3</v>
      </c>
      <c r="M46">
        <f>L46*1000</f>
        <v>9.5250000000000004</v>
      </c>
      <c r="N46" s="3">
        <f>K46/M46</f>
        <v>111.99999999999999</v>
      </c>
      <c r="O46" s="1">
        <v>30</v>
      </c>
      <c r="P46" s="4" t="s">
        <v>70</v>
      </c>
      <c r="Q46" s="1">
        <f>IF(P46="Grade-B",3,IF(P46="X-42",3,IF(P46="X-52",8,IF(P46="X-60",8,IF(P46="X-70",14,IF(P46="X-80",15,8))))))</f>
        <v>8</v>
      </c>
      <c r="R46" s="1">
        <f>IF(P46="Grade-B",8,IF(P46="X-42",9,IF(P46="X-52",10,IF(P46="X-60",12,IF(P46="X-70",15,IF(P46="X-80",20,10))))))</f>
        <v>10</v>
      </c>
      <c r="S46" s="1">
        <f>IF(P46="Grade-B",241,IF(P46="X-42",290,IF(P46="X-52",359,IF(P46="X-60",414,IF(P46="X-70",483,IF(P46="X-80",552,359))))))*1000</f>
        <v>359000</v>
      </c>
      <c r="T46" s="1">
        <f>IF(P46="Grade-B",344,IF(P46="X-42",414,IF(P46="X-52",455,IF(P46="X-60",517,IF(P46="X-70",565,IF(P46="X-80",625,S46*1.2/1000))))))*1000</f>
        <v>455000</v>
      </c>
      <c r="U46" s="1">
        <f>T46/200000000*(1+Q46/(1+R46)*(T46/S46)^R46)*100</f>
        <v>1.9969902892117808</v>
      </c>
      <c r="V46" s="3">
        <f>100*IF(P46='[1]Estimation Model Normal-Slip'!$J$8,'[1]Estimation Model Normal-Slip'!$O$8,IF(P46='[1]Estimation Model Normal-Slip'!$J$9,'[1]Estimation Model Normal-Slip'!$O$9,IF(P46='[1]Estimation Model Normal-Slip'!$J$10,'[1]Estimation Model Normal-Slip'!$O$10,IF(P46='[1]Estimation Model Normal-Slip'!$J$11,'[1]Estimation Model Normal-Slip'!$O$11,IF(P46='[1]Estimation Model Normal-Slip'!$J$12,'[1]Estimation Model Normal-Slip'!$O$12,IF(P46='[1]Estimation Model Normal-Slip'!$J$13,'[1]Estimation Model Normal-Slip'!$O$13,2))))))</f>
        <v>1.9041242414694344</v>
      </c>
      <c r="W46" s="1">
        <f>LN(U46)</f>
        <v>0.69164119173371341</v>
      </c>
      <c r="X46" s="1">
        <v>45</v>
      </c>
      <c r="Y46" s="1" t="s">
        <v>71</v>
      </c>
      <c r="Z46" t="s">
        <v>72</v>
      </c>
      <c r="AA46">
        <f>IF(Z46="medium dense",18,IF(Z46="dense",18.5,IF(Z46="very dense",19,IF(Z46="soft",17.5,IF(Z46="medium stiff",18,IF(Z46="stiff",18.5,0))))))</f>
        <v>17.5</v>
      </c>
      <c r="AB46" s="1">
        <f>IF(Z46="medium dense",37,IF(Z46="dense",40,IF(Z46="very dense",43,0)))</f>
        <v>0</v>
      </c>
      <c r="AC46">
        <f>IF(Z46="soft",37.5,IF(Z46="medium stiff",75,IF(Z46="stiff",125,0)))</f>
        <v>37.5</v>
      </c>
      <c r="AD46">
        <f>IF(Z46="soft",1.1,IF(Z46="medium stiff",0.72,IF(Z46="stiff",0.4,0)))</f>
        <v>1.1000000000000001</v>
      </c>
      <c r="AE46">
        <v>0.9</v>
      </c>
      <c r="AF46" s="1">
        <v>0.78739999999999999</v>
      </c>
      <c r="AG46" s="1">
        <f t="shared" ref="AG46:AG65" si="56">MIN(11.5,MAX(1.8,AF46/J46))</f>
        <v>1.8</v>
      </c>
      <c r="AH46">
        <f>IF(Y46="sand", PI() * J46 * AF46*AA46* TAN(RADIANS(AE46*AB46)), PI() * J46 * AD46 * AC46)</f>
        <v>138.24735551754566</v>
      </c>
      <c r="AI46">
        <f>IF(Z46="medium dense",'[1]Coefficient Normal'!$E$18 + ('[1]Coefficient Normal'!$E$19*AG46) + ('[1]Coefficient Normal'!$E$20*(AG46^2)) + ('[1]Coefficient Normal'!$E$21*(AG46^3)) + ('[1]Coefficient Normal'!$E$22*(AG46^4)),IF(Z46="dense",'[1]Coefficient Normal'!$F$18 + ('[1]Coefficient Normal'!$F$19*AG46) + ('[1]Coefficient Normal'!$F$20*(AG46^2)) + ('[1]Coefficient Normal'!$F$21*(AG46^3)) + ('[1]Coefficient Normal'!$F$22*(AG46^4)),IF(Z46="very dense",'[1]Coefficient Normal'!$G$18 + ('[1]Coefficient Normal'!$G$19*AG46) + ('[1]Coefficient Normal'!$G$20*(AG46^2)) + ('[1]Coefficient Normal'!$G$21*(AG46^3)) + ('[1]Coefficient Normal'!$G$22*(AG46^4)),0)))</f>
        <v>0</v>
      </c>
      <c r="AJ46">
        <f t="shared" ref="AJ46:AJ65" si="57">IF(Y46="sand",MIN(80,EXP(0.18*AB46-2.5)),0)</f>
        <v>0</v>
      </c>
      <c r="AK46">
        <f t="shared" ref="AK46:AK65" si="58">IF(Y46="sand",AI46*AA46*AF46*J46 + 0.5*AA46*(J46^2)*AJ46,5.14*AC46*J46)</f>
        <v>205.62569999999999</v>
      </c>
      <c r="AL46">
        <f>LN(AK46)</f>
        <v>5.3260575257691611</v>
      </c>
      <c r="AM46">
        <f t="shared" ref="AM46:AM65" si="59">LN(N46)</f>
        <v>4.7184988712950942</v>
      </c>
      <c r="AN46">
        <f t="shared" ref="AN46:AN65" si="60">LN(AH46)</f>
        <v>4.9290445119558122</v>
      </c>
      <c r="AO46" s="1">
        <v>2.2496671510000001</v>
      </c>
      <c r="AP46" s="5">
        <f>VLOOKUP(X46,'[1]Coefficient Normal'!$A$3:$H$7,2,TRUE)</f>
        <v>3.7532999999999999</v>
      </c>
      <c r="AQ46" s="5">
        <f>VLOOKUP(X46,'[1]Coefficient Normal'!$A$3:$H$7,3,TRUE)</f>
        <v>0.14510000000000001</v>
      </c>
      <c r="AR46" s="5">
        <f>VLOOKUP(X46,'[1]Coefficient Normal'!$A$3:$H$7,4,TRUE)</f>
        <v>1.2497</v>
      </c>
      <c r="AS46" s="5">
        <f>VLOOKUP(X46,'[1]Coefficient Normal'!$A$3:$H$7,5,TRUE)</f>
        <v>-0.46100000000000002</v>
      </c>
      <c r="AT46" s="5">
        <f>VLOOKUP(X46,'[1]Coefficient Normal'!$A$3:$H$7,6,TRUE)</f>
        <v>0.39140000000000003</v>
      </c>
      <c r="AU46" s="5">
        <f>VLOOKUP(X46,'[1]Coefficient Normal'!$A$3:$H$7,7,TRUE)</f>
        <v>-0.21310000000000001</v>
      </c>
      <c r="AV46" s="5">
        <f>VLOOKUP(X46,'[1]Coefficient Normal'!$A$3:$H$7,8,TRUE)</f>
        <v>-0.34139999999999998</v>
      </c>
      <c r="AX46" s="5">
        <f t="shared" ref="AX46:AX65" si="61">AP46+AQ46*LN(O46) + AR46*LN(J46) + AS46*AM46 + AT46*W46 + AU46*AL46 + AV46*AN46</f>
        <v>-0.39465453966325215</v>
      </c>
      <c r="BD46" s="5"/>
      <c r="BE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I46" s="5"/>
    </row>
    <row r="47" spans="1:107" x14ac:dyDescent="0.25">
      <c r="A47">
        <v>2</v>
      </c>
      <c r="B47">
        <f>B46+4.5</f>
        <v>5.5</v>
      </c>
      <c r="C47">
        <v>-90</v>
      </c>
      <c r="D47" t="str">
        <f t="shared" ref="D47:D65" si="62">IF(B47&lt;=90,IF(C47=-180,"SSComp",IF(AND(C47&gt;-180,C47&lt;-90),"SSComp_and_Normal",IF(C47=-90,"Normal",IF(AND(C47&gt;-90,C47&lt;0),"SSTens_and_Normal",IF(C47=0,"SSTens"))))),IF(C47=0,"SSComp",IF(AND(C47&gt;0,C47&lt;90),"SSComp_and_Reverse",IF(C47=90,"Reverse",IF(AND(C47&gt;90,C47&lt;180),"SSTens_and_Reverse",IF(C47=180,"SSTens"))))))</f>
        <v>Normal</v>
      </c>
      <c r="E47">
        <f>E46+4.5</f>
        <v>5.5</v>
      </c>
      <c r="F47">
        <v>0.1</v>
      </c>
      <c r="G47">
        <f t="shared" ref="G47:G65" si="63">F47/ABS(COS(RADIANS(90-B47)))</f>
        <v>1.0433430524623339</v>
      </c>
      <c r="I47">
        <f t="shared" ref="I47:I65" si="64">B47</f>
        <v>5.5</v>
      </c>
      <c r="J47">
        <v>0.60960000000000003</v>
      </c>
      <c r="K47">
        <f t="shared" ref="K47:M65" si="65">J47*1000</f>
        <v>609.6</v>
      </c>
      <c r="L47">
        <v>9.5250000000000005E-3</v>
      </c>
      <c r="M47">
        <f t="shared" si="65"/>
        <v>9.5250000000000004</v>
      </c>
      <c r="N47" s="3">
        <f t="shared" ref="N47:N65" si="66">K47/M47</f>
        <v>64</v>
      </c>
      <c r="O47" s="1">
        <v>50</v>
      </c>
      <c r="P47" s="4" t="s">
        <v>73</v>
      </c>
      <c r="Q47" s="1">
        <f t="shared" ref="Q47:Q65" si="67">IF(P47="Grade-B",3,IF(P47="X-42",3,IF(P47="X-52",8,IF(P47="X-60",8,IF(P47="X-70",14,IF(P47="X-80",15,8))))))</f>
        <v>8</v>
      </c>
      <c r="R47" s="1">
        <f t="shared" ref="R47:R65" si="68">IF(P47="Grade-B",8,IF(P47="X-42",9,IF(P47="X-52",10,IF(P47="X-60",12,IF(P47="X-70",15,IF(P47="X-80",20,10))))))</f>
        <v>12</v>
      </c>
      <c r="S47" s="1">
        <f t="shared" ref="S47:S65" si="69">IF(P47="Grade-B",241,IF(P47="X-42",290,IF(P47="X-52",359,IF(P47="X-60",414,IF(P47="X-70",483,IF(P47="X-80",552,359))))))*1000</f>
        <v>414000</v>
      </c>
      <c r="T47" s="1">
        <f t="shared" ref="T47:T65" si="70">IF(P47="Grade-B",344,IF(P47="X-42",414,IF(P47="X-52",455,IF(P47="X-60",517,IF(P47="X-70",565,IF(P47="X-80",625,S47*1.2/1000))))))*1000</f>
        <v>517000</v>
      </c>
      <c r="U47" s="1">
        <f t="shared" ref="U47:U65" si="71">T47/200000000*(1+Q47/(1+R47)*(T47/S47)^R47)*100</f>
        <v>2.5466769467238102</v>
      </c>
      <c r="V47" s="3">
        <f>100*IF(P47='[1]Estimation Model Normal-Slip'!$J$8,'[1]Estimation Model Normal-Slip'!$O$8,IF(P47='[1]Estimation Model Normal-Slip'!$J$9,'[1]Estimation Model Normal-Slip'!$O$9,IF(P47='[1]Estimation Model Normal-Slip'!$J$10,'[1]Estimation Model Normal-Slip'!$O$10,IF(P47='[1]Estimation Model Normal-Slip'!$J$11,'[1]Estimation Model Normal-Slip'!$O$11,IF(P47='[1]Estimation Model Normal-Slip'!$J$12,'[1]Estimation Model Normal-Slip'!$O$12,IF(P47='[1]Estimation Model Normal-Slip'!$J$13,'[1]Estimation Model Normal-Slip'!$O$13,2))))))</f>
        <v>2.4313344008036557</v>
      </c>
      <c r="W47" s="1">
        <f t="shared" ref="W47:W65" si="72">LN(U47)</f>
        <v>0.93478935117382533</v>
      </c>
      <c r="X47" s="1">
        <v>60</v>
      </c>
      <c r="Y47" s="1" t="s">
        <v>71</v>
      </c>
      <c r="Z47" t="s">
        <v>74</v>
      </c>
      <c r="AA47">
        <f t="shared" ref="AA47:AA65" si="73">IF(Z47="medium dense",18,IF(Z47="dense",18.5,IF(Z47="very dense",19,IF(Z47="soft",17.5,IF(Z47="medium stiff",18,IF(Z47="stiff",18.5,0))))))</f>
        <v>18</v>
      </c>
      <c r="AB47" s="1">
        <f t="shared" ref="AB47:AB65" si="74">IF(Z47="medium dense",37,IF(Z47="dense",40,IF(Z47="very dense",43,0)))</f>
        <v>0</v>
      </c>
      <c r="AC47">
        <f t="shared" ref="AC47:AC65" si="75">IF(Z47="soft",37.5,IF(Z47="medium stiff",75,IF(Z47="stiff",125,0)))</f>
        <v>75</v>
      </c>
      <c r="AD47">
        <f t="shared" ref="AD47:AD65" si="76">IF(Z47="soft",1.1,IF(Z47="medium stiff",0.72,IF(Z47="stiff",0.4,0)))</f>
        <v>0.72</v>
      </c>
      <c r="AE47">
        <v>0.9</v>
      </c>
      <c r="AF47" s="1">
        <v>1</v>
      </c>
      <c r="AG47" s="1">
        <f t="shared" si="56"/>
        <v>1.8</v>
      </c>
      <c r="AH47">
        <f t="shared" ref="AH47:AH65" si="77">IF(Y47="sand", PI() * J47 * AF47*AA47* TAN(RADIANS(AE47*AB47)), PI() * J47 * AD47 * AC47)</f>
        <v>103.41620360793024</v>
      </c>
      <c r="AI47">
        <f>IF(Z47="medium dense",'[1]Coefficient Normal'!$E$18 + ('[1]Coefficient Normal'!$E$19*AG47) + ('[1]Coefficient Normal'!$E$20*(AG47^2)) + ('[1]Coefficient Normal'!$E$21*(AG47^3)) + ('[1]Coefficient Normal'!$E$22*(AG47^4)),IF(Z47="dense",'[1]Coefficient Normal'!$F$18 + ('[1]Coefficient Normal'!$F$19*AG47) + ('[1]Coefficient Normal'!$F$20*(AG47^2)) + ('[1]Coefficient Normal'!$F$21*(AG47^3)) + ('[1]Coefficient Normal'!$F$22*(AG47^4)),IF(Z47="very dense",'[1]Coefficient Normal'!$G$18 + ('[1]Coefficient Normal'!$G$19*AG47) + ('[1]Coefficient Normal'!$G$20*(AG47^2)) + ('[1]Coefficient Normal'!$G$21*(AG47^3)) + ('[1]Coefficient Normal'!$G$22*(AG47^4)),0)))</f>
        <v>0</v>
      </c>
      <c r="AJ47">
        <f t="shared" si="57"/>
        <v>0</v>
      </c>
      <c r="AK47">
        <f t="shared" si="58"/>
        <v>235.0008</v>
      </c>
      <c r="AL47">
        <f t="shared" ref="AL47:AL65" si="78">LN(AK47)</f>
        <v>5.4595889183936839</v>
      </c>
      <c r="AM47">
        <f t="shared" si="59"/>
        <v>4.1588830833596715</v>
      </c>
      <c r="AN47">
        <f t="shared" si="60"/>
        <v>4.6387616578039736</v>
      </c>
      <c r="AO47" s="1">
        <v>2.3997944580000001</v>
      </c>
      <c r="AP47" s="5">
        <f>VLOOKUP(X47,'[1]Coefficient Normal'!$A$3:$H$7,2,TRUE)</f>
        <v>4.3182999999999998</v>
      </c>
      <c r="AQ47" s="5">
        <f>VLOOKUP(X47,'[1]Coefficient Normal'!$A$3:$H$7,3,TRUE)</f>
        <v>-2.7900000000000001E-2</v>
      </c>
      <c r="AR47" s="5">
        <f>VLOOKUP(X47,'[1]Coefficient Normal'!$A$3:$H$7,4,TRUE)</f>
        <v>1.0497000000000001</v>
      </c>
      <c r="AS47" s="5">
        <f>VLOOKUP(X47,'[1]Coefficient Normal'!$A$3:$H$7,5,TRUE)</f>
        <v>-0.46910000000000002</v>
      </c>
      <c r="AT47" s="5">
        <f>VLOOKUP(X47,'[1]Coefficient Normal'!$A$3:$H$7,6,TRUE)</f>
        <v>0.29149999999999998</v>
      </c>
      <c r="AU47" s="5">
        <f>VLOOKUP(X47,'[1]Coefficient Normal'!$A$3:$H$7,7,TRUE)</f>
        <v>-0.28610000000000002</v>
      </c>
      <c r="AV47" s="5">
        <f>VLOOKUP(X47,'[1]Coefficient Normal'!$A$3:$H$7,8,TRUE)</f>
        <v>-0.1348</v>
      </c>
      <c r="AX47" s="5">
        <f t="shared" si="61"/>
        <v>-0.17613126407050839</v>
      </c>
      <c r="BD47" s="5"/>
      <c r="BE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I47" s="5"/>
    </row>
    <row r="48" spans="1:107" x14ac:dyDescent="0.25">
      <c r="A48">
        <v>3</v>
      </c>
      <c r="B48">
        <f t="shared" ref="B48:B65" si="79">B47+4.5</f>
        <v>10</v>
      </c>
      <c r="C48">
        <v>-90</v>
      </c>
      <c r="D48" t="str">
        <f t="shared" si="62"/>
        <v>Normal</v>
      </c>
      <c r="E48">
        <f t="shared" ref="E48:E65" si="80">E47+4.5</f>
        <v>10</v>
      </c>
      <c r="F48">
        <v>0.2</v>
      </c>
      <c r="G48">
        <f t="shared" si="63"/>
        <v>1.1517540966287263</v>
      </c>
      <c r="I48">
        <f t="shared" si="64"/>
        <v>10</v>
      </c>
      <c r="J48">
        <v>0.40960000000000002</v>
      </c>
      <c r="K48">
        <f t="shared" si="65"/>
        <v>409.6</v>
      </c>
      <c r="L48">
        <v>9.5250000000000005E-3</v>
      </c>
      <c r="M48">
        <f t="shared" si="65"/>
        <v>9.5250000000000004</v>
      </c>
      <c r="N48" s="3">
        <f t="shared" si="66"/>
        <v>43.00262467191601</v>
      </c>
      <c r="O48" s="1">
        <v>100</v>
      </c>
      <c r="P48" s="4" t="s">
        <v>75</v>
      </c>
      <c r="Q48" s="1">
        <f t="shared" si="67"/>
        <v>14</v>
      </c>
      <c r="R48" s="1">
        <f t="shared" si="68"/>
        <v>15</v>
      </c>
      <c r="S48" s="1">
        <f t="shared" si="69"/>
        <v>483000</v>
      </c>
      <c r="T48" s="1">
        <f t="shared" si="70"/>
        <v>565000</v>
      </c>
      <c r="U48" s="1">
        <f t="shared" si="71"/>
        <v>2.8799444073326219</v>
      </c>
      <c r="V48" s="3">
        <f>100*IF(P48='[1]Estimation Model Normal-Slip'!$J$8,'[1]Estimation Model Normal-Slip'!$O$8,IF(P48='[1]Estimation Model Normal-Slip'!$J$9,'[1]Estimation Model Normal-Slip'!$O$9,IF(P48='[1]Estimation Model Normal-Slip'!$J$10,'[1]Estimation Model Normal-Slip'!$O$10,IF(P48='[1]Estimation Model Normal-Slip'!$J$11,'[1]Estimation Model Normal-Slip'!$O$11,IF(P48='[1]Estimation Model Normal-Slip'!$J$12,'[1]Estimation Model Normal-Slip'!$O$12,IF(P48='[1]Estimation Model Normal-Slip'!$J$13,'[1]Estimation Model Normal-Slip'!$O$13,2))))))</f>
        <v>2.7690517990613435</v>
      </c>
      <c r="W48" s="1">
        <f t="shared" si="72"/>
        <v>1.0577709909520427</v>
      </c>
      <c r="X48" s="1">
        <v>75</v>
      </c>
      <c r="Y48" s="1" t="s">
        <v>71</v>
      </c>
      <c r="Z48" t="s">
        <v>76</v>
      </c>
      <c r="AA48">
        <f t="shared" si="73"/>
        <v>18.5</v>
      </c>
      <c r="AB48" s="1">
        <f t="shared" si="74"/>
        <v>0</v>
      </c>
      <c r="AC48">
        <f t="shared" si="75"/>
        <v>125</v>
      </c>
      <c r="AD48">
        <f t="shared" si="76"/>
        <v>0.4</v>
      </c>
      <c r="AE48">
        <v>0.9</v>
      </c>
      <c r="AF48" s="1">
        <v>1.2</v>
      </c>
      <c r="AG48" s="1">
        <f t="shared" si="56"/>
        <v>2.9296874999999996</v>
      </c>
      <c r="AH48">
        <f t="shared" si="77"/>
        <v>64.339817545518969</v>
      </c>
      <c r="AI48">
        <f>IF(Z48="medium dense",'[1]Coefficient Normal'!$E$18 + ('[1]Coefficient Normal'!$E$19*AG48) + ('[1]Coefficient Normal'!$E$20*(AG48^2)) + ('[1]Coefficient Normal'!$E$21*(AG48^3)) + ('[1]Coefficient Normal'!$E$22*(AG48^4)),IF(Z48="dense",'[1]Coefficient Normal'!$F$18 + ('[1]Coefficient Normal'!$F$19*AG48) + ('[1]Coefficient Normal'!$F$20*(AG48^2)) + ('[1]Coefficient Normal'!$F$21*(AG48^3)) + ('[1]Coefficient Normal'!$F$22*(AG48^4)),IF(Z48="very dense",'[1]Coefficient Normal'!$G$18 + ('[1]Coefficient Normal'!$G$19*AG48) + ('[1]Coefficient Normal'!$G$20*(AG48^2)) + ('[1]Coefficient Normal'!$G$21*(AG48^3)) + ('[1]Coefficient Normal'!$G$22*(AG48^4)),0)))</f>
        <v>0</v>
      </c>
      <c r="AJ48">
        <f t="shared" si="57"/>
        <v>0</v>
      </c>
      <c r="AK48">
        <f t="shared" si="58"/>
        <v>263.16800000000001</v>
      </c>
      <c r="AL48">
        <f t="shared" si="78"/>
        <v>5.5727926115125355</v>
      </c>
      <c r="AM48">
        <f t="shared" si="59"/>
        <v>3.7612611527125335</v>
      </c>
      <c r="AN48">
        <f t="shared" si="60"/>
        <v>4.1641786860207075</v>
      </c>
      <c r="AO48" s="1">
        <v>2.5498958799999998</v>
      </c>
      <c r="AP48" s="5">
        <f>VLOOKUP(X48,'[1]Coefficient Normal'!$A$3:$H$7,2,TRUE)</f>
        <v>5.5951000000000004</v>
      </c>
      <c r="AQ48" s="5">
        <f>VLOOKUP(X48,'[1]Coefficient Normal'!$A$3:$H$7,3,TRUE)</f>
        <v>1.6E-2</v>
      </c>
      <c r="AR48" s="5">
        <f>VLOOKUP(X48,'[1]Coefficient Normal'!$A$3:$H$7,4,TRUE)</f>
        <v>1.2641</v>
      </c>
      <c r="AS48" s="5">
        <f>VLOOKUP(X48,'[1]Coefficient Normal'!$A$3:$H$7,5,TRUE)</f>
        <v>-0.52429999999999999</v>
      </c>
      <c r="AT48" s="5">
        <f>VLOOKUP(X48,'[1]Coefficient Normal'!$A$3:$H$7,6,TRUE)</f>
        <v>0.35830000000000001</v>
      </c>
      <c r="AU48" s="5">
        <f>VLOOKUP(X48,'[1]Coefficient Normal'!$A$3:$H$7,7,TRUE)</f>
        <v>-0.35920000000000002</v>
      </c>
      <c r="AV48" s="5">
        <f>VLOOKUP(X48,'[1]Coefficient Normal'!$A$3:$H$7,8,TRUE)</f>
        <v>-0.2482</v>
      </c>
      <c r="AX48" s="5">
        <f t="shared" si="61"/>
        <v>-8.7846462124065994E-2</v>
      </c>
      <c r="BD48" s="5"/>
      <c r="BE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I48" s="5"/>
    </row>
    <row r="49" spans="1:87" x14ac:dyDescent="0.25">
      <c r="A49">
        <v>4</v>
      </c>
      <c r="B49">
        <f t="shared" si="79"/>
        <v>14.5</v>
      </c>
      <c r="C49">
        <v>-90</v>
      </c>
      <c r="D49" t="str">
        <f t="shared" si="62"/>
        <v>Normal</v>
      </c>
      <c r="E49">
        <f t="shared" si="80"/>
        <v>14.5</v>
      </c>
      <c r="F49">
        <v>0.7</v>
      </c>
      <c r="G49">
        <f t="shared" si="63"/>
        <v>2.7957504140298486</v>
      </c>
      <c r="I49">
        <f t="shared" si="64"/>
        <v>14.5</v>
      </c>
      <c r="J49">
        <v>0.89600000000000002</v>
      </c>
      <c r="K49">
        <f t="shared" si="65"/>
        <v>896</v>
      </c>
      <c r="L49">
        <v>9.5250000000000005E-3</v>
      </c>
      <c r="M49">
        <f t="shared" si="65"/>
        <v>9.5250000000000004</v>
      </c>
      <c r="N49" s="3">
        <f t="shared" si="66"/>
        <v>94.068241469816272</v>
      </c>
      <c r="O49" s="1">
        <v>300</v>
      </c>
      <c r="P49" s="4" t="s">
        <v>70</v>
      </c>
      <c r="Q49" s="1">
        <f t="shared" si="67"/>
        <v>8</v>
      </c>
      <c r="R49" s="1">
        <f t="shared" si="68"/>
        <v>10</v>
      </c>
      <c r="S49" s="1">
        <f t="shared" si="69"/>
        <v>359000</v>
      </c>
      <c r="T49" s="1">
        <f t="shared" si="70"/>
        <v>455000</v>
      </c>
      <c r="U49" s="1">
        <f t="shared" si="71"/>
        <v>1.9969902892117808</v>
      </c>
      <c r="V49" s="3">
        <f>100*IF(P49='[1]Estimation Model Normal-Slip'!$J$8,'[1]Estimation Model Normal-Slip'!$O$8,IF(P49='[1]Estimation Model Normal-Slip'!$J$9,'[1]Estimation Model Normal-Slip'!$O$9,IF(P49='[1]Estimation Model Normal-Slip'!$J$10,'[1]Estimation Model Normal-Slip'!$O$10,IF(P49='[1]Estimation Model Normal-Slip'!$J$11,'[1]Estimation Model Normal-Slip'!$O$11,IF(P49='[1]Estimation Model Normal-Slip'!$J$12,'[1]Estimation Model Normal-Slip'!$O$12,IF(P49='[1]Estimation Model Normal-Slip'!$J$13,'[1]Estimation Model Normal-Slip'!$O$13,2))))))</f>
        <v>1.9041242414694344</v>
      </c>
      <c r="W49" s="1">
        <f t="shared" si="72"/>
        <v>0.69164119173371341</v>
      </c>
      <c r="X49" s="1">
        <v>90</v>
      </c>
      <c r="Y49" s="1" t="s">
        <v>71</v>
      </c>
      <c r="Z49" t="s">
        <v>72</v>
      </c>
      <c r="AA49">
        <f t="shared" si="73"/>
        <v>17.5</v>
      </c>
      <c r="AB49" s="1">
        <f t="shared" si="74"/>
        <v>0</v>
      </c>
      <c r="AC49">
        <f t="shared" si="75"/>
        <v>37.5</v>
      </c>
      <c r="AD49">
        <f t="shared" si="76"/>
        <v>1.1000000000000001</v>
      </c>
      <c r="AE49">
        <v>0.9</v>
      </c>
      <c r="AF49" s="1">
        <v>2.5</v>
      </c>
      <c r="AG49" s="1">
        <f t="shared" si="56"/>
        <v>2.7901785714285712</v>
      </c>
      <c r="AH49">
        <f t="shared" si="77"/>
        <v>116.11326447667876</v>
      </c>
      <c r="AI49">
        <f>IF(Z49="medium dense",'[1]Coefficient Normal'!$E$18 + ('[1]Coefficient Normal'!$E$19*AG49) + ('[1]Coefficient Normal'!$E$20*(AG49^2)) + ('[1]Coefficient Normal'!$E$21*(AG49^3)) + ('[1]Coefficient Normal'!$E$22*(AG49^4)),IF(Z49="dense",'[1]Coefficient Normal'!$F$18 + ('[1]Coefficient Normal'!$F$19*AG49) + ('[1]Coefficient Normal'!$F$20*(AG49^2)) + ('[1]Coefficient Normal'!$F$21*(AG49^3)) + ('[1]Coefficient Normal'!$F$22*(AG49^4)),IF(Z49="very dense",'[1]Coefficient Normal'!$G$18 + ('[1]Coefficient Normal'!$G$19*AG49) + ('[1]Coefficient Normal'!$G$20*(AG49^2)) + ('[1]Coefficient Normal'!$G$21*(AG49^3)) + ('[1]Coefficient Normal'!$G$22*(AG49^4)),0)))</f>
        <v>0</v>
      </c>
      <c r="AJ49">
        <f t="shared" si="57"/>
        <v>0</v>
      </c>
      <c r="AK49">
        <f t="shared" si="58"/>
        <v>172.70400000000001</v>
      </c>
      <c r="AL49">
        <f t="shared" si="78"/>
        <v>5.1515791464362319</v>
      </c>
      <c r="AM49">
        <f t="shared" si="59"/>
        <v>4.5440204919621658</v>
      </c>
      <c r="AN49">
        <f t="shared" si="60"/>
        <v>4.7545661326228839</v>
      </c>
      <c r="AO49" s="1">
        <v>2.699997304</v>
      </c>
      <c r="AP49" s="5">
        <f>VLOOKUP(X49,'[1]Coefficient Normal'!$A$3:$H$7,2,TRUE)</f>
        <v>14.575100000000001</v>
      </c>
      <c r="AQ49" s="5">
        <f>VLOOKUP(X49,'[1]Coefficient Normal'!$A$3:$H$7,3,TRUE)</f>
        <v>0.1356</v>
      </c>
      <c r="AR49" s="5">
        <f>VLOOKUP(X49,'[1]Coefficient Normal'!$A$3:$H$7,4,TRUE)</f>
        <v>2.9990000000000001</v>
      </c>
      <c r="AS49" s="5">
        <f>VLOOKUP(X49,'[1]Coefficient Normal'!$A$3:$H$7,5,TRUE)</f>
        <v>-0.94710000000000005</v>
      </c>
      <c r="AT49" s="5">
        <f>VLOOKUP(X49,'[1]Coefficient Normal'!$A$3:$H$7,6,TRUE)</f>
        <v>0.6603</v>
      </c>
      <c r="AU49" s="5">
        <f>VLOOKUP(X49,'[1]Coefficient Normal'!$A$3:$H$7,7,TRUE)</f>
        <v>-1.2488999999999999</v>
      </c>
      <c r="AV49" s="5">
        <f>VLOOKUP(X49,'[1]Coefficient Normal'!$A$3:$H$7,8,TRUE)</f>
        <v>-0.44140000000000001</v>
      </c>
      <c r="AX49" s="5">
        <f t="shared" si="61"/>
        <v>2.6397743044482214</v>
      </c>
      <c r="BD49" s="5"/>
      <c r="BE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I49" s="5"/>
    </row>
    <row r="50" spans="1:87" x14ac:dyDescent="0.25">
      <c r="A50">
        <v>5</v>
      </c>
      <c r="B50">
        <f t="shared" si="79"/>
        <v>19</v>
      </c>
      <c r="C50">
        <v>-90</v>
      </c>
      <c r="D50" t="str">
        <f t="shared" si="62"/>
        <v>Normal</v>
      </c>
      <c r="E50">
        <f t="shared" si="80"/>
        <v>19</v>
      </c>
      <c r="F50">
        <v>0.2</v>
      </c>
      <c r="G50">
        <f t="shared" si="63"/>
        <v>0.61431069735144839</v>
      </c>
      <c r="I50">
        <f t="shared" si="64"/>
        <v>19</v>
      </c>
      <c r="J50">
        <v>0.5</v>
      </c>
      <c r="K50">
        <f t="shared" si="65"/>
        <v>500</v>
      </c>
      <c r="L50">
        <v>9.5250000000000005E-3</v>
      </c>
      <c r="M50">
        <f t="shared" si="65"/>
        <v>9.5250000000000004</v>
      </c>
      <c r="N50" s="3">
        <f t="shared" si="66"/>
        <v>52.493438320209975</v>
      </c>
      <c r="O50" s="1">
        <v>30</v>
      </c>
      <c r="P50" s="4" t="s">
        <v>75</v>
      </c>
      <c r="Q50" s="1">
        <f t="shared" si="67"/>
        <v>14</v>
      </c>
      <c r="R50" s="1">
        <f t="shared" si="68"/>
        <v>15</v>
      </c>
      <c r="S50" s="1">
        <f t="shared" si="69"/>
        <v>483000</v>
      </c>
      <c r="T50" s="1">
        <f t="shared" si="70"/>
        <v>565000</v>
      </c>
      <c r="U50" s="1">
        <f t="shared" si="71"/>
        <v>2.8799444073326219</v>
      </c>
      <c r="V50" s="3">
        <f>100*IF(P50='[1]Estimation Model Normal-Slip'!$J$8,'[1]Estimation Model Normal-Slip'!$O$8,IF(P50='[1]Estimation Model Normal-Slip'!$J$9,'[1]Estimation Model Normal-Slip'!$O$9,IF(P50='[1]Estimation Model Normal-Slip'!$J$10,'[1]Estimation Model Normal-Slip'!$O$10,IF(P50='[1]Estimation Model Normal-Slip'!$J$11,'[1]Estimation Model Normal-Slip'!$O$11,IF(P50='[1]Estimation Model Normal-Slip'!$J$12,'[1]Estimation Model Normal-Slip'!$O$12,IF(P50='[1]Estimation Model Normal-Slip'!$J$13,'[1]Estimation Model Normal-Slip'!$O$13,2))))))</f>
        <v>2.7690517990613435</v>
      </c>
      <c r="W50" s="1">
        <f t="shared" si="72"/>
        <v>1.0577709909520427</v>
      </c>
      <c r="X50" s="1">
        <v>45</v>
      </c>
      <c r="Y50" s="1" t="s">
        <v>71</v>
      </c>
      <c r="Z50" t="s">
        <v>74</v>
      </c>
      <c r="AA50">
        <f t="shared" si="73"/>
        <v>18</v>
      </c>
      <c r="AB50" s="1">
        <f t="shared" si="74"/>
        <v>0</v>
      </c>
      <c r="AC50">
        <f t="shared" si="75"/>
        <v>75</v>
      </c>
      <c r="AD50">
        <f t="shared" si="76"/>
        <v>0.72</v>
      </c>
      <c r="AE50">
        <v>0.9</v>
      </c>
      <c r="AF50" s="1">
        <v>1</v>
      </c>
      <c r="AG50" s="1">
        <f t="shared" si="56"/>
        <v>2</v>
      </c>
      <c r="AH50">
        <f t="shared" si="77"/>
        <v>84.823001646924411</v>
      </c>
      <c r="AI50">
        <f>IF(Z50="medium dense",'[1]Coefficient Normal'!$E$18 + ('[1]Coefficient Normal'!$E$19*AG50) + ('[1]Coefficient Normal'!$E$20*(AG50^2)) + ('[1]Coefficient Normal'!$E$21*(AG50^3)) + ('[1]Coefficient Normal'!$E$22*(AG50^4)),IF(Z50="dense",'[1]Coefficient Normal'!$F$18 + ('[1]Coefficient Normal'!$F$19*AG50) + ('[1]Coefficient Normal'!$F$20*(AG50^2)) + ('[1]Coefficient Normal'!$F$21*(AG50^3)) + ('[1]Coefficient Normal'!$F$22*(AG50^4)),IF(Z50="very dense",'[1]Coefficient Normal'!$G$18 + ('[1]Coefficient Normal'!$G$19*AG50) + ('[1]Coefficient Normal'!$G$20*(AG50^2)) + ('[1]Coefficient Normal'!$G$21*(AG50^3)) + ('[1]Coefficient Normal'!$G$22*(AG50^4)),0)))</f>
        <v>0</v>
      </c>
      <c r="AJ50">
        <f t="shared" si="57"/>
        <v>0</v>
      </c>
      <c r="AK50">
        <f t="shared" si="58"/>
        <v>192.75</v>
      </c>
      <c r="AL50">
        <f t="shared" si="78"/>
        <v>5.2613940124434393</v>
      </c>
      <c r="AM50">
        <f t="shared" si="59"/>
        <v>3.9606881774094269</v>
      </c>
      <c r="AN50">
        <f t="shared" si="60"/>
        <v>4.4405667518537291</v>
      </c>
      <c r="AO50" s="1">
        <v>2.8500987279999999</v>
      </c>
      <c r="AP50" s="5">
        <f>VLOOKUP(X50,'[1]Coefficient Normal'!$A$3:$H$7,2,TRUE)</f>
        <v>3.7532999999999999</v>
      </c>
      <c r="AQ50" s="5">
        <f>VLOOKUP(X50,'[1]Coefficient Normal'!$A$3:$H$7,3,TRUE)</f>
        <v>0.14510000000000001</v>
      </c>
      <c r="AR50" s="5">
        <f>VLOOKUP(X50,'[1]Coefficient Normal'!$A$3:$H$7,4,TRUE)</f>
        <v>1.2497</v>
      </c>
      <c r="AS50" s="5">
        <f>VLOOKUP(X50,'[1]Coefficient Normal'!$A$3:$H$7,5,TRUE)</f>
        <v>-0.46100000000000002</v>
      </c>
      <c r="AT50" s="5">
        <f>VLOOKUP(X50,'[1]Coefficient Normal'!$A$3:$H$7,6,TRUE)</f>
        <v>0.39140000000000003</v>
      </c>
      <c r="AU50" s="5">
        <f>VLOOKUP(X50,'[1]Coefficient Normal'!$A$3:$H$7,7,TRUE)</f>
        <v>-0.21310000000000001</v>
      </c>
      <c r="AV50" s="5">
        <f>VLOOKUP(X50,'[1]Coefficient Normal'!$A$3:$H$7,8,TRUE)</f>
        <v>-0.34139999999999998</v>
      </c>
      <c r="AX50" s="5">
        <f t="shared" si="61"/>
        <v>-0.66849052852826096</v>
      </c>
      <c r="BD50" s="5"/>
      <c r="BE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I50" s="5"/>
    </row>
    <row r="51" spans="1:87" x14ac:dyDescent="0.25">
      <c r="A51">
        <v>6</v>
      </c>
      <c r="B51">
        <f t="shared" si="79"/>
        <v>23.5</v>
      </c>
      <c r="C51">
        <v>-90</v>
      </c>
      <c r="D51" t="str">
        <f t="shared" si="62"/>
        <v>Normal</v>
      </c>
      <c r="E51">
        <f t="shared" si="80"/>
        <v>23.5</v>
      </c>
      <c r="F51">
        <v>0.3</v>
      </c>
      <c r="G51">
        <f t="shared" si="63"/>
        <v>0.75235285391034024</v>
      </c>
      <c r="I51">
        <f t="shared" si="64"/>
        <v>23.5</v>
      </c>
      <c r="J51">
        <v>1.0668</v>
      </c>
      <c r="K51">
        <f t="shared" si="65"/>
        <v>1066.8</v>
      </c>
      <c r="L51">
        <v>9.5250000000000005E-3</v>
      </c>
      <c r="M51">
        <f t="shared" si="65"/>
        <v>9.5250000000000004</v>
      </c>
      <c r="N51" s="3">
        <f t="shared" si="66"/>
        <v>111.99999999999999</v>
      </c>
      <c r="O51" s="1">
        <v>50</v>
      </c>
      <c r="P51" s="4" t="s">
        <v>77</v>
      </c>
      <c r="Q51" s="1">
        <f t="shared" si="67"/>
        <v>15</v>
      </c>
      <c r="R51" s="1">
        <f t="shared" si="68"/>
        <v>20</v>
      </c>
      <c r="S51" s="1">
        <f t="shared" si="69"/>
        <v>552000</v>
      </c>
      <c r="T51" s="1">
        <f t="shared" si="70"/>
        <v>625000</v>
      </c>
      <c r="U51" s="1">
        <f t="shared" si="71"/>
        <v>2.9888368774026359</v>
      </c>
      <c r="V51" s="3">
        <f>100*IF(P51='[1]Estimation Model Normal-Slip'!$J$8,'[1]Estimation Model Normal-Slip'!$O$8,IF(P51='[1]Estimation Model Normal-Slip'!$J$9,'[1]Estimation Model Normal-Slip'!$O$9,IF(P51='[1]Estimation Model Normal-Slip'!$J$10,'[1]Estimation Model Normal-Slip'!$O$10,IF(P51='[1]Estimation Model Normal-Slip'!$J$11,'[1]Estimation Model Normal-Slip'!$O$11,IF(P51='[1]Estimation Model Normal-Slip'!$J$12,'[1]Estimation Model Normal-Slip'!$O$12,IF(P51='[1]Estimation Model Normal-Slip'!$J$13,'[1]Estimation Model Normal-Slip'!$O$13,2))))))</f>
        <v>2.8464933991254466</v>
      </c>
      <c r="W51" s="1">
        <f t="shared" si="72"/>
        <v>1.0948843075076633</v>
      </c>
      <c r="X51" s="1">
        <v>60</v>
      </c>
      <c r="Y51" s="1" t="s">
        <v>71</v>
      </c>
      <c r="Z51" t="s">
        <v>76</v>
      </c>
      <c r="AA51">
        <f t="shared" si="73"/>
        <v>18.5</v>
      </c>
      <c r="AB51" s="1">
        <f t="shared" si="74"/>
        <v>0</v>
      </c>
      <c r="AC51">
        <f t="shared" si="75"/>
        <v>125</v>
      </c>
      <c r="AD51">
        <f t="shared" si="76"/>
        <v>0.4</v>
      </c>
      <c r="AE51">
        <v>0.9</v>
      </c>
      <c r="AF51" s="1">
        <v>1.2</v>
      </c>
      <c r="AG51" s="1">
        <f t="shared" si="56"/>
        <v>1.8</v>
      </c>
      <c r="AH51">
        <f t="shared" si="77"/>
        <v>167.57255214247957</v>
      </c>
      <c r="AI51">
        <f>IF(Z51="medium dense",'[1]Coefficient Normal'!$E$18 + ('[1]Coefficient Normal'!$E$19*AG51) + ('[1]Coefficient Normal'!$E$20*(AG51^2)) + ('[1]Coefficient Normal'!$E$21*(AG51^3)) + ('[1]Coefficient Normal'!$E$22*(AG51^4)),IF(Z51="dense",'[1]Coefficient Normal'!$F$18 + ('[1]Coefficient Normal'!$F$19*AG51) + ('[1]Coefficient Normal'!$F$20*(AG51^2)) + ('[1]Coefficient Normal'!$F$21*(AG51^3)) + ('[1]Coefficient Normal'!$F$22*(AG51^4)),IF(Z51="very dense",'[1]Coefficient Normal'!$G$18 + ('[1]Coefficient Normal'!$G$19*AG51) + ('[1]Coefficient Normal'!$G$20*(AG51^2)) + ('[1]Coefficient Normal'!$G$21*(AG51^3)) + ('[1]Coefficient Normal'!$G$22*(AG51^4)),0)))</f>
        <v>0</v>
      </c>
      <c r="AJ51">
        <f t="shared" si="57"/>
        <v>0</v>
      </c>
      <c r="AK51">
        <f t="shared" si="58"/>
        <v>685.41899999999998</v>
      </c>
      <c r="AL51">
        <f t="shared" si="78"/>
        <v>6.530030330095097</v>
      </c>
      <c r="AM51">
        <f t="shared" si="59"/>
        <v>4.7184988712950942</v>
      </c>
      <c r="AN51">
        <f t="shared" si="60"/>
        <v>5.1214164046032682</v>
      </c>
      <c r="AO51" s="1">
        <v>3.0002260330000001</v>
      </c>
      <c r="AP51" s="5">
        <f>VLOOKUP(X51,'[1]Coefficient Normal'!$A$3:$H$7,2,TRUE)</f>
        <v>4.3182999999999998</v>
      </c>
      <c r="AQ51" s="5">
        <f>VLOOKUP(X51,'[1]Coefficient Normal'!$A$3:$H$7,3,TRUE)</f>
        <v>-2.7900000000000001E-2</v>
      </c>
      <c r="AR51" s="5">
        <f>VLOOKUP(X51,'[1]Coefficient Normal'!$A$3:$H$7,4,TRUE)</f>
        <v>1.0497000000000001</v>
      </c>
      <c r="AS51" s="5">
        <f>VLOOKUP(X51,'[1]Coefficient Normal'!$A$3:$H$7,5,TRUE)</f>
        <v>-0.46910000000000002</v>
      </c>
      <c r="AT51" s="5">
        <f>VLOOKUP(X51,'[1]Coefficient Normal'!$A$3:$H$7,6,TRUE)</f>
        <v>0.29149999999999998</v>
      </c>
      <c r="AU51" s="5">
        <f>VLOOKUP(X51,'[1]Coefficient Normal'!$A$3:$H$7,7,TRUE)</f>
        <v>-0.28610000000000002</v>
      </c>
      <c r="AV51" s="5">
        <f>VLOOKUP(X51,'[1]Coefficient Normal'!$A$3:$H$7,8,TRUE)</f>
        <v>-0.1348</v>
      </c>
      <c r="AX51" s="5">
        <f t="shared" si="61"/>
        <v>-0.17586580558020715</v>
      </c>
      <c r="BD51" s="5"/>
      <c r="BE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I51" s="5"/>
    </row>
    <row r="52" spans="1:87" x14ac:dyDescent="0.25">
      <c r="A52">
        <v>7</v>
      </c>
      <c r="B52">
        <f t="shared" si="79"/>
        <v>28</v>
      </c>
      <c r="C52">
        <v>-90</v>
      </c>
      <c r="D52" t="str">
        <f t="shared" si="62"/>
        <v>Normal</v>
      </c>
      <c r="E52">
        <f t="shared" si="80"/>
        <v>28</v>
      </c>
      <c r="F52">
        <v>0.5</v>
      </c>
      <c r="G52">
        <f t="shared" si="63"/>
        <v>1.0650272340947562</v>
      </c>
      <c r="I52">
        <f t="shared" si="64"/>
        <v>28</v>
      </c>
      <c r="J52">
        <v>0.60960000000000003</v>
      </c>
      <c r="K52">
        <f t="shared" si="65"/>
        <v>609.6</v>
      </c>
      <c r="L52">
        <v>9.5250000000000005E-3</v>
      </c>
      <c r="M52">
        <f t="shared" si="65"/>
        <v>9.5250000000000004</v>
      </c>
      <c r="N52" s="3">
        <f t="shared" si="66"/>
        <v>64</v>
      </c>
      <c r="O52" s="1">
        <v>100</v>
      </c>
      <c r="P52" s="4" t="s">
        <v>70</v>
      </c>
      <c r="Q52" s="1">
        <f t="shared" si="67"/>
        <v>8</v>
      </c>
      <c r="R52" s="1">
        <f t="shared" si="68"/>
        <v>10</v>
      </c>
      <c r="S52" s="1">
        <f t="shared" si="69"/>
        <v>359000</v>
      </c>
      <c r="T52" s="1">
        <f t="shared" si="70"/>
        <v>455000</v>
      </c>
      <c r="U52" s="1">
        <f t="shared" si="71"/>
        <v>1.9969902892117808</v>
      </c>
      <c r="V52" s="3">
        <f>100*IF(P52='[1]Estimation Model Normal-Slip'!$J$8,'[1]Estimation Model Normal-Slip'!$O$8,IF(P52='[1]Estimation Model Normal-Slip'!$J$9,'[1]Estimation Model Normal-Slip'!$O$9,IF(P52='[1]Estimation Model Normal-Slip'!$J$10,'[1]Estimation Model Normal-Slip'!$O$10,IF(P52='[1]Estimation Model Normal-Slip'!$J$11,'[1]Estimation Model Normal-Slip'!$O$11,IF(P52='[1]Estimation Model Normal-Slip'!$J$12,'[1]Estimation Model Normal-Slip'!$O$12,IF(P52='[1]Estimation Model Normal-Slip'!$J$13,'[1]Estimation Model Normal-Slip'!$O$13,2))))))</f>
        <v>1.9041242414694344</v>
      </c>
      <c r="W52" s="1">
        <f t="shared" si="72"/>
        <v>0.69164119173371341</v>
      </c>
      <c r="X52" s="1">
        <v>75</v>
      </c>
      <c r="Y52" s="1" t="s">
        <v>71</v>
      </c>
      <c r="Z52" t="s">
        <v>72</v>
      </c>
      <c r="AA52">
        <f t="shared" si="73"/>
        <v>17.5</v>
      </c>
      <c r="AB52" s="1">
        <f t="shared" si="74"/>
        <v>0</v>
      </c>
      <c r="AC52">
        <f t="shared" si="75"/>
        <v>37.5</v>
      </c>
      <c r="AD52">
        <f t="shared" si="76"/>
        <v>1.1000000000000001</v>
      </c>
      <c r="AE52">
        <v>0.9</v>
      </c>
      <c r="AF52" s="1">
        <v>0.78739999999999999</v>
      </c>
      <c r="AG52" s="1">
        <f t="shared" si="56"/>
        <v>1.8</v>
      </c>
      <c r="AH52">
        <f t="shared" si="77"/>
        <v>78.998488867168945</v>
      </c>
      <c r="AI52">
        <f>IF(Z52="medium dense",'[1]Coefficient Normal'!$E$18 + ('[1]Coefficient Normal'!$E$19*AG52) + ('[1]Coefficient Normal'!$E$20*(AG52^2)) + ('[1]Coefficient Normal'!$E$21*(AG52^3)) + ('[1]Coefficient Normal'!$E$22*(AG52^4)),IF(Z52="dense",'[1]Coefficient Normal'!$F$18 + ('[1]Coefficient Normal'!$F$19*AG52) + ('[1]Coefficient Normal'!$F$20*(AG52^2)) + ('[1]Coefficient Normal'!$F$21*(AG52^3)) + ('[1]Coefficient Normal'!$F$22*(AG52^4)),IF(Z52="very dense",'[1]Coefficient Normal'!$G$18 + ('[1]Coefficient Normal'!$G$19*AG52) + ('[1]Coefficient Normal'!$G$20*(AG52^2)) + ('[1]Coefficient Normal'!$G$21*(AG52^3)) + ('[1]Coefficient Normal'!$G$22*(AG52^4)),0)))</f>
        <v>0</v>
      </c>
      <c r="AJ52">
        <f t="shared" si="57"/>
        <v>0</v>
      </c>
      <c r="AK52">
        <f t="shared" si="58"/>
        <v>117.5004</v>
      </c>
      <c r="AL52">
        <f t="shared" si="78"/>
        <v>4.7664417378337385</v>
      </c>
      <c r="AM52">
        <f t="shared" si="59"/>
        <v>4.1588830833596715</v>
      </c>
      <c r="AN52">
        <f t="shared" si="60"/>
        <v>4.3694287240203895</v>
      </c>
      <c r="AO52" s="1">
        <v>0.14999670000000001</v>
      </c>
      <c r="AP52" s="5">
        <f>VLOOKUP(X52,'[1]Coefficient Normal'!$A$3:$H$7,2,TRUE)</f>
        <v>5.5951000000000004</v>
      </c>
      <c r="AQ52" s="5">
        <f>VLOOKUP(X52,'[1]Coefficient Normal'!$A$3:$H$7,3,TRUE)</f>
        <v>1.6E-2</v>
      </c>
      <c r="AR52" s="5">
        <f>VLOOKUP(X52,'[1]Coefficient Normal'!$A$3:$H$7,4,TRUE)</f>
        <v>1.2641</v>
      </c>
      <c r="AS52" s="5">
        <f>VLOOKUP(X52,'[1]Coefficient Normal'!$A$3:$H$7,5,TRUE)</f>
        <v>-0.52429999999999999</v>
      </c>
      <c r="AT52" s="5">
        <f>VLOOKUP(X52,'[1]Coefficient Normal'!$A$3:$H$7,6,TRUE)</f>
        <v>0.35830000000000001</v>
      </c>
      <c r="AU52" s="5">
        <f>VLOOKUP(X52,'[1]Coefficient Normal'!$A$3:$H$7,7,TRUE)</f>
        <v>-0.35920000000000002</v>
      </c>
      <c r="AV52" s="5">
        <f>VLOOKUP(X52,'[1]Coefficient Normal'!$A$3:$H$7,8,TRUE)</f>
        <v>-0.2482</v>
      </c>
      <c r="AX52" s="5">
        <f t="shared" si="61"/>
        <v>0.31382810950266227</v>
      </c>
      <c r="BD52" s="5"/>
      <c r="BE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I52" s="5"/>
    </row>
    <row r="53" spans="1:87" x14ac:dyDescent="0.25">
      <c r="A53">
        <v>8</v>
      </c>
      <c r="B53">
        <f t="shared" si="79"/>
        <v>32.5</v>
      </c>
      <c r="C53">
        <v>-90</v>
      </c>
      <c r="D53" t="str">
        <f t="shared" si="62"/>
        <v>Normal</v>
      </c>
      <c r="E53">
        <f t="shared" si="80"/>
        <v>32.5</v>
      </c>
      <c r="F53">
        <v>0.65</v>
      </c>
      <c r="G53">
        <f t="shared" si="63"/>
        <v>1.2097533478573255</v>
      </c>
      <c r="I53">
        <f t="shared" si="64"/>
        <v>32.5</v>
      </c>
      <c r="J53">
        <v>0.40960000000000002</v>
      </c>
      <c r="K53">
        <f t="shared" si="65"/>
        <v>409.6</v>
      </c>
      <c r="L53">
        <v>9.5250000000000005E-3</v>
      </c>
      <c r="M53">
        <f t="shared" si="65"/>
        <v>9.5250000000000004</v>
      </c>
      <c r="N53" s="3">
        <f t="shared" si="66"/>
        <v>43.00262467191601</v>
      </c>
      <c r="O53" s="1">
        <v>300</v>
      </c>
      <c r="P53" s="4" t="s">
        <v>73</v>
      </c>
      <c r="Q53" s="1">
        <f t="shared" si="67"/>
        <v>8</v>
      </c>
      <c r="R53" s="1">
        <f t="shared" si="68"/>
        <v>12</v>
      </c>
      <c r="S53" s="1">
        <f t="shared" si="69"/>
        <v>414000</v>
      </c>
      <c r="T53" s="1">
        <f t="shared" si="70"/>
        <v>517000</v>
      </c>
      <c r="U53" s="1">
        <f t="shared" si="71"/>
        <v>2.5466769467238102</v>
      </c>
      <c r="V53" s="3">
        <f>100*IF(P53='[1]Estimation Model Normal-Slip'!$J$8,'[1]Estimation Model Normal-Slip'!$O$8,IF(P53='[1]Estimation Model Normal-Slip'!$J$9,'[1]Estimation Model Normal-Slip'!$O$9,IF(P53='[1]Estimation Model Normal-Slip'!$J$10,'[1]Estimation Model Normal-Slip'!$O$10,IF(P53='[1]Estimation Model Normal-Slip'!$J$11,'[1]Estimation Model Normal-Slip'!$O$11,IF(P53='[1]Estimation Model Normal-Slip'!$J$12,'[1]Estimation Model Normal-Slip'!$O$12,IF(P53='[1]Estimation Model Normal-Slip'!$J$13,'[1]Estimation Model Normal-Slip'!$O$13,2))))))</f>
        <v>2.4313344008036557</v>
      </c>
      <c r="W53" s="1">
        <f t="shared" si="72"/>
        <v>0.93478935117382533</v>
      </c>
      <c r="X53" s="1">
        <v>90</v>
      </c>
      <c r="Y53" s="1" t="s">
        <v>71</v>
      </c>
      <c r="Z53" t="s">
        <v>74</v>
      </c>
      <c r="AA53">
        <f t="shared" si="73"/>
        <v>18</v>
      </c>
      <c r="AB53" s="1">
        <f t="shared" si="74"/>
        <v>0</v>
      </c>
      <c r="AC53">
        <f t="shared" si="75"/>
        <v>75</v>
      </c>
      <c r="AD53">
        <f t="shared" si="76"/>
        <v>0.72</v>
      </c>
      <c r="AE53">
        <v>0.9</v>
      </c>
      <c r="AF53" s="1">
        <v>1</v>
      </c>
      <c r="AG53" s="1">
        <f t="shared" si="56"/>
        <v>2.44140625</v>
      </c>
      <c r="AH53">
        <f t="shared" si="77"/>
        <v>69.487002949160484</v>
      </c>
      <c r="AI53">
        <f>IF(Z53="medium dense",'[1]Coefficient Normal'!$E$18 + ('[1]Coefficient Normal'!$E$19*AG53) + ('[1]Coefficient Normal'!$E$20*(AG53^2)) + ('[1]Coefficient Normal'!$E$21*(AG53^3)) + ('[1]Coefficient Normal'!$E$22*(AG53^4)),IF(Z53="dense",'[1]Coefficient Normal'!$F$18 + ('[1]Coefficient Normal'!$F$19*AG53) + ('[1]Coefficient Normal'!$F$20*(AG53^2)) + ('[1]Coefficient Normal'!$F$21*(AG53^3)) + ('[1]Coefficient Normal'!$F$22*(AG53^4)),IF(Z53="very dense",'[1]Coefficient Normal'!$G$18 + ('[1]Coefficient Normal'!$G$19*AG53) + ('[1]Coefficient Normal'!$G$20*(AG53^2)) + ('[1]Coefficient Normal'!$G$21*(AG53^3)) + ('[1]Coefficient Normal'!$G$22*(AG53^4)),0)))</f>
        <v>0</v>
      </c>
      <c r="AJ53">
        <f t="shared" si="57"/>
        <v>0</v>
      </c>
      <c r="AK53">
        <f t="shared" si="58"/>
        <v>157.9008</v>
      </c>
      <c r="AL53">
        <f t="shared" si="78"/>
        <v>5.061966987746545</v>
      </c>
      <c r="AM53">
        <f t="shared" si="59"/>
        <v>3.7612611527125335</v>
      </c>
      <c r="AN53">
        <f t="shared" si="60"/>
        <v>4.2411397271568356</v>
      </c>
      <c r="AO53" s="1">
        <v>0.29999340000000002</v>
      </c>
      <c r="AP53" s="5">
        <f>VLOOKUP(X53,'[1]Coefficient Normal'!$A$3:$H$7,2,TRUE)</f>
        <v>14.575100000000001</v>
      </c>
      <c r="AQ53" s="5">
        <f>VLOOKUP(X53,'[1]Coefficient Normal'!$A$3:$H$7,3,TRUE)</f>
        <v>0.1356</v>
      </c>
      <c r="AR53" s="5">
        <f>VLOOKUP(X53,'[1]Coefficient Normal'!$A$3:$H$7,4,TRUE)</f>
        <v>2.9990000000000001</v>
      </c>
      <c r="AS53" s="5">
        <f>VLOOKUP(X53,'[1]Coefficient Normal'!$A$3:$H$7,5,TRUE)</f>
        <v>-0.94710000000000005</v>
      </c>
      <c r="AT53" s="5">
        <f>VLOOKUP(X53,'[1]Coefficient Normal'!$A$3:$H$7,6,TRUE)</f>
        <v>0.6603</v>
      </c>
      <c r="AU53" s="5">
        <f>VLOOKUP(X53,'[1]Coefficient Normal'!$A$3:$H$7,7,TRUE)</f>
        <v>-1.2488999999999999</v>
      </c>
      <c r="AV53" s="5">
        <f>VLOOKUP(X53,'[1]Coefficient Normal'!$A$3:$H$7,8,TRUE)</f>
        <v>-0.44140000000000001</v>
      </c>
      <c r="AX53" s="5">
        <f t="shared" si="61"/>
        <v>1.5327241862804701</v>
      </c>
      <c r="BD53" s="5"/>
      <c r="BE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I53" s="5"/>
    </row>
    <row r="54" spans="1:87" x14ac:dyDescent="0.25">
      <c r="A54">
        <v>9</v>
      </c>
      <c r="B54">
        <f t="shared" si="79"/>
        <v>37</v>
      </c>
      <c r="C54">
        <v>-90</v>
      </c>
      <c r="D54" t="str">
        <f t="shared" si="62"/>
        <v>Normal</v>
      </c>
      <c r="E54">
        <f t="shared" si="80"/>
        <v>37</v>
      </c>
      <c r="F54">
        <v>0.54</v>
      </c>
      <c r="G54">
        <f t="shared" si="63"/>
        <v>0.89728567620614086</v>
      </c>
      <c r="I54">
        <f t="shared" si="64"/>
        <v>37</v>
      </c>
      <c r="J54">
        <v>0.89600000000000002</v>
      </c>
      <c r="K54">
        <f t="shared" si="65"/>
        <v>896</v>
      </c>
      <c r="L54">
        <v>9.5250000000000005E-3</v>
      </c>
      <c r="M54">
        <f t="shared" si="65"/>
        <v>9.5250000000000004</v>
      </c>
      <c r="N54" s="3">
        <f t="shared" si="66"/>
        <v>94.068241469816272</v>
      </c>
      <c r="O54" s="1">
        <v>30</v>
      </c>
      <c r="P54" s="4" t="s">
        <v>75</v>
      </c>
      <c r="Q54" s="1">
        <f t="shared" si="67"/>
        <v>14</v>
      </c>
      <c r="R54" s="1">
        <f t="shared" si="68"/>
        <v>15</v>
      </c>
      <c r="S54" s="1">
        <f t="shared" si="69"/>
        <v>483000</v>
      </c>
      <c r="T54" s="1">
        <f t="shared" si="70"/>
        <v>565000</v>
      </c>
      <c r="U54" s="1">
        <f t="shared" si="71"/>
        <v>2.8799444073326219</v>
      </c>
      <c r="V54" s="3">
        <f>100*IF(P54='[1]Estimation Model Normal-Slip'!$J$8,'[1]Estimation Model Normal-Slip'!$O$8,IF(P54='[1]Estimation Model Normal-Slip'!$J$9,'[1]Estimation Model Normal-Slip'!$O$9,IF(P54='[1]Estimation Model Normal-Slip'!$J$10,'[1]Estimation Model Normal-Slip'!$O$10,IF(P54='[1]Estimation Model Normal-Slip'!$J$11,'[1]Estimation Model Normal-Slip'!$O$11,IF(P54='[1]Estimation Model Normal-Slip'!$J$12,'[1]Estimation Model Normal-Slip'!$O$12,IF(P54='[1]Estimation Model Normal-Slip'!$J$13,'[1]Estimation Model Normal-Slip'!$O$13,2))))))</f>
        <v>2.7690517990613435</v>
      </c>
      <c r="W54" s="1">
        <f t="shared" si="72"/>
        <v>1.0577709909520427</v>
      </c>
      <c r="X54" s="1">
        <v>45</v>
      </c>
      <c r="Y54" s="1" t="s">
        <v>71</v>
      </c>
      <c r="Z54" t="s">
        <v>76</v>
      </c>
      <c r="AA54">
        <f t="shared" si="73"/>
        <v>18.5</v>
      </c>
      <c r="AB54" s="1">
        <f t="shared" si="74"/>
        <v>0</v>
      </c>
      <c r="AC54">
        <f t="shared" si="75"/>
        <v>125</v>
      </c>
      <c r="AD54">
        <f t="shared" si="76"/>
        <v>0.4</v>
      </c>
      <c r="AE54">
        <v>0.9</v>
      </c>
      <c r="AF54" s="1">
        <v>1.2</v>
      </c>
      <c r="AG54" s="1">
        <f t="shared" si="56"/>
        <v>1.8</v>
      </c>
      <c r="AH54">
        <f t="shared" si="77"/>
        <v>140.74335088082273</v>
      </c>
      <c r="AI54">
        <f>IF(Z54="medium dense",'[1]Coefficient Normal'!$E$18 + ('[1]Coefficient Normal'!$E$19*AG54) + ('[1]Coefficient Normal'!$E$20*(AG54^2)) + ('[1]Coefficient Normal'!$E$21*(AG54^3)) + ('[1]Coefficient Normal'!$E$22*(AG54^4)),IF(Z54="dense",'[1]Coefficient Normal'!$F$18 + ('[1]Coefficient Normal'!$F$19*AG54) + ('[1]Coefficient Normal'!$F$20*(AG54^2)) + ('[1]Coefficient Normal'!$F$21*(AG54^3)) + ('[1]Coefficient Normal'!$F$22*(AG54^4)),IF(Z54="very dense",'[1]Coefficient Normal'!$G$18 + ('[1]Coefficient Normal'!$G$19*AG54) + ('[1]Coefficient Normal'!$G$20*(AG54^2)) + ('[1]Coefficient Normal'!$G$21*(AG54^3)) + ('[1]Coefficient Normal'!$G$22*(AG54^4)),0)))</f>
        <v>0</v>
      </c>
      <c r="AJ54">
        <f t="shared" si="57"/>
        <v>0</v>
      </c>
      <c r="AK54">
        <f t="shared" si="58"/>
        <v>575.68000000000006</v>
      </c>
      <c r="AL54">
        <f t="shared" si="78"/>
        <v>6.3555519507621687</v>
      </c>
      <c r="AM54">
        <f t="shared" si="59"/>
        <v>4.5440204919621658</v>
      </c>
      <c r="AN54">
        <f t="shared" si="60"/>
        <v>4.9469380252703399</v>
      </c>
      <c r="AO54" s="1">
        <v>0.4499901</v>
      </c>
      <c r="AP54" s="5">
        <f>VLOOKUP(X54,'[1]Coefficient Normal'!$A$3:$H$7,2,TRUE)</f>
        <v>3.7532999999999999</v>
      </c>
      <c r="AQ54" s="5">
        <f>VLOOKUP(X54,'[1]Coefficient Normal'!$A$3:$H$7,3,TRUE)</f>
        <v>0.14510000000000001</v>
      </c>
      <c r="AR54" s="5">
        <f>VLOOKUP(X54,'[1]Coefficient Normal'!$A$3:$H$7,4,TRUE)</f>
        <v>1.2497</v>
      </c>
      <c r="AS54" s="5">
        <f>VLOOKUP(X54,'[1]Coefficient Normal'!$A$3:$H$7,5,TRUE)</f>
        <v>-0.46100000000000002</v>
      </c>
      <c r="AT54" s="5">
        <f>VLOOKUP(X54,'[1]Coefficient Normal'!$A$3:$H$7,6,TRUE)</f>
        <v>0.39140000000000003</v>
      </c>
      <c r="AU54" s="5">
        <f>VLOOKUP(X54,'[1]Coefficient Normal'!$A$3:$H$7,7,TRUE)</f>
        <v>-0.21310000000000001</v>
      </c>
      <c r="AV54" s="5">
        <f>VLOOKUP(X54,'[1]Coefficient Normal'!$A$3:$H$7,8,TRUE)</f>
        <v>-0.34139999999999998</v>
      </c>
      <c r="AX54" s="5">
        <f t="shared" si="61"/>
        <v>-0.61445654144066819</v>
      </c>
      <c r="BD54" s="5"/>
      <c r="BE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I54" s="5"/>
    </row>
    <row r="55" spans="1:87" x14ac:dyDescent="0.25">
      <c r="A55">
        <v>10</v>
      </c>
      <c r="B55">
        <f t="shared" si="79"/>
        <v>41.5</v>
      </c>
      <c r="C55">
        <v>-90</v>
      </c>
      <c r="D55" t="str">
        <f t="shared" si="62"/>
        <v>Normal</v>
      </c>
      <c r="E55">
        <f t="shared" si="80"/>
        <v>41.5</v>
      </c>
      <c r="F55">
        <v>0.5</v>
      </c>
      <c r="G55">
        <f t="shared" si="63"/>
        <v>0.75458024752853348</v>
      </c>
      <c r="I55">
        <f t="shared" si="64"/>
        <v>41.5</v>
      </c>
      <c r="J55">
        <v>0.5</v>
      </c>
      <c r="K55">
        <f t="shared" si="65"/>
        <v>500</v>
      </c>
      <c r="L55">
        <v>9.5250000000000005E-3</v>
      </c>
      <c r="M55">
        <f t="shared" si="65"/>
        <v>9.5250000000000004</v>
      </c>
      <c r="N55" s="3">
        <f t="shared" si="66"/>
        <v>52.493438320209975</v>
      </c>
      <c r="O55" s="1">
        <v>50</v>
      </c>
      <c r="P55" s="4" t="s">
        <v>70</v>
      </c>
      <c r="Q55" s="1">
        <f t="shared" si="67"/>
        <v>8</v>
      </c>
      <c r="R55" s="1">
        <f t="shared" si="68"/>
        <v>10</v>
      </c>
      <c r="S55" s="1">
        <f t="shared" si="69"/>
        <v>359000</v>
      </c>
      <c r="T55" s="1">
        <f t="shared" si="70"/>
        <v>455000</v>
      </c>
      <c r="U55" s="1">
        <f t="shared" si="71"/>
        <v>1.9969902892117808</v>
      </c>
      <c r="V55" s="3">
        <f>100*IF(P55='[1]Estimation Model Normal-Slip'!$J$8,'[1]Estimation Model Normal-Slip'!$O$8,IF(P55='[1]Estimation Model Normal-Slip'!$J$9,'[1]Estimation Model Normal-Slip'!$O$9,IF(P55='[1]Estimation Model Normal-Slip'!$J$10,'[1]Estimation Model Normal-Slip'!$O$10,IF(P55='[1]Estimation Model Normal-Slip'!$J$11,'[1]Estimation Model Normal-Slip'!$O$11,IF(P55='[1]Estimation Model Normal-Slip'!$J$12,'[1]Estimation Model Normal-Slip'!$O$12,IF(P55='[1]Estimation Model Normal-Slip'!$J$13,'[1]Estimation Model Normal-Slip'!$O$13,2))))))</f>
        <v>1.9041242414694344</v>
      </c>
      <c r="W55" s="1">
        <f t="shared" si="72"/>
        <v>0.69164119173371341</v>
      </c>
      <c r="X55" s="1">
        <v>60</v>
      </c>
      <c r="Y55" s="1" t="s">
        <v>71</v>
      </c>
      <c r="Z55" t="s">
        <v>72</v>
      </c>
      <c r="AA55">
        <f t="shared" si="73"/>
        <v>17.5</v>
      </c>
      <c r="AB55" s="1">
        <f t="shared" si="74"/>
        <v>0</v>
      </c>
      <c r="AC55">
        <f t="shared" si="75"/>
        <v>37.5</v>
      </c>
      <c r="AD55">
        <f t="shared" si="76"/>
        <v>1.1000000000000001</v>
      </c>
      <c r="AE55">
        <v>0.9</v>
      </c>
      <c r="AF55" s="1">
        <v>2.5</v>
      </c>
      <c r="AG55" s="1">
        <f t="shared" si="56"/>
        <v>5</v>
      </c>
      <c r="AH55">
        <f t="shared" si="77"/>
        <v>64.795348480289491</v>
      </c>
      <c r="AI55">
        <f>IF(Z55="medium dense",'[1]Coefficient Normal'!$E$18 + ('[1]Coefficient Normal'!$E$19*AG55) + ('[1]Coefficient Normal'!$E$20*(AG55^2)) + ('[1]Coefficient Normal'!$E$21*(AG55^3)) + ('[1]Coefficient Normal'!$E$22*(AG55^4)),IF(Z55="dense",'[1]Coefficient Normal'!$F$18 + ('[1]Coefficient Normal'!$F$19*AG55) + ('[1]Coefficient Normal'!$F$20*(AG55^2)) + ('[1]Coefficient Normal'!$F$21*(AG55^3)) + ('[1]Coefficient Normal'!$F$22*(AG55^4)),IF(Z55="very dense",'[1]Coefficient Normal'!$G$18 + ('[1]Coefficient Normal'!$G$19*AG55) + ('[1]Coefficient Normal'!$G$20*(AG55^2)) + ('[1]Coefficient Normal'!$G$21*(AG55^3)) + ('[1]Coefficient Normal'!$G$22*(AG55^4)),0)))</f>
        <v>0</v>
      </c>
      <c r="AJ55">
        <f t="shared" si="57"/>
        <v>0</v>
      </c>
      <c r="AK55">
        <f t="shared" si="58"/>
        <v>96.375</v>
      </c>
      <c r="AL55" s="8">
        <f t="shared" si="78"/>
        <v>4.5682468318834939</v>
      </c>
      <c r="AM55" s="8">
        <f t="shared" si="59"/>
        <v>3.9606881774094269</v>
      </c>
      <c r="AN55" s="8">
        <f t="shared" si="60"/>
        <v>4.1712338180701449</v>
      </c>
      <c r="AO55" s="11">
        <v>0.59998680000000004</v>
      </c>
      <c r="AP55" s="5">
        <f>VLOOKUP(X55,'[1]Coefficient Normal'!$A$3:$H$7,2,TRUE)</f>
        <v>4.3182999999999998</v>
      </c>
      <c r="AQ55" s="5">
        <f>VLOOKUP(X55,'[1]Coefficient Normal'!$A$3:$H$7,3,TRUE)</f>
        <v>-2.7900000000000001E-2</v>
      </c>
      <c r="AR55" s="5">
        <f>VLOOKUP(X55,'[1]Coefficient Normal'!$A$3:$H$7,4,TRUE)</f>
        <v>1.0497000000000001</v>
      </c>
      <c r="AS55" s="5">
        <f>VLOOKUP(X55,'[1]Coefficient Normal'!$A$3:$H$7,5,TRUE)</f>
        <v>-0.46910000000000002</v>
      </c>
      <c r="AT55" s="5">
        <f>VLOOKUP(X55,'[1]Coefficient Normal'!$A$3:$H$7,6,TRUE)</f>
        <v>0.29149999999999998</v>
      </c>
      <c r="AU55" s="5">
        <f>VLOOKUP(X55,'[1]Coefficient Normal'!$A$3:$H$7,7,TRUE)</f>
        <v>-0.28610000000000002</v>
      </c>
      <c r="AV55" s="5">
        <f>VLOOKUP(X55,'[1]Coefficient Normal'!$A$3:$H$7,8,TRUE)</f>
        <v>-0.1348</v>
      </c>
      <c r="AX55" s="9">
        <f t="shared" si="61"/>
        <v>-4.4045191195327571E-2</v>
      </c>
      <c r="BD55" s="5"/>
      <c r="BE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I55" s="9"/>
    </row>
    <row r="56" spans="1:87" x14ac:dyDescent="0.25">
      <c r="A56">
        <v>11</v>
      </c>
      <c r="B56">
        <f t="shared" si="79"/>
        <v>46</v>
      </c>
      <c r="C56">
        <v>-90</v>
      </c>
      <c r="D56" t="str">
        <f t="shared" si="62"/>
        <v>Normal</v>
      </c>
      <c r="E56">
        <f t="shared" si="80"/>
        <v>46</v>
      </c>
      <c r="F56">
        <v>0.7</v>
      </c>
      <c r="G56">
        <f t="shared" si="63"/>
        <v>0.97311451371167501</v>
      </c>
      <c r="I56">
        <f t="shared" si="64"/>
        <v>46</v>
      </c>
      <c r="J56">
        <v>1.0668</v>
      </c>
      <c r="K56">
        <f t="shared" si="65"/>
        <v>1066.8</v>
      </c>
      <c r="L56" s="8">
        <v>9.5250000000000005E-3</v>
      </c>
      <c r="M56">
        <f t="shared" si="65"/>
        <v>9.5250000000000004</v>
      </c>
      <c r="N56" s="3">
        <f t="shared" si="66"/>
        <v>111.99999999999999</v>
      </c>
      <c r="O56" s="1">
        <v>100</v>
      </c>
      <c r="P56" s="4" t="s">
        <v>75</v>
      </c>
      <c r="Q56" s="1">
        <f t="shared" si="67"/>
        <v>14</v>
      </c>
      <c r="R56" s="1">
        <f t="shared" si="68"/>
        <v>15</v>
      </c>
      <c r="S56" s="1">
        <f t="shared" si="69"/>
        <v>483000</v>
      </c>
      <c r="T56" s="1">
        <f t="shared" si="70"/>
        <v>565000</v>
      </c>
      <c r="U56" s="1">
        <f t="shared" si="71"/>
        <v>2.8799444073326219</v>
      </c>
      <c r="V56" s="3">
        <f>100*IF(P56='[1]Estimation Model Normal-Slip'!$J$8,'[1]Estimation Model Normal-Slip'!$O$8,IF(P56='[1]Estimation Model Normal-Slip'!$J$9,'[1]Estimation Model Normal-Slip'!$O$9,IF(P56='[1]Estimation Model Normal-Slip'!$J$10,'[1]Estimation Model Normal-Slip'!$O$10,IF(P56='[1]Estimation Model Normal-Slip'!$J$11,'[1]Estimation Model Normal-Slip'!$O$11,IF(P56='[1]Estimation Model Normal-Slip'!$J$12,'[1]Estimation Model Normal-Slip'!$O$12,IF(P56='[1]Estimation Model Normal-Slip'!$J$13,'[1]Estimation Model Normal-Slip'!$O$13,2))))))</f>
        <v>2.7690517990613435</v>
      </c>
      <c r="W56" s="1">
        <f t="shared" si="72"/>
        <v>1.0577709909520427</v>
      </c>
      <c r="X56" s="1">
        <v>75</v>
      </c>
      <c r="Y56" s="1" t="s">
        <v>78</v>
      </c>
      <c r="Z56" t="s">
        <v>79</v>
      </c>
      <c r="AA56">
        <f t="shared" si="73"/>
        <v>18</v>
      </c>
      <c r="AB56" s="1">
        <f t="shared" si="74"/>
        <v>37</v>
      </c>
      <c r="AC56">
        <f t="shared" si="75"/>
        <v>0</v>
      </c>
      <c r="AD56">
        <f t="shared" si="76"/>
        <v>0</v>
      </c>
      <c r="AE56">
        <v>0.9</v>
      </c>
      <c r="AF56" s="1">
        <v>1</v>
      </c>
      <c r="AG56" s="1">
        <f t="shared" si="56"/>
        <v>1.8</v>
      </c>
      <c r="AH56">
        <f t="shared" si="77"/>
        <v>39.626853336736396</v>
      </c>
      <c r="AI56">
        <f>IF(Z56="medium dense",'[1]Coefficient Normal'!$E$18 + ('[1]Coefficient Normal'!$E$19*AG56) + ('[1]Coefficient Normal'!$E$20*(AG56^2)) + ('[1]Coefficient Normal'!$E$21*(AG56^3)) + ('[1]Coefficient Normal'!$E$22*(AG56^4)),IF(Z56="dense",'[1]Coefficient Normal'!$F$18 + ('[1]Coefficient Normal'!$F$19*AG56) + ('[1]Coefficient Normal'!$F$20*(AG56^2)) + ('[1]Coefficient Normal'!$F$21*(AG56^3)) + ('[1]Coefficient Normal'!$F$22*(AG56^4)),IF(Z56="very dense",'[1]Coefficient Normal'!$G$18 + ('[1]Coefficient Normal'!$G$19*AG56) + ('[1]Coefficient Normal'!$G$20*(AG56^2)) + ('[1]Coefficient Normal'!$G$21*(AG56^3)) + ('[1]Coefficient Normal'!$G$22*(AG56^4)),0)))</f>
        <v>12.698394373823998</v>
      </c>
      <c r="AJ56">
        <f t="shared" si="57"/>
        <v>64.071522599936642</v>
      </c>
      <c r="AK56">
        <f t="shared" si="58"/>
        <v>900.09607289656856</v>
      </c>
      <c r="AL56" s="8">
        <f t="shared" si="78"/>
        <v>6.8025015052900386</v>
      </c>
      <c r="AM56" s="8">
        <f t="shared" si="59"/>
        <v>4.7184988712950942</v>
      </c>
      <c r="AN56" s="8">
        <f t="shared" si="60"/>
        <v>3.6795070030086925</v>
      </c>
      <c r="AO56" s="11">
        <v>0.74998350000000003</v>
      </c>
      <c r="AP56" s="5">
        <f>VLOOKUP(X56,'[1]Coefficient Normal'!$A$3:$H$7,2,TRUE)</f>
        <v>5.5951000000000004</v>
      </c>
      <c r="AQ56" s="5">
        <f>VLOOKUP(X56,'[1]Coefficient Normal'!$A$3:$H$7,3,TRUE)</f>
        <v>1.6E-2</v>
      </c>
      <c r="AR56" s="5">
        <f>VLOOKUP(X56,'[1]Coefficient Normal'!$A$3:$H$7,4,TRUE)</f>
        <v>1.2641</v>
      </c>
      <c r="AS56" s="5">
        <f>VLOOKUP(X56,'[1]Coefficient Normal'!$A$3:$H$7,5,TRUE)</f>
        <v>-0.52429999999999999</v>
      </c>
      <c r="AT56" s="5">
        <f>VLOOKUP(X56,'[1]Coefficient Normal'!$A$3:$H$7,6,TRUE)</f>
        <v>0.35830000000000001</v>
      </c>
      <c r="AU56" s="5">
        <f>VLOOKUP(X56,'[1]Coefficient Normal'!$A$3:$H$7,7,TRUE)</f>
        <v>-0.35920000000000002</v>
      </c>
      <c r="AV56" s="5">
        <f>VLOOKUP(X56,'[1]Coefficient Normal'!$A$3:$H$7,8,TRUE)</f>
        <v>-0.2482</v>
      </c>
      <c r="AX56" s="9">
        <f t="shared" si="61"/>
        <v>0.29890207916201494</v>
      </c>
      <c r="BD56" s="5"/>
      <c r="BE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I56" s="9"/>
    </row>
    <row r="57" spans="1:87" x14ac:dyDescent="0.25">
      <c r="A57">
        <v>12</v>
      </c>
      <c r="B57">
        <f t="shared" si="79"/>
        <v>50.5</v>
      </c>
      <c r="C57">
        <v>-90</v>
      </c>
      <c r="D57" t="str">
        <f t="shared" si="62"/>
        <v>Normal</v>
      </c>
      <c r="E57">
        <f t="shared" si="80"/>
        <v>50.5</v>
      </c>
      <c r="F57">
        <v>0.6</v>
      </c>
      <c r="G57">
        <f t="shared" si="63"/>
        <v>0.77758020275323003</v>
      </c>
      <c r="I57">
        <f t="shared" si="64"/>
        <v>50.5</v>
      </c>
      <c r="J57">
        <v>0.60960000000000003</v>
      </c>
      <c r="K57">
        <f t="shared" si="65"/>
        <v>609.6</v>
      </c>
      <c r="L57">
        <v>9.5250000000000005E-3</v>
      </c>
      <c r="M57">
        <f t="shared" si="65"/>
        <v>9.5250000000000004</v>
      </c>
      <c r="N57" s="3">
        <f t="shared" si="66"/>
        <v>64</v>
      </c>
      <c r="O57" s="1">
        <v>300</v>
      </c>
      <c r="P57" s="4" t="s">
        <v>77</v>
      </c>
      <c r="Q57" s="1">
        <f t="shared" si="67"/>
        <v>15</v>
      </c>
      <c r="R57" s="1">
        <f t="shared" si="68"/>
        <v>20</v>
      </c>
      <c r="S57" s="1">
        <f t="shared" si="69"/>
        <v>552000</v>
      </c>
      <c r="T57" s="1">
        <f t="shared" si="70"/>
        <v>625000</v>
      </c>
      <c r="U57" s="1">
        <f t="shared" si="71"/>
        <v>2.9888368774026359</v>
      </c>
      <c r="V57" s="3">
        <f>100*IF(P57='[1]Estimation Model Normal-Slip'!$J$8,'[1]Estimation Model Normal-Slip'!$O$8,IF(P57='[1]Estimation Model Normal-Slip'!$J$9,'[1]Estimation Model Normal-Slip'!$O$9,IF(P57='[1]Estimation Model Normal-Slip'!$J$10,'[1]Estimation Model Normal-Slip'!$O$10,IF(P57='[1]Estimation Model Normal-Slip'!$J$11,'[1]Estimation Model Normal-Slip'!$O$11,IF(P57='[1]Estimation Model Normal-Slip'!$J$12,'[1]Estimation Model Normal-Slip'!$O$12,IF(P57='[1]Estimation Model Normal-Slip'!$J$13,'[1]Estimation Model Normal-Slip'!$O$13,2))))))</f>
        <v>2.8464933991254466</v>
      </c>
      <c r="W57" s="1">
        <f t="shared" si="72"/>
        <v>1.0948843075076633</v>
      </c>
      <c r="X57" s="1">
        <v>90</v>
      </c>
      <c r="Y57" s="1" t="s">
        <v>78</v>
      </c>
      <c r="Z57" t="s">
        <v>80</v>
      </c>
      <c r="AA57">
        <f t="shared" si="73"/>
        <v>18.5</v>
      </c>
      <c r="AB57" s="1">
        <f t="shared" si="74"/>
        <v>40</v>
      </c>
      <c r="AC57">
        <f t="shared" si="75"/>
        <v>0</v>
      </c>
      <c r="AD57">
        <f t="shared" si="76"/>
        <v>0</v>
      </c>
      <c r="AE57">
        <v>0.9</v>
      </c>
      <c r="AF57" s="1">
        <v>1.2</v>
      </c>
      <c r="AG57" s="1">
        <f t="shared" si="56"/>
        <v>1.9685039370078738</v>
      </c>
      <c r="AH57">
        <f t="shared" si="77"/>
        <v>30.889355446920469</v>
      </c>
      <c r="AI57">
        <f>IF(Z57="medium dense",'[1]Coefficient Normal'!$E$18 + ('[1]Coefficient Normal'!$E$19*AG57) + ('[1]Coefficient Normal'!$E$20*(AG57^2)) + ('[1]Coefficient Normal'!$E$21*(AG57^3)) + ('[1]Coefficient Normal'!$E$22*(AG57^4)),IF(Z57="dense",'[1]Coefficient Normal'!$F$18 + ('[1]Coefficient Normal'!$F$19*AG57) + ('[1]Coefficient Normal'!$F$20*(AG57^2)) + ('[1]Coefficient Normal'!$F$21*(AG57^3)) + ('[1]Coefficient Normal'!$F$22*(AG57^4)),IF(Z57="very dense",'[1]Coefficient Normal'!$G$18 + ('[1]Coefficient Normal'!$G$19*AG57) + ('[1]Coefficient Normal'!$G$20*(AG57^2)) + ('[1]Coefficient Normal'!$G$21*(AG57^3)) + ('[1]Coefficient Normal'!$G$22*(AG57^4)),0)))</f>
        <v>15.896480151009957</v>
      </c>
      <c r="AJ57">
        <f t="shared" si="57"/>
        <v>80</v>
      </c>
      <c r="AK57">
        <f t="shared" si="58"/>
        <v>490.12197186123592</v>
      </c>
      <c r="AL57">
        <f t="shared" si="78"/>
        <v>6.1946542822944775</v>
      </c>
      <c r="AM57">
        <f t="shared" si="59"/>
        <v>4.1588830833596715</v>
      </c>
      <c r="AN57">
        <f t="shared" si="60"/>
        <v>3.4304116406370531</v>
      </c>
      <c r="AO57" s="1">
        <v>2.75</v>
      </c>
      <c r="AP57" s="5">
        <f>VLOOKUP(X57,'[1]Coefficient Normal'!$A$3:$H$7,2,TRUE)</f>
        <v>14.575100000000001</v>
      </c>
      <c r="AQ57" s="5">
        <f>VLOOKUP(X57,'[1]Coefficient Normal'!$A$3:$H$7,3,TRUE)</f>
        <v>0.1356</v>
      </c>
      <c r="AR57" s="5">
        <f>VLOOKUP(X57,'[1]Coefficient Normal'!$A$3:$H$7,4,TRUE)</f>
        <v>2.9990000000000001</v>
      </c>
      <c r="AS57" s="5">
        <f>VLOOKUP(X57,'[1]Coefficient Normal'!$A$3:$H$7,5,TRUE)</f>
        <v>-0.94710000000000005</v>
      </c>
      <c r="AT57" s="5">
        <f>VLOOKUP(X57,'[1]Coefficient Normal'!$A$3:$H$7,6,TRUE)</f>
        <v>0.6603</v>
      </c>
      <c r="AU57" s="5">
        <f>VLOOKUP(X57,'[1]Coefficient Normal'!$A$3:$H$7,7,TRUE)</f>
        <v>-1.2488999999999999</v>
      </c>
      <c r="AV57" s="5">
        <f>VLOOKUP(X57,'[1]Coefficient Normal'!$A$3:$H$7,8,TRUE)</f>
        <v>-0.44140000000000001</v>
      </c>
      <c r="AX57" s="5">
        <f t="shared" si="61"/>
        <v>1.3975575406714862</v>
      </c>
      <c r="BD57" s="5"/>
      <c r="BE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I57" s="5"/>
    </row>
    <row r="58" spans="1:87" x14ac:dyDescent="0.25">
      <c r="A58">
        <v>13</v>
      </c>
      <c r="B58">
        <f t="shared" si="79"/>
        <v>55</v>
      </c>
      <c r="C58">
        <v>-90</v>
      </c>
      <c r="D58" t="str">
        <f t="shared" si="62"/>
        <v>Normal</v>
      </c>
      <c r="E58">
        <f t="shared" si="80"/>
        <v>55</v>
      </c>
      <c r="F58">
        <v>0.5</v>
      </c>
      <c r="G58">
        <f t="shared" si="63"/>
        <v>0.61038729438072803</v>
      </c>
      <c r="I58">
        <f t="shared" si="64"/>
        <v>55</v>
      </c>
      <c r="J58">
        <v>0.40960000000000002</v>
      </c>
      <c r="K58">
        <f t="shared" si="65"/>
        <v>409.6</v>
      </c>
      <c r="L58">
        <v>9.5250000000000005E-3</v>
      </c>
      <c r="M58">
        <f t="shared" si="65"/>
        <v>9.5250000000000004</v>
      </c>
      <c r="N58" s="3">
        <f t="shared" si="66"/>
        <v>43.00262467191601</v>
      </c>
      <c r="O58" s="1">
        <v>30</v>
      </c>
      <c r="P58" s="4" t="s">
        <v>70</v>
      </c>
      <c r="Q58" s="1">
        <f t="shared" si="67"/>
        <v>8</v>
      </c>
      <c r="R58" s="1">
        <f t="shared" si="68"/>
        <v>10</v>
      </c>
      <c r="S58" s="1">
        <f t="shared" si="69"/>
        <v>359000</v>
      </c>
      <c r="T58" s="1">
        <f t="shared" si="70"/>
        <v>455000</v>
      </c>
      <c r="U58" s="1">
        <f t="shared" si="71"/>
        <v>1.9969902892117808</v>
      </c>
      <c r="V58" s="3">
        <f>100*IF(P58='[1]Estimation Model Normal-Slip'!$J$8,'[1]Estimation Model Normal-Slip'!$O$8,IF(P58='[1]Estimation Model Normal-Slip'!$J$9,'[1]Estimation Model Normal-Slip'!$O$9,IF(P58='[1]Estimation Model Normal-Slip'!$J$10,'[1]Estimation Model Normal-Slip'!$O$10,IF(P58='[1]Estimation Model Normal-Slip'!$J$11,'[1]Estimation Model Normal-Slip'!$O$11,IF(P58='[1]Estimation Model Normal-Slip'!$J$12,'[1]Estimation Model Normal-Slip'!$O$12,IF(P58='[1]Estimation Model Normal-Slip'!$J$13,'[1]Estimation Model Normal-Slip'!$O$13,2))))))</f>
        <v>1.9041242414694344</v>
      </c>
      <c r="W58" s="1">
        <f t="shared" si="72"/>
        <v>0.69164119173371341</v>
      </c>
      <c r="X58" s="1">
        <v>45</v>
      </c>
      <c r="Y58" s="1" t="s">
        <v>78</v>
      </c>
      <c r="Z58" t="s">
        <v>81</v>
      </c>
      <c r="AA58">
        <f t="shared" si="73"/>
        <v>19</v>
      </c>
      <c r="AB58" s="1">
        <f t="shared" si="74"/>
        <v>43</v>
      </c>
      <c r="AC58">
        <f t="shared" si="75"/>
        <v>0</v>
      </c>
      <c r="AD58">
        <f t="shared" si="76"/>
        <v>0</v>
      </c>
      <c r="AE58">
        <v>0.9</v>
      </c>
      <c r="AF58" s="1">
        <v>0.78739999999999999</v>
      </c>
      <c r="AG58" s="1">
        <f t="shared" si="56"/>
        <v>1.9223632812499998</v>
      </c>
      <c r="AH58">
        <f t="shared" si="77"/>
        <v>15.423155931843731</v>
      </c>
      <c r="AI58">
        <f>IF(Z58="medium dense",'[1]Coefficient Normal'!$E$18 + ('[1]Coefficient Normal'!$E$19*AG58) + ('[1]Coefficient Normal'!$E$20*(AG58^2)) + ('[1]Coefficient Normal'!$E$21*(AG58^3)) + ('[1]Coefficient Normal'!$E$22*(AG58^4)),IF(Z58="dense",'[1]Coefficient Normal'!$F$18 + ('[1]Coefficient Normal'!$F$19*AG58) + ('[1]Coefficient Normal'!$F$20*(AG58^2)) + ('[1]Coefficient Normal'!$F$21*(AG58^3)) + ('[1]Coefficient Normal'!$F$22*(AG58^4)),IF(Z58="very dense",'[1]Coefficient Normal'!$G$18 + ('[1]Coefficient Normal'!$G$19*AG58) + ('[1]Coefficient Normal'!$G$20*(AG58^2)) + ('[1]Coefficient Normal'!$G$21*(AG58^3)) + ('[1]Coefficient Normal'!$G$22*(AG58^4)),0)))</f>
        <v>18.720510313797256</v>
      </c>
      <c r="AJ58">
        <f t="shared" si="57"/>
        <v>80</v>
      </c>
      <c r="AK58">
        <f t="shared" si="58"/>
        <v>242.22354087960383</v>
      </c>
      <c r="AL58">
        <f t="shared" si="78"/>
        <v>5.4898610224304614</v>
      </c>
      <c r="AM58">
        <f t="shared" si="59"/>
        <v>3.7612611527125335</v>
      </c>
      <c r="AN58">
        <f t="shared" si="60"/>
        <v>2.7358700120349009</v>
      </c>
      <c r="AO58" s="1">
        <v>3</v>
      </c>
      <c r="AP58" s="5">
        <f>VLOOKUP(X58,'[1]Coefficient Normal'!$A$3:$H$7,2,TRUE)</f>
        <v>3.7532999999999999</v>
      </c>
      <c r="AQ58" s="5">
        <f>VLOOKUP(X58,'[1]Coefficient Normal'!$A$3:$H$7,3,TRUE)</f>
        <v>0.14510000000000001</v>
      </c>
      <c r="AR58" s="5">
        <f>VLOOKUP(X58,'[1]Coefficient Normal'!$A$3:$H$7,4,TRUE)</f>
        <v>1.2497</v>
      </c>
      <c r="AS58" s="5">
        <f>VLOOKUP(X58,'[1]Coefficient Normal'!$A$3:$H$7,5,TRUE)</f>
        <v>-0.46100000000000002</v>
      </c>
      <c r="AT58" s="5">
        <f>VLOOKUP(X58,'[1]Coefficient Normal'!$A$3:$H$7,6,TRUE)</f>
        <v>0.39140000000000003</v>
      </c>
      <c r="AU58" s="5">
        <f>VLOOKUP(X58,'[1]Coefficient Normal'!$A$3:$H$7,7,TRUE)</f>
        <v>-0.21310000000000001</v>
      </c>
      <c r="AV58" s="5">
        <f>VLOOKUP(X58,'[1]Coefficient Normal'!$A$3:$H$7,8,TRUE)</f>
        <v>-0.34139999999999998</v>
      </c>
      <c r="AX58" s="5">
        <f t="shared" si="61"/>
        <v>-0.43578467917484187</v>
      </c>
      <c r="BD58" s="5"/>
      <c r="BE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I58" s="5"/>
    </row>
    <row r="59" spans="1:87" x14ac:dyDescent="0.25">
      <c r="A59">
        <v>14</v>
      </c>
      <c r="B59">
        <f t="shared" si="79"/>
        <v>59.5</v>
      </c>
      <c r="C59">
        <v>-90</v>
      </c>
      <c r="D59" t="str">
        <f t="shared" si="62"/>
        <v>Normal</v>
      </c>
      <c r="E59">
        <f t="shared" si="80"/>
        <v>59.5</v>
      </c>
      <c r="F59">
        <v>0.2</v>
      </c>
      <c r="G59">
        <f t="shared" si="63"/>
        <v>0.23211842075715466</v>
      </c>
      <c r="I59">
        <f t="shared" si="64"/>
        <v>59.5</v>
      </c>
      <c r="J59">
        <v>0.89600000000000002</v>
      </c>
      <c r="K59">
        <f t="shared" si="65"/>
        <v>896</v>
      </c>
      <c r="L59">
        <v>9.5250000000000005E-3</v>
      </c>
      <c r="M59">
        <f t="shared" si="65"/>
        <v>9.5250000000000004</v>
      </c>
      <c r="N59" s="3">
        <f t="shared" si="66"/>
        <v>94.068241469816272</v>
      </c>
      <c r="O59" s="1">
        <v>50</v>
      </c>
      <c r="P59" s="4" t="s">
        <v>73</v>
      </c>
      <c r="Q59" s="1">
        <f t="shared" si="67"/>
        <v>8</v>
      </c>
      <c r="R59" s="1">
        <f t="shared" si="68"/>
        <v>12</v>
      </c>
      <c r="S59" s="1">
        <f t="shared" si="69"/>
        <v>414000</v>
      </c>
      <c r="T59" s="1">
        <f t="shared" si="70"/>
        <v>517000</v>
      </c>
      <c r="U59" s="1">
        <f t="shared" si="71"/>
        <v>2.5466769467238102</v>
      </c>
      <c r="V59" s="3">
        <f>100*IF(P59='[1]Estimation Model Normal-Slip'!$J$8,'[1]Estimation Model Normal-Slip'!$O$8,IF(P59='[1]Estimation Model Normal-Slip'!$J$9,'[1]Estimation Model Normal-Slip'!$O$9,IF(P59='[1]Estimation Model Normal-Slip'!$J$10,'[1]Estimation Model Normal-Slip'!$O$10,IF(P59='[1]Estimation Model Normal-Slip'!$J$11,'[1]Estimation Model Normal-Slip'!$O$11,IF(P59='[1]Estimation Model Normal-Slip'!$J$12,'[1]Estimation Model Normal-Slip'!$O$12,IF(P59='[1]Estimation Model Normal-Slip'!$J$13,'[1]Estimation Model Normal-Slip'!$O$13,2))))))</f>
        <v>2.4313344008036557</v>
      </c>
      <c r="W59" s="1">
        <f t="shared" si="72"/>
        <v>0.93478935117382533</v>
      </c>
      <c r="X59" s="1">
        <v>60</v>
      </c>
      <c r="Y59" s="1" t="s">
        <v>78</v>
      </c>
      <c r="Z59" t="s">
        <v>79</v>
      </c>
      <c r="AA59">
        <f t="shared" si="73"/>
        <v>18</v>
      </c>
      <c r="AB59" s="1">
        <f t="shared" si="74"/>
        <v>37</v>
      </c>
      <c r="AC59">
        <f t="shared" si="75"/>
        <v>0</v>
      </c>
      <c r="AD59">
        <f t="shared" si="76"/>
        <v>0</v>
      </c>
      <c r="AE59">
        <v>0.9</v>
      </c>
      <c r="AF59" s="1">
        <v>1</v>
      </c>
      <c r="AG59" s="1">
        <f t="shared" si="56"/>
        <v>1.8</v>
      </c>
      <c r="AH59">
        <f t="shared" si="77"/>
        <v>33.282396503295658</v>
      </c>
      <c r="AI59">
        <f>IF(Z59="medium dense",'[1]Coefficient Normal'!$E$18 + ('[1]Coefficient Normal'!$E$19*AG59) + ('[1]Coefficient Normal'!$E$20*(AG59^2)) + ('[1]Coefficient Normal'!$E$21*(AG59^3)) + ('[1]Coefficient Normal'!$E$22*(AG59^4)),IF(Z59="dense",'[1]Coefficient Normal'!$F$18 + ('[1]Coefficient Normal'!$F$19*AG59) + ('[1]Coefficient Normal'!$F$20*(AG59^2)) + ('[1]Coefficient Normal'!$F$21*(AG59^3)) + ('[1]Coefficient Normal'!$F$22*(AG59^4)),IF(Z59="very dense",'[1]Coefficient Normal'!$G$18 + ('[1]Coefficient Normal'!$G$19*AG59) + ('[1]Coefficient Normal'!$G$20*(AG59^2)) + ('[1]Coefficient Normal'!$G$21*(AG59^3)) + ('[1]Coefficient Normal'!$G$22*(AG59^4)),0)))</f>
        <v>12.698394373823998</v>
      </c>
      <c r="AJ59">
        <f t="shared" si="57"/>
        <v>64.071522599936642</v>
      </c>
      <c r="AK59">
        <f t="shared" si="58"/>
        <v>667.7384958493501</v>
      </c>
      <c r="AL59">
        <f t="shared" si="78"/>
        <v>6.5038966236115616</v>
      </c>
      <c r="AM59">
        <f t="shared" si="59"/>
        <v>4.5440204919621658</v>
      </c>
      <c r="AN59">
        <f t="shared" si="60"/>
        <v>3.5050286236757637</v>
      </c>
      <c r="AO59" s="1">
        <v>0.2</v>
      </c>
      <c r="AP59" s="5">
        <f>VLOOKUP(X59,'[1]Coefficient Normal'!$A$3:$H$7,2,TRUE)</f>
        <v>4.3182999999999998</v>
      </c>
      <c r="AQ59" s="5">
        <f>VLOOKUP(X59,'[1]Coefficient Normal'!$A$3:$H$7,3,TRUE)</f>
        <v>-2.7900000000000001E-2</v>
      </c>
      <c r="AR59" s="5">
        <f>VLOOKUP(X59,'[1]Coefficient Normal'!$A$3:$H$7,4,TRUE)</f>
        <v>1.0497000000000001</v>
      </c>
      <c r="AS59" s="5">
        <f>VLOOKUP(X59,'[1]Coefficient Normal'!$A$3:$H$7,5,TRUE)</f>
        <v>-0.46910000000000002</v>
      </c>
      <c r="AT59" s="5">
        <f>VLOOKUP(X59,'[1]Coefficient Normal'!$A$3:$H$7,6,TRUE)</f>
        <v>0.29149999999999998</v>
      </c>
      <c r="AU59" s="5">
        <f>VLOOKUP(X59,'[1]Coefficient Normal'!$A$3:$H$7,7,TRUE)</f>
        <v>-0.28610000000000002</v>
      </c>
      <c r="AV59" s="5">
        <f>VLOOKUP(X59,'[1]Coefficient Normal'!$A$3:$H$7,8,TRUE)</f>
        <v>-0.1348</v>
      </c>
      <c r="AX59" s="5">
        <f t="shared" si="61"/>
        <v>-9.8469706098252174E-2</v>
      </c>
      <c r="BD59" s="5"/>
      <c r="BE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I59" s="5"/>
    </row>
    <row r="60" spans="1:87" x14ac:dyDescent="0.25">
      <c r="A60">
        <v>15</v>
      </c>
      <c r="B60">
        <f t="shared" si="79"/>
        <v>64</v>
      </c>
      <c r="C60">
        <v>-90</v>
      </c>
      <c r="D60" t="str">
        <f t="shared" si="62"/>
        <v>Normal</v>
      </c>
      <c r="E60">
        <f t="shared" si="80"/>
        <v>64</v>
      </c>
      <c r="F60">
        <v>0.4</v>
      </c>
      <c r="G60">
        <f t="shared" si="63"/>
        <v>0.44504077619007559</v>
      </c>
      <c r="I60">
        <f t="shared" si="64"/>
        <v>64</v>
      </c>
      <c r="J60">
        <v>0.5</v>
      </c>
      <c r="K60">
        <f t="shared" si="65"/>
        <v>500</v>
      </c>
      <c r="L60">
        <v>9.5250000000000005E-3</v>
      </c>
      <c r="M60">
        <f t="shared" si="65"/>
        <v>9.5250000000000004</v>
      </c>
      <c r="N60" s="3">
        <f t="shared" si="66"/>
        <v>52.493438320209975</v>
      </c>
      <c r="O60" s="1">
        <v>100</v>
      </c>
      <c r="P60" s="4" t="s">
        <v>75</v>
      </c>
      <c r="Q60" s="1">
        <f t="shared" si="67"/>
        <v>14</v>
      </c>
      <c r="R60" s="1">
        <f t="shared" si="68"/>
        <v>15</v>
      </c>
      <c r="S60" s="1">
        <f t="shared" si="69"/>
        <v>483000</v>
      </c>
      <c r="T60" s="1">
        <f t="shared" si="70"/>
        <v>565000</v>
      </c>
      <c r="U60" s="1">
        <f t="shared" si="71"/>
        <v>2.8799444073326219</v>
      </c>
      <c r="V60" s="3">
        <f>100*IF(P60='[1]Estimation Model Normal-Slip'!$J$8,'[1]Estimation Model Normal-Slip'!$O$8,IF(P60='[1]Estimation Model Normal-Slip'!$J$9,'[1]Estimation Model Normal-Slip'!$O$9,IF(P60='[1]Estimation Model Normal-Slip'!$J$10,'[1]Estimation Model Normal-Slip'!$O$10,IF(P60='[1]Estimation Model Normal-Slip'!$J$11,'[1]Estimation Model Normal-Slip'!$O$11,IF(P60='[1]Estimation Model Normal-Slip'!$J$12,'[1]Estimation Model Normal-Slip'!$O$12,IF(P60='[1]Estimation Model Normal-Slip'!$J$13,'[1]Estimation Model Normal-Slip'!$O$13,2))))))</f>
        <v>2.7690517990613435</v>
      </c>
      <c r="W60" s="1">
        <f t="shared" si="72"/>
        <v>1.0577709909520427</v>
      </c>
      <c r="X60" s="1">
        <v>75</v>
      </c>
      <c r="Y60" s="1" t="s">
        <v>78</v>
      </c>
      <c r="Z60" t="s">
        <v>80</v>
      </c>
      <c r="AA60">
        <f t="shared" si="73"/>
        <v>18.5</v>
      </c>
      <c r="AB60" s="1">
        <f t="shared" si="74"/>
        <v>40</v>
      </c>
      <c r="AC60">
        <f t="shared" si="75"/>
        <v>0</v>
      </c>
      <c r="AD60">
        <f t="shared" si="76"/>
        <v>0</v>
      </c>
      <c r="AE60">
        <v>0.9</v>
      </c>
      <c r="AF60" s="1">
        <v>1.2</v>
      </c>
      <c r="AG60" s="1">
        <f t="shared" si="56"/>
        <v>2.4</v>
      </c>
      <c r="AH60">
        <f t="shared" si="77"/>
        <v>25.335757420374399</v>
      </c>
      <c r="AI60">
        <f>IF(Z60="medium dense",'[1]Coefficient Normal'!$E$18 + ('[1]Coefficient Normal'!$E$19*AG60) + ('[1]Coefficient Normal'!$E$20*(AG60^2)) + ('[1]Coefficient Normal'!$E$21*(AG60^3)) + ('[1]Coefficient Normal'!$E$22*(AG60^4)),IF(Z60="dense",'[1]Coefficient Normal'!$F$18 + ('[1]Coefficient Normal'!$F$19*AG60) + ('[1]Coefficient Normal'!$F$20*(AG60^2)) + ('[1]Coefficient Normal'!$F$21*(AG60^3)) + ('[1]Coefficient Normal'!$F$22*(AG60^4)),IF(Z60="very dense",'[1]Coefficient Normal'!$G$18 + ('[1]Coefficient Normal'!$G$19*AG60) + ('[1]Coefficient Normal'!$G$20*(AG60^2)) + ('[1]Coefficient Normal'!$G$21*(AG60^3)) + ('[1]Coefficient Normal'!$G$22*(AG60^4)),0)))</f>
        <v>15.970859354576</v>
      </c>
      <c r="AJ60">
        <f t="shared" si="57"/>
        <v>80</v>
      </c>
      <c r="AK60">
        <f t="shared" si="58"/>
        <v>362.27653883579364</v>
      </c>
      <c r="AL60">
        <f t="shared" si="78"/>
        <v>5.8924078396237283</v>
      </c>
      <c r="AM60">
        <f t="shared" si="59"/>
        <v>3.9606881774094269</v>
      </c>
      <c r="AN60">
        <f t="shared" si="60"/>
        <v>3.2322167346868085</v>
      </c>
      <c r="AO60" s="1">
        <v>0.2</v>
      </c>
      <c r="AP60" s="5">
        <f>VLOOKUP(X60,'[1]Coefficient Normal'!$A$3:$H$7,2,TRUE)</f>
        <v>5.5951000000000004</v>
      </c>
      <c r="AQ60" s="5">
        <f>VLOOKUP(X60,'[1]Coefficient Normal'!$A$3:$H$7,3,TRUE)</f>
        <v>1.6E-2</v>
      </c>
      <c r="AR60" s="5">
        <f>VLOOKUP(X60,'[1]Coefficient Normal'!$A$3:$H$7,4,TRUE)</f>
        <v>1.2641</v>
      </c>
      <c r="AS60" s="5">
        <f>VLOOKUP(X60,'[1]Coefficient Normal'!$A$3:$H$7,5,TRUE)</f>
        <v>-0.52429999999999999</v>
      </c>
      <c r="AT60" s="5">
        <f>VLOOKUP(X60,'[1]Coefficient Normal'!$A$3:$H$7,6,TRUE)</f>
        <v>0.35830000000000001</v>
      </c>
      <c r="AU60" s="5">
        <f>VLOOKUP(X60,'[1]Coefficient Normal'!$A$3:$H$7,7,TRUE)</f>
        <v>-0.35920000000000002</v>
      </c>
      <c r="AV60" s="5">
        <f>VLOOKUP(X60,'[1]Coefficient Normal'!$A$3:$H$7,8,TRUE)</f>
        <v>-0.2482</v>
      </c>
      <c r="AX60" s="5">
        <f t="shared" si="61"/>
        <v>0.17619681713022817</v>
      </c>
      <c r="BD60" s="5"/>
      <c r="BE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I60" s="5"/>
    </row>
    <row r="61" spans="1:87" x14ac:dyDescent="0.25">
      <c r="A61">
        <v>16</v>
      </c>
      <c r="B61">
        <f t="shared" si="79"/>
        <v>68.5</v>
      </c>
      <c r="C61">
        <v>-90</v>
      </c>
      <c r="D61" t="str">
        <f t="shared" si="62"/>
        <v>Normal</v>
      </c>
      <c r="E61">
        <f t="shared" si="80"/>
        <v>68.5</v>
      </c>
      <c r="F61">
        <v>0.3</v>
      </c>
      <c r="G61">
        <f t="shared" si="63"/>
        <v>0.32243587215433567</v>
      </c>
      <c r="I61">
        <f t="shared" si="64"/>
        <v>68.5</v>
      </c>
      <c r="J61">
        <v>1.0668</v>
      </c>
      <c r="K61">
        <f t="shared" si="65"/>
        <v>1066.8</v>
      </c>
      <c r="L61">
        <v>9.5250000000000005E-3</v>
      </c>
      <c r="M61">
        <f t="shared" si="65"/>
        <v>9.5250000000000004</v>
      </c>
      <c r="N61" s="3">
        <f t="shared" si="66"/>
        <v>111.99999999999999</v>
      </c>
      <c r="O61" s="1">
        <v>300</v>
      </c>
      <c r="P61" s="4" t="s">
        <v>70</v>
      </c>
      <c r="Q61" s="1">
        <f t="shared" si="67"/>
        <v>8</v>
      </c>
      <c r="R61" s="1">
        <f t="shared" si="68"/>
        <v>10</v>
      </c>
      <c r="S61" s="1">
        <f t="shared" si="69"/>
        <v>359000</v>
      </c>
      <c r="T61" s="1">
        <f t="shared" si="70"/>
        <v>455000</v>
      </c>
      <c r="U61" s="1">
        <f t="shared" si="71"/>
        <v>1.9969902892117808</v>
      </c>
      <c r="V61" s="3">
        <f>100*IF(P61='[1]Estimation Model Normal-Slip'!$J$8,'[1]Estimation Model Normal-Slip'!$O$8,IF(P61='[1]Estimation Model Normal-Slip'!$J$9,'[1]Estimation Model Normal-Slip'!$O$9,IF(P61='[1]Estimation Model Normal-Slip'!$J$10,'[1]Estimation Model Normal-Slip'!$O$10,IF(P61='[1]Estimation Model Normal-Slip'!$J$11,'[1]Estimation Model Normal-Slip'!$O$11,IF(P61='[1]Estimation Model Normal-Slip'!$J$12,'[1]Estimation Model Normal-Slip'!$O$12,IF(P61='[1]Estimation Model Normal-Slip'!$J$13,'[1]Estimation Model Normal-Slip'!$O$13,2))))))</f>
        <v>1.9041242414694344</v>
      </c>
      <c r="W61" s="1">
        <f t="shared" si="72"/>
        <v>0.69164119173371341</v>
      </c>
      <c r="X61" s="1">
        <v>90</v>
      </c>
      <c r="Y61" s="1" t="s">
        <v>78</v>
      </c>
      <c r="Z61" t="s">
        <v>81</v>
      </c>
      <c r="AA61">
        <f t="shared" si="73"/>
        <v>19</v>
      </c>
      <c r="AB61" s="1">
        <f t="shared" si="74"/>
        <v>43</v>
      </c>
      <c r="AC61">
        <f t="shared" si="75"/>
        <v>0</v>
      </c>
      <c r="AD61">
        <f t="shared" si="76"/>
        <v>0</v>
      </c>
      <c r="AE61">
        <v>0.9</v>
      </c>
      <c r="AF61" s="1">
        <v>2.5</v>
      </c>
      <c r="AG61" s="1">
        <f t="shared" si="56"/>
        <v>2.3434570678665168</v>
      </c>
      <c r="AH61">
        <f t="shared" si="77"/>
        <v>127.53838306794918</v>
      </c>
      <c r="AI61">
        <f>IF(Z61="medium dense",'[1]Coefficient Normal'!$E$18 + ('[1]Coefficient Normal'!$E$19*AG61) + ('[1]Coefficient Normal'!$E$20*(AG61^2)) + ('[1]Coefficient Normal'!$E$21*(AG61^3)) + ('[1]Coefficient Normal'!$E$22*(AG61^4)),IF(Z61="dense",'[1]Coefficient Normal'!$F$18 + ('[1]Coefficient Normal'!$F$19*AG61) + ('[1]Coefficient Normal'!$F$20*(AG61^2)) + ('[1]Coefficient Normal'!$F$21*(AG61^3)) + ('[1]Coefficient Normal'!$F$22*(AG61^4)),IF(Z61="very dense",'[1]Coefficient Normal'!$G$18 + ('[1]Coefficient Normal'!$G$19*AG61) + ('[1]Coefficient Normal'!$G$20*(AG61^2)) + ('[1]Coefficient Normal'!$G$21*(AG61^3)) + ('[1]Coefficient Normal'!$G$22*(AG61^4)),0)))</f>
        <v>18.621858727008274</v>
      </c>
      <c r="AJ61">
        <f t="shared" si="57"/>
        <v>80</v>
      </c>
      <c r="AK61">
        <f t="shared" si="58"/>
        <v>1808.5527496736904</v>
      </c>
      <c r="AL61">
        <f t="shared" si="78"/>
        <v>7.5002822186049887</v>
      </c>
      <c r="AM61">
        <f t="shared" si="59"/>
        <v>4.7184988712950942</v>
      </c>
      <c r="AN61">
        <f t="shared" si="60"/>
        <v>4.848417362964117</v>
      </c>
      <c r="AO61" s="1">
        <v>0.25</v>
      </c>
      <c r="AP61" s="5">
        <f>VLOOKUP(X61,'[1]Coefficient Normal'!$A$3:$H$7,2,TRUE)</f>
        <v>14.575100000000001</v>
      </c>
      <c r="AQ61" s="5">
        <f>VLOOKUP(X61,'[1]Coefficient Normal'!$A$3:$H$7,3,TRUE)</f>
        <v>0.1356</v>
      </c>
      <c r="AR61" s="5">
        <f>VLOOKUP(X61,'[1]Coefficient Normal'!$A$3:$H$7,4,TRUE)</f>
        <v>2.9990000000000001</v>
      </c>
      <c r="AS61" s="5">
        <f>VLOOKUP(X61,'[1]Coefficient Normal'!$A$3:$H$7,5,TRUE)</f>
        <v>-0.94710000000000005</v>
      </c>
      <c r="AT61" s="5">
        <f>VLOOKUP(X61,'[1]Coefficient Normal'!$A$3:$H$7,6,TRUE)</f>
        <v>0.6603</v>
      </c>
      <c r="AU61" s="5">
        <f>VLOOKUP(X61,'[1]Coefficient Normal'!$A$3:$H$7,7,TRUE)</f>
        <v>-1.2488999999999999</v>
      </c>
      <c r="AV61" s="5">
        <f>VLOOKUP(X61,'[1]Coefficient Normal'!$A$3:$H$7,8,TRUE)</f>
        <v>-0.44140000000000001</v>
      </c>
      <c r="AX61" s="5">
        <f t="shared" si="61"/>
        <v>2.3065291097276841E-2</v>
      </c>
      <c r="BD61" s="5"/>
      <c r="BE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I61" s="5"/>
    </row>
    <row r="62" spans="1:87" x14ac:dyDescent="0.25">
      <c r="A62">
        <v>17</v>
      </c>
      <c r="B62">
        <f t="shared" si="79"/>
        <v>73</v>
      </c>
      <c r="C62">
        <v>-90</v>
      </c>
      <c r="D62" t="str">
        <f t="shared" si="62"/>
        <v>Normal</v>
      </c>
      <c r="E62">
        <f t="shared" si="80"/>
        <v>73</v>
      </c>
      <c r="F62">
        <v>0.5</v>
      </c>
      <c r="G62">
        <f t="shared" si="63"/>
        <v>0.52284587824357398</v>
      </c>
      <c r="I62">
        <f t="shared" si="64"/>
        <v>73</v>
      </c>
      <c r="J62">
        <v>0.60960000000000003</v>
      </c>
      <c r="K62">
        <f t="shared" si="65"/>
        <v>609.6</v>
      </c>
      <c r="L62">
        <v>9.5250000000000005E-3</v>
      </c>
      <c r="M62">
        <f t="shared" si="65"/>
        <v>9.5250000000000004</v>
      </c>
      <c r="N62" s="3">
        <f t="shared" si="66"/>
        <v>64</v>
      </c>
      <c r="O62" s="1">
        <v>30</v>
      </c>
      <c r="P62" s="4" t="s">
        <v>75</v>
      </c>
      <c r="Q62" s="1">
        <f t="shared" si="67"/>
        <v>14</v>
      </c>
      <c r="R62" s="1">
        <f t="shared" si="68"/>
        <v>15</v>
      </c>
      <c r="S62" s="1">
        <f t="shared" si="69"/>
        <v>483000</v>
      </c>
      <c r="T62" s="1">
        <f t="shared" si="70"/>
        <v>565000</v>
      </c>
      <c r="U62" s="1">
        <f t="shared" si="71"/>
        <v>2.8799444073326219</v>
      </c>
      <c r="V62" s="3">
        <f>100*IF(P62='[1]Estimation Model Normal-Slip'!$J$8,'[1]Estimation Model Normal-Slip'!$O$8,IF(P62='[1]Estimation Model Normal-Slip'!$J$9,'[1]Estimation Model Normal-Slip'!$O$9,IF(P62='[1]Estimation Model Normal-Slip'!$J$10,'[1]Estimation Model Normal-Slip'!$O$10,IF(P62='[1]Estimation Model Normal-Slip'!$J$11,'[1]Estimation Model Normal-Slip'!$O$11,IF(P62='[1]Estimation Model Normal-Slip'!$J$12,'[1]Estimation Model Normal-Slip'!$O$12,IF(P62='[1]Estimation Model Normal-Slip'!$J$13,'[1]Estimation Model Normal-Slip'!$O$13,2))))))</f>
        <v>2.7690517990613435</v>
      </c>
      <c r="W62" s="1">
        <f t="shared" si="72"/>
        <v>1.0577709909520427</v>
      </c>
      <c r="X62" s="1">
        <v>45</v>
      </c>
      <c r="Y62" s="1" t="s">
        <v>78</v>
      </c>
      <c r="Z62" t="s">
        <v>79</v>
      </c>
      <c r="AA62">
        <f t="shared" si="73"/>
        <v>18</v>
      </c>
      <c r="AB62" s="1">
        <f t="shared" si="74"/>
        <v>37</v>
      </c>
      <c r="AC62">
        <f t="shared" si="75"/>
        <v>0</v>
      </c>
      <c r="AD62">
        <f t="shared" si="76"/>
        <v>0</v>
      </c>
      <c r="AE62">
        <v>0.9</v>
      </c>
      <c r="AF62" s="1">
        <v>1</v>
      </c>
      <c r="AG62" s="1">
        <f t="shared" si="56"/>
        <v>1.8</v>
      </c>
      <c r="AH62">
        <f t="shared" si="77"/>
        <v>22.643916192420797</v>
      </c>
      <c r="AI62">
        <f>IF(Z62="medium dense",'[1]Coefficient Normal'!$E$18 + ('[1]Coefficient Normal'!$E$19*AG62) + ('[1]Coefficient Normal'!$E$20*(AG62^2)) + ('[1]Coefficient Normal'!$E$21*(AG62^3)) + ('[1]Coefficient Normal'!$E$22*(AG62^4)),IF(Z62="dense",'[1]Coefficient Normal'!$F$18 + ('[1]Coefficient Normal'!$F$19*AG62) + ('[1]Coefficient Normal'!$F$20*(AG62^2)) + ('[1]Coefficient Normal'!$F$21*(AG62^3)) + ('[1]Coefficient Normal'!$F$22*(AG62^4)),IF(Z62="very dense",'[1]Coefficient Normal'!$G$18 + ('[1]Coefficient Normal'!$G$19*AG62) + ('[1]Coefficient Normal'!$G$20*(AG62^2)) + ('[1]Coefficient Normal'!$G$21*(AG62^3)) + ('[1]Coefficient Normal'!$G$22*(AG62^4)),0)))</f>
        <v>12.698394373823998</v>
      </c>
      <c r="AJ62">
        <f t="shared" si="57"/>
        <v>64.071522599936642</v>
      </c>
      <c r="AK62">
        <f t="shared" si="58"/>
        <v>353.62475395575746</v>
      </c>
      <c r="AL62">
        <f t="shared" si="78"/>
        <v>5.8682363338442034</v>
      </c>
      <c r="AM62">
        <f t="shared" si="59"/>
        <v>4.1588830833596715</v>
      </c>
      <c r="AN62">
        <f t="shared" si="60"/>
        <v>3.1198912150732698</v>
      </c>
      <c r="AO62" s="1">
        <v>0.28000000000000003</v>
      </c>
      <c r="AP62" s="5">
        <f>VLOOKUP(X62,'[1]Coefficient Normal'!$A$3:$H$7,2,TRUE)</f>
        <v>3.7532999999999999</v>
      </c>
      <c r="AQ62" s="5">
        <f>VLOOKUP(X62,'[1]Coefficient Normal'!$A$3:$H$7,3,TRUE)</f>
        <v>0.14510000000000001</v>
      </c>
      <c r="AR62" s="5">
        <f>VLOOKUP(X62,'[1]Coefficient Normal'!$A$3:$H$7,4,TRUE)</f>
        <v>1.2497</v>
      </c>
      <c r="AS62" s="5">
        <f>VLOOKUP(X62,'[1]Coefficient Normal'!$A$3:$H$7,5,TRUE)</f>
        <v>-0.46100000000000002</v>
      </c>
      <c r="AT62" s="5">
        <f>VLOOKUP(X62,'[1]Coefficient Normal'!$A$3:$H$7,6,TRUE)</f>
        <v>0.39140000000000003</v>
      </c>
      <c r="AU62" s="5">
        <f>VLOOKUP(X62,'[1]Coefficient Normal'!$A$3:$H$7,7,TRUE)</f>
        <v>-0.21310000000000001</v>
      </c>
      <c r="AV62" s="5">
        <f>VLOOKUP(X62,'[1]Coefficient Normal'!$A$3:$H$7,8,TRUE)</f>
        <v>-0.34139999999999998</v>
      </c>
      <c r="AX62" s="5">
        <f t="shared" si="61"/>
        <v>-0.19061367663895701</v>
      </c>
      <c r="BD62" s="5"/>
      <c r="BE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I62" s="5"/>
    </row>
    <row r="63" spans="1:87" x14ac:dyDescent="0.25">
      <c r="A63">
        <v>18</v>
      </c>
      <c r="B63">
        <f t="shared" si="79"/>
        <v>77.5</v>
      </c>
      <c r="C63">
        <v>-90</v>
      </c>
      <c r="D63" t="str">
        <f t="shared" si="62"/>
        <v>Normal</v>
      </c>
      <c r="E63">
        <f t="shared" si="80"/>
        <v>77.5</v>
      </c>
      <c r="F63">
        <v>0.7</v>
      </c>
      <c r="G63">
        <f t="shared" si="63"/>
        <v>0.71699566002015647</v>
      </c>
      <c r="I63">
        <f t="shared" si="64"/>
        <v>77.5</v>
      </c>
      <c r="J63">
        <v>0.40960000000000002</v>
      </c>
      <c r="K63">
        <f t="shared" si="65"/>
        <v>409.6</v>
      </c>
      <c r="L63">
        <v>9.5250000000000005E-3</v>
      </c>
      <c r="M63">
        <f t="shared" si="65"/>
        <v>9.5250000000000004</v>
      </c>
      <c r="N63" s="3">
        <f t="shared" si="66"/>
        <v>43.00262467191601</v>
      </c>
      <c r="O63" s="1">
        <v>50</v>
      </c>
      <c r="P63" s="4" t="s">
        <v>77</v>
      </c>
      <c r="Q63" s="1">
        <f t="shared" si="67"/>
        <v>15</v>
      </c>
      <c r="R63" s="1">
        <f t="shared" si="68"/>
        <v>20</v>
      </c>
      <c r="S63" s="1">
        <f t="shared" si="69"/>
        <v>552000</v>
      </c>
      <c r="T63" s="1">
        <f t="shared" si="70"/>
        <v>625000</v>
      </c>
      <c r="U63" s="1">
        <f t="shared" si="71"/>
        <v>2.9888368774026359</v>
      </c>
      <c r="V63" s="3">
        <f>100*IF(P63='[1]Estimation Model Normal-Slip'!$J$8,'[1]Estimation Model Normal-Slip'!$O$8,IF(P63='[1]Estimation Model Normal-Slip'!$J$9,'[1]Estimation Model Normal-Slip'!$O$9,IF(P63='[1]Estimation Model Normal-Slip'!$J$10,'[1]Estimation Model Normal-Slip'!$O$10,IF(P63='[1]Estimation Model Normal-Slip'!$J$11,'[1]Estimation Model Normal-Slip'!$O$11,IF(P63='[1]Estimation Model Normal-Slip'!$J$12,'[1]Estimation Model Normal-Slip'!$O$12,IF(P63='[1]Estimation Model Normal-Slip'!$J$13,'[1]Estimation Model Normal-Slip'!$O$13,2))))))</f>
        <v>2.8464933991254466</v>
      </c>
      <c r="W63" s="1">
        <f t="shared" si="72"/>
        <v>1.0948843075076633</v>
      </c>
      <c r="X63" s="1">
        <v>60</v>
      </c>
      <c r="Y63" s="1" t="s">
        <v>78</v>
      </c>
      <c r="Z63" t="s">
        <v>80</v>
      </c>
      <c r="AA63">
        <f t="shared" si="73"/>
        <v>18.5</v>
      </c>
      <c r="AB63" s="1">
        <f t="shared" si="74"/>
        <v>40</v>
      </c>
      <c r="AC63">
        <f t="shared" si="75"/>
        <v>0</v>
      </c>
      <c r="AD63">
        <f t="shared" si="76"/>
        <v>0</v>
      </c>
      <c r="AE63">
        <v>0.9</v>
      </c>
      <c r="AF63" s="1">
        <v>1.2</v>
      </c>
      <c r="AG63" s="1">
        <f t="shared" si="56"/>
        <v>2.9296874999999996</v>
      </c>
      <c r="AH63">
        <f t="shared" si="77"/>
        <v>20.755052478770708</v>
      </c>
      <c r="AI63">
        <f>IF(Z63="medium dense",'[1]Coefficient Normal'!$E$18 + ('[1]Coefficient Normal'!$E$19*AG63) + ('[1]Coefficient Normal'!$E$20*(AG63^2)) + ('[1]Coefficient Normal'!$E$21*(AG63^3)) + ('[1]Coefficient Normal'!$E$22*(AG63^4)),IF(Z63="dense",'[1]Coefficient Normal'!$F$18 + ('[1]Coefficient Normal'!$F$19*AG63) + ('[1]Coefficient Normal'!$F$20*(AG63^2)) + ('[1]Coefficient Normal'!$F$21*(AG63^3)) + ('[1]Coefficient Normal'!$F$22*(AG63^4)),IF(Z63="very dense",'[1]Coefficient Normal'!$G$18 + ('[1]Coefficient Normal'!$G$19*AG63) + ('[1]Coefficient Normal'!$G$20*(AG63^2)) + ('[1]Coefficient Normal'!$G$21*(AG63^3)) + ('[1]Coefficient Normal'!$G$22*(AG63^4)),0)))</f>
        <v>16.165411783848704</v>
      </c>
      <c r="AJ63">
        <f t="shared" si="57"/>
        <v>80</v>
      </c>
      <c r="AK63">
        <f t="shared" si="58"/>
        <v>271.14542759995038</v>
      </c>
      <c r="AL63">
        <f t="shared" si="78"/>
        <v>5.6026553101537404</v>
      </c>
      <c r="AM63">
        <f t="shared" si="59"/>
        <v>3.7612611527125335</v>
      </c>
      <c r="AN63">
        <f t="shared" si="60"/>
        <v>3.0327897099899146</v>
      </c>
      <c r="AO63" s="1">
        <v>0.18</v>
      </c>
      <c r="AP63" s="5">
        <f>VLOOKUP(X63,'[1]Coefficient Normal'!$A$3:$H$7,2,TRUE)</f>
        <v>4.3182999999999998</v>
      </c>
      <c r="AQ63" s="5">
        <f>VLOOKUP(X63,'[1]Coefficient Normal'!$A$3:$H$7,3,TRUE)</f>
        <v>-2.7900000000000001E-2</v>
      </c>
      <c r="AR63" s="5">
        <f>VLOOKUP(X63,'[1]Coefficient Normal'!$A$3:$H$7,4,TRUE)</f>
        <v>1.0497000000000001</v>
      </c>
      <c r="AS63" s="5">
        <f>VLOOKUP(X63,'[1]Coefficient Normal'!$A$3:$H$7,5,TRUE)</f>
        <v>-0.46910000000000002</v>
      </c>
      <c r="AT63" s="5">
        <f>VLOOKUP(X63,'[1]Coefficient Normal'!$A$3:$H$7,6,TRUE)</f>
        <v>0.29149999999999998</v>
      </c>
      <c r="AU63" s="5">
        <f>VLOOKUP(X63,'[1]Coefficient Normal'!$A$3:$H$7,7,TRUE)</f>
        <v>-0.28610000000000002</v>
      </c>
      <c r="AV63" s="5">
        <f>VLOOKUP(X63,'[1]Coefficient Normal'!$A$3:$H$7,8,TRUE)</f>
        <v>-0.1348</v>
      </c>
      <c r="AX63" s="5">
        <f t="shared" si="61"/>
        <v>-0.18476915335014066</v>
      </c>
      <c r="BD63" s="5"/>
      <c r="BE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I63" s="5"/>
    </row>
    <row r="64" spans="1:87" x14ac:dyDescent="0.25">
      <c r="A64">
        <v>19</v>
      </c>
      <c r="B64">
        <f t="shared" si="79"/>
        <v>82</v>
      </c>
      <c r="C64">
        <v>-90</v>
      </c>
      <c r="D64" t="str">
        <f t="shared" si="62"/>
        <v>Normal</v>
      </c>
      <c r="E64">
        <f t="shared" si="80"/>
        <v>82</v>
      </c>
      <c r="F64">
        <v>0.6</v>
      </c>
      <c r="G64">
        <f t="shared" si="63"/>
        <v>0.60589654351117084</v>
      </c>
      <c r="I64">
        <f t="shared" si="64"/>
        <v>82</v>
      </c>
      <c r="J64">
        <v>0.89600000000000002</v>
      </c>
      <c r="K64">
        <f t="shared" si="65"/>
        <v>896</v>
      </c>
      <c r="L64">
        <v>9.5250000000000005E-3</v>
      </c>
      <c r="M64">
        <f t="shared" si="65"/>
        <v>9.5250000000000004</v>
      </c>
      <c r="N64" s="3">
        <f t="shared" si="66"/>
        <v>94.068241469816272</v>
      </c>
      <c r="O64" s="1">
        <v>100</v>
      </c>
      <c r="P64" s="4" t="s">
        <v>70</v>
      </c>
      <c r="Q64" s="1">
        <f t="shared" si="67"/>
        <v>8</v>
      </c>
      <c r="R64" s="1">
        <f t="shared" si="68"/>
        <v>10</v>
      </c>
      <c r="S64" s="1">
        <f t="shared" si="69"/>
        <v>359000</v>
      </c>
      <c r="T64" s="1">
        <f t="shared" si="70"/>
        <v>455000</v>
      </c>
      <c r="U64" s="1">
        <f t="shared" si="71"/>
        <v>1.9969902892117808</v>
      </c>
      <c r="V64" s="3">
        <f>100*IF(P64='[1]Estimation Model Normal-Slip'!$J$8,'[1]Estimation Model Normal-Slip'!$O$8,IF(P64='[1]Estimation Model Normal-Slip'!$J$9,'[1]Estimation Model Normal-Slip'!$O$9,IF(P64='[1]Estimation Model Normal-Slip'!$J$10,'[1]Estimation Model Normal-Slip'!$O$10,IF(P64='[1]Estimation Model Normal-Slip'!$J$11,'[1]Estimation Model Normal-Slip'!$O$11,IF(P64='[1]Estimation Model Normal-Slip'!$J$12,'[1]Estimation Model Normal-Slip'!$O$12,IF(P64='[1]Estimation Model Normal-Slip'!$J$13,'[1]Estimation Model Normal-Slip'!$O$13,2))))))</f>
        <v>1.9041242414694344</v>
      </c>
      <c r="W64" s="1">
        <f t="shared" si="72"/>
        <v>0.69164119173371341</v>
      </c>
      <c r="X64" s="1">
        <v>75</v>
      </c>
      <c r="Y64" s="1" t="s">
        <v>78</v>
      </c>
      <c r="Z64" t="s">
        <v>81</v>
      </c>
      <c r="AA64">
        <f t="shared" si="73"/>
        <v>19</v>
      </c>
      <c r="AB64" s="1">
        <f t="shared" si="74"/>
        <v>43</v>
      </c>
      <c r="AC64">
        <f t="shared" si="75"/>
        <v>0</v>
      </c>
      <c r="AD64">
        <f t="shared" si="76"/>
        <v>0</v>
      </c>
      <c r="AE64">
        <v>0.9</v>
      </c>
      <c r="AF64" s="1">
        <v>0.8</v>
      </c>
      <c r="AG64" s="1">
        <f t="shared" si="56"/>
        <v>1.8</v>
      </c>
      <c r="AH64">
        <f t="shared" si="77"/>
        <v>34.278032614587922</v>
      </c>
      <c r="AI64">
        <f>IF(Z64="medium dense",'[1]Coefficient Normal'!$E$18 + ('[1]Coefficient Normal'!$E$19*AG64) + ('[1]Coefficient Normal'!$E$20*(AG64^2)) + ('[1]Coefficient Normal'!$E$21*(AG64^3)) + ('[1]Coefficient Normal'!$E$22*(AG64^4)),IF(Z64="dense",'[1]Coefficient Normal'!$F$18 + ('[1]Coefficient Normal'!$F$19*AG64) + ('[1]Coefficient Normal'!$F$20*(AG64^2)) + ('[1]Coefficient Normal'!$F$21*(AG64^3)) + ('[1]Coefficient Normal'!$F$22*(AG64^4)),IF(Z64="very dense",'[1]Coefficient Normal'!$G$18 + ('[1]Coefficient Normal'!$G$19*AG64) + ('[1]Coefficient Normal'!$G$20*(AG64^2)) + ('[1]Coefficient Normal'!$G$21*(AG64^3)) + ('[1]Coefficient Normal'!$G$22*(AG64^4)),0)))</f>
        <v>18.784824717152006</v>
      </c>
      <c r="AJ64">
        <f t="shared" si="57"/>
        <v>80</v>
      </c>
      <c r="AK64">
        <f t="shared" si="58"/>
        <v>865.97444478783666</v>
      </c>
      <c r="AL64">
        <f t="shared" si="78"/>
        <v>6.7638553986441545</v>
      </c>
      <c r="AM64">
        <f t="shared" si="59"/>
        <v>4.5440204919621658</v>
      </c>
      <c r="AN64">
        <f t="shared" si="60"/>
        <v>3.5345047004428238</v>
      </c>
      <c r="AO64" s="1">
        <v>0.4</v>
      </c>
      <c r="AP64" s="5">
        <f>VLOOKUP(X64,'[1]Coefficient Normal'!$A$3:$H$7,2,TRUE)</f>
        <v>5.5951000000000004</v>
      </c>
      <c r="AQ64" s="5">
        <f>VLOOKUP(X64,'[1]Coefficient Normal'!$A$3:$H$7,3,TRUE)</f>
        <v>1.6E-2</v>
      </c>
      <c r="AR64" s="5">
        <f>VLOOKUP(X64,'[1]Coefficient Normal'!$A$3:$H$7,4,TRUE)</f>
        <v>1.2641</v>
      </c>
      <c r="AS64" s="5">
        <f>VLOOKUP(X64,'[1]Coefficient Normal'!$A$3:$H$7,5,TRUE)</f>
        <v>-0.52429999999999999</v>
      </c>
      <c r="AT64" s="5">
        <f>VLOOKUP(X64,'[1]Coefficient Normal'!$A$3:$H$7,6,TRUE)</f>
        <v>0.35830000000000001</v>
      </c>
      <c r="AU64" s="5">
        <f>VLOOKUP(X64,'[1]Coefficient Normal'!$A$3:$H$7,7,TRUE)</f>
        <v>-0.35920000000000002</v>
      </c>
      <c r="AV64" s="5">
        <f>VLOOKUP(X64,'[1]Coefficient Normal'!$A$3:$H$7,8,TRUE)</f>
        <v>-0.2482</v>
      </c>
      <c r="AX64" s="5">
        <f t="shared" si="61"/>
        <v>8.8509920075637738E-2</v>
      </c>
      <c r="BD64" s="5"/>
      <c r="BE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I64" s="5"/>
    </row>
    <row r="65" spans="1:87" x14ac:dyDescent="0.25">
      <c r="A65">
        <v>20</v>
      </c>
      <c r="B65">
        <f t="shared" si="79"/>
        <v>86.5</v>
      </c>
      <c r="C65">
        <v>-90</v>
      </c>
      <c r="D65" t="str">
        <f t="shared" si="62"/>
        <v>Normal</v>
      </c>
      <c r="E65">
        <f t="shared" si="80"/>
        <v>86.5</v>
      </c>
      <c r="F65">
        <v>1.5</v>
      </c>
      <c r="G65">
        <f t="shared" si="63"/>
        <v>1.502803030584269</v>
      </c>
      <c r="I65">
        <f t="shared" si="64"/>
        <v>86.5</v>
      </c>
      <c r="J65">
        <v>0.5</v>
      </c>
      <c r="K65">
        <f t="shared" si="65"/>
        <v>500</v>
      </c>
      <c r="L65">
        <v>9.5250000000000005E-3</v>
      </c>
      <c r="M65">
        <f t="shared" si="65"/>
        <v>9.5250000000000004</v>
      </c>
      <c r="N65" s="3">
        <f t="shared" si="66"/>
        <v>52.493438320209975</v>
      </c>
      <c r="O65" s="1">
        <v>300</v>
      </c>
      <c r="P65" s="4" t="s">
        <v>70</v>
      </c>
      <c r="Q65" s="1">
        <f t="shared" si="67"/>
        <v>8</v>
      </c>
      <c r="R65" s="1">
        <f t="shared" si="68"/>
        <v>10</v>
      </c>
      <c r="S65" s="1">
        <f t="shared" si="69"/>
        <v>359000</v>
      </c>
      <c r="T65" s="1">
        <f t="shared" si="70"/>
        <v>455000</v>
      </c>
      <c r="U65" s="1">
        <f t="shared" si="71"/>
        <v>1.9969902892117808</v>
      </c>
      <c r="V65" s="3">
        <f>100*IF(P65='[1]Estimation Model Normal-Slip'!$J$8,'[1]Estimation Model Normal-Slip'!$O$8,IF(P65='[1]Estimation Model Normal-Slip'!$J$9,'[1]Estimation Model Normal-Slip'!$O$9,IF(P65='[1]Estimation Model Normal-Slip'!$J$10,'[1]Estimation Model Normal-Slip'!$O$10,IF(P65='[1]Estimation Model Normal-Slip'!$J$11,'[1]Estimation Model Normal-Slip'!$O$11,IF(P65='[1]Estimation Model Normal-Slip'!$J$12,'[1]Estimation Model Normal-Slip'!$O$12,IF(P65='[1]Estimation Model Normal-Slip'!$J$13,'[1]Estimation Model Normal-Slip'!$O$13,2))))))</f>
        <v>1.9041242414694344</v>
      </c>
      <c r="W65" s="1">
        <f t="shared" si="72"/>
        <v>0.69164119173371341</v>
      </c>
      <c r="X65" s="1">
        <v>90</v>
      </c>
      <c r="Y65" s="1" t="s">
        <v>78</v>
      </c>
      <c r="Z65" t="s">
        <v>79</v>
      </c>
      <c r="AA65">
        <f t="shared" si="73"/>
        <v>18</v>
      </c>
      <c r="AB65" s="1">
        <f t="shared" si="74"/>
        <v>37</v>
      </c>
      <c r="AC65">
        <f t="shared" si="75"/>
        <v>0</v>
      </c>
      <c r="AD65">
        <f t="shared" si="76"/>
        <v>0</v>
      </c>
      <c r="AE65">
        <v>0.9</v>
      </c>
      <c r="AF65" s="1">
        <v>2</v>
      </c>
      <c r="AG65" s="1">
        <f t="shared" si="56"/>
        <v>4</v>
      </c>
      <c r="AH65">
        <f t="shared" si="77"/>
        <v>37.145531811713909</v>
      </c>
      <c r="AI65">
        <f>IF(Z65="medium dense",'[1]Coefficient Normal'!$E$18 + ('[1]Coefficient Normal'!$E$19*AG65) + ('[1]Coefficient Normal'!$E$20*(AG65^2)) + ('[1]Coefficient Normal'!$E$21*(AG65^3)) + ('[1]Coefficient Normal'!$E$22*(AG65^4)),IF(Z65="dense",'[1]Coefficient Normal'!$F$18 + ('[1]Coefficient Normal'!$F$19*AG65) + ('[1]Coefficient Normal'!$F$20*(AG65^2)) + ('[1]Coefficient Normal'!$F$21*(AG65^3)) + ('[1]Coefficient Normal'!$F$22*(AG65^4)),IF(Z65="very dense",'[1]Coefficient Normal'!$G$18 + ('[1]Coefficient Normal'!$G$19*AG65) + ('[1]Coefficient Normal'!$G$20*(AG65^2)) + ('[1]Coefficient Normal'!$G$21*(AG65^3)) + ('[1]Coefficient Normal'!$G$22*(AG65^4)),0)))</f>
        <v>14.286272930000003</v>
      </c>
      <c r="AJ65">
        <f t="shared" si="57"/>
        <v>64.071522599936642</v>
      </c>
      <c r="AK65">
        <f t="shared" si="58"/>
        <v>401.31383858985748</v>
      </c>
      <c r="AL65">
        <f t="shared" si="78"/>
        <v>5.9947437610786407</v>
      </c>
      <c r="AM65">
        <f t="shared" si="59"/>
        <v>3.9606881774094269</v>
      </c>
      <c r="AN65">
        <f t="shared" si="60"/>
        <v>3.6148434896829706</v>
      </c>
      <c r="AO65" s="1">
        <v>1.2</v>
      </c>
      <c r="AP65" s="5">
        <f>VLOOKUP(X65,'[1]Coefficient Normal'!$A$3:$H$7,2,TRUE)</f>
        <v>14.575100000000001</v>
      </c>
      <c r="AQ65" s="5">
        <f>VLOOKUP(X65,'[1]Coefficient Normal'!$A$3:$H$7,3,TRUE)</f>
        <v>0.1356</v>
      </c>
      <c r="AR65" s="5">
        <f>VLOOKUP(X65,'[1]Coefficient Normal'!$A$3:$H$7,4,TRUE)</f>
        <v>2.9990000000000001</v>
      </c>
      <c r="AS65" s="5">
        <f>VLOOKUP(X65,'[1]Coefficient Normal'!$A$3:$H$7,5,TRUE)</f>
        <v>-0.94710000000000005</v>
      </c>
      <c r="AT65" s="5">
        <f>VLOOKUP(X65,'[1]Coefficient Normal'!$A$3:$H$7,6,TRUE)</f>
        <v>0.6603</v>
      </c>
      <c r="AU65" s="5">
        <f>VLOOKUP(X65,'[1]Coefficient Normal'!$A$3:$H$7,7,TRUE)</f>
        <v>-1.2488999999999999</v>
      </c>
      <c r="AV65" s="5">
        <f>VLOOKUP(X65,'[1]Coefficient Normal'!$A$3:$H$7,8,TRUE)</f>
        <v>-0.44140000000000001</v>
      </c>
      <c r="AX65" s="5">
        <f t="shared" si="61"/>
        <v>0.89288001558423113</v>
      </c>
      <c r="BD65" s="5"/>
      <c r="BE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I65" s="5"/>
    </row>
    <row r="67" spans="1:87" x14ac:dyDescent="0.25">
      <c r="A67" t="s">
        <v>0</v>
      </c>
      <c r="B67" t="s">
        <v>82</v>
      </c>
      <c r="C67" t="s">
        <v>131</v>
      </c>
      <c r="D67" t="s">
        <v>83</v>
      </c>
      <c r="E67" t="s">
        <v>15</v>
      </c>
      <c r="F67" t="s">
        <v>58</v>
      </c>
      <c r="G67" t="s">
        <v>132</v>
      </c>
      <c r="H67" t="s">
        <v>133</v>
      </c>
      <c r="I67" t="s">
        <v>134</v>
      </c>
    </row>
    <row r="68" spans="1:87" x14ac:dyDescent="0.25">
      <c r="A68">
        <v>1</v>
      </c>
      <c r="B68">
        <v>1</v>
      </c>
      <c r="C68">
        <v>-89</v>
      </c>
      <c r="D68" t="str">
        <f>IF(B68&lt;=90,IF(C68=-180,"SSComp",IF(AND(C68&gt;-180,C68&lt;-90),"SSComp_and_Normal",IF(C68=-90,"Normal",IF(AND(C68&gt;-90,C68&lt;0),"SSTens_and_Normal",IF(C68=0,"SSTens"))))),IF(C68=0,"SSComp",IF(AND(C68&gt;0,C68&lt;90),"SSComp_and_Reverse",IF(C68=90,"Reverse",IF(AND(C68&gt;90,C68&lt;180),"SSTens_and_Reverse",IF(C68=180,"SSTens"))))))</f>
        <v>SSTens_and_Normal</v>
      </c>
      <c r="E68">
        <v>1</v>
      </c>
      <c r="F68">
        <v>0.2</v>
      </c>
      <c r="G68">
        <f>F68*ABS(COS(RADIANS(C68)))</f>
        <v>3.49048128745672E-3</v>
      </c>
      <c r="H68">
        <f>F68*ABS(SIN(RADIANS(C68))/COS(RADIANS(90-B68)))</f>
        <v>11.45799232615183</v>
      </c>
      <c r="I68">
        <f>B68</f>
        <v>1</v>
      </c>
    </row>
    <row r="69" spans="1:87" x14ac:dyDescent="0.25">
      <c r="A69">
        <v>2</v>
      </c>
      <c r="B69">
        <f>B68+4.5</f>
        <v>5.5</v>
      </c>
      <c r="C69">
        <f>C68+4.5</f>
        <v>-84.5</v>
      </c>
      <c r="D69" t="str">
        <f t="shared" ref="D69:D87" si="81">IF(B69&lt;=90,IF(C69=-180,"SSComp",IF(AND(C69&gt;-180,C69&lt;-90),"SSComp_and_Normal",IF(C69=-90,"Normal",IF(AND(C69&gt;-90,C69&lt;0),"SSTens_and_Normal",IF(C69=0,"SSTens"))))),IF(C69=0,"SSComp",IF(AND(C69&gt;0,C69&lt;90),"SSComp_and_Reverse",IF(C69=90,"Reverse",IF(AND(C69&gt;90,C69&lt;180),"SSTens_and_Reverse",IF(C69=180,"SSTens"))))))</f>
        <v>SSTens_and_Normal</v>
      </c>
      <c r="E69">
        <f>E68+4.5</f>
        <v>5.5</v>
      </c>
      <c r="F69">
        <v>0.1</v>
      </c>
      <c r="G69">
        <f t="shared" ref="G69:G87" si="82">F69*ABS(COS(RADIANS(C69)))</f>
        <v>9.5845752520224078E-3</v>
      </c>
      <c r="H69">
        <f t="shared" ref="H69:H87" si="83">F69*ABS(SIN(RADIANS(C69))/COS(RADIANS(90-B69)))</f>
        <v>1.038539708013815</v>
      </c>
      <c r="I69">
        <f t="shared" ref="I69:I87" si="84">B69</f>
        <v>5.5</v>
      </c>
    </row>
    <row r="70" spans="1:87" x14ac:dyDescent="0.25">
      <c r="A70">
        <v>3</v>
      </c>
      <c r="B70">
        <f t="shared" ref="B70:C87" si="85">B69+4.5</f>
        <v>10</v>
      </c>
      <c r="C70">
        <f t="shared" si="85"/>
        <v>-80</v>
      </c>
      <c r="D70" t="str">
        <f t="shared" si="81"/>
        <v>SSTens_and_Normal</v>
      </c>
      <c r="E70">
        <f t="shared" ref="E70:E87" si="86">E69+4.5</f>
        <v>10</v>
      </c>
      <c r="F70">
        <v>0.2</v>
      </c>
      <c r="G70">
        <f t="shared" si="82"/>
        <v>3.4729635533386087E-2</v>
      </c>
      <c r="H70">
        <f t="shared" si="83"/>
        <v>1.1342563639235415</v>
      </c>
      <c r="I70">
        <f t="shared" si="84"/>
        <v>10</v>
      </c>
    </row>
    <row r="71" spans="1:87" x14ac:dyDescent="0.25">
      <c r="A71">
        <v>4</v>
      </c>
      <c r="B71">
        <f t="shared" si="85"/>
        <v>14.5</v>
      </c>
      <c r="C71">
        <f t="shared" si="85"/>
        <v>-75.5</v>
      </c>
      <c r="D71" t="str">
        <f t="shared" si="81"/>
        <v>SSTens_and_Normal</v>
      </c>
      <c r="E71">
        <f t="shared" si="86"/>
        <v>14.5</v>
      </c>
      <c r="F71">
        <v>0.7</v>
      </c>
      <c r="G71">
        <f t="shared" si="82"/>
        <v>0.17526600283810903</v>
      </c>
      <c r="H71">
        <f t="shared" si="83"/>
        <v>2.7066991664291153</v>
      </c>
      <c r="I71">
        <f t="shared" si="84"/>
        <v>14.5</v>
      </c>
    </row>
    <row r="72" spans="1:87" x14ac:dyDescent="0.25">
      <c r="A72">
        <v>5</v>
      </c>
      <c r="B72">
        <f t="shared" si="85"/>
        <v>19</v>
      </c>
      <c r="C72">
        <f t="shared" si="85"/>
        <v>-71</v>
      </c>
      <c r="D72" t="str">
        <f t="shared" si="81"/>
        <v>SSTens_and_Normal</v>
      </c>
      <c r="E72">
        <f t="shared" si="86"/>
        <v>19</v>
      </c>
      <c r="F72">
        <v>0.2</v>
      </c>
      <c r="G72">
        <f t="shared" si="82"/>
        <v>6.5113630891431351E-2</v>
      </c>
      <c r="H72">
        <f t="shared" si="83"/>
        <v>0.58084217553516437</v>
      </c>
      <c r="I72">
        <f t="shared" si="84"/>
        <v>19</v>
      </c>
    </row>
    <row r="73" spans="1:87" x14ac:dyDescent="0.25">
      <c r="A73">
        <v>6</v>
      </c>
      <c r="B73">
        <f t="shared" si="85"/>
        <v>23.5</v>
      </c>
      <c r="C73">
        <f t="shared" si="85"/>
        <v>-66.5</v>
      </c>
      <c r="D73" t="str">
        <f t="shared" si="81"/>
        <v>SSTens_and_Normal</v>
      </c>
      <c r="E73">
        <f t="shared" si="86"/>
        <v>23.5</v>
      </c>
      <c r="F73">
        <v>0.3</v>
      </c>
      <c r="G73">
        <f t="shared" si="82"/>
        <v>0.11962472067757388</v>
      </c>
      <c r="H73">
        <f t="shared" si="83"/>
        <v>0.68995276417087703</v>
      </c>
      <c r="I73">
        <f t="shared" si="84"/>
        <v>23.5</v>
      </c>
    </row>
    <row r="74" spans="1:87" x14ac:dyDescent="0.25">
      <c r="A74">
        <v>7</v>
      </c>
      <c r="B74">
        <f t="shared" si="85"/>
        <v>28</v>
      </c>
      <c r="C74">
        <f t="shared" si="85"/>
        <v>-62</v>
      </c>
      <c r="D74" t="str">
        <f t="shared" si="81"/>
        <v>SSTens_and_Normal</v>
      </c>
      <c r="E74">
        <f t="shared" si="86"/>
        <v>28</v>
      </c>
      <c r="F74">
        <v>0.5</v>
      </c>
      <c r="G74">
        <f t="shared" si="82"/>
        <v>0.23473578139294543</v>
      </c>
      <c r="H74">
        <f t="shared" si="83"/>
        <v>0.94036323267316579</v>
      </c>
      <c r="I74">
        <f t="shared" si="84"/>
        <v>28</v>
      </c>
    </row>
    <row r="75" spans="1:87" x14ac:dyDescent="0.25">
      <c r="A75">
        <v>8</v>
      </c>
      <c r="B75">
        <f t="shared" si="85"/>
        <v>32.5</v>
      </c>
      <c r="C75">
        <f t="shared" si="85"/>
        <v>-57.5</v>
      </c>
      <c r="D75" t="str">
        <f t="shared" si="81"/>
        <v>SSTens_and_Normal</v>
      </c>
      <c r="E75">
        <f t="shared" si="86"/>
        <v>32.5</v>
      </c>
      <c r="F75">
        <v>0.65</v>
      </c>
      <c r="G75">
        <f t="shared" si="82"/>
        <v>0.34924474542543554</v>
      </c>
      <c r="H75">
        <f t="shared" si="83"/>
        <v>1.0202956251263686</v>
      </c>
      <c r="I75">
        <f t="shared" si="84"/>
        <v>32.5</v>
      </c>
    </row>
    <row r="76" spans="1:87" x14ac:dyDescent="0.25">
      <c r="A76">
        <v>9</v>
      </c>
      <c r="B76">
        <f t="shared" si="85"/>
        <v>37</v>
      </c>
      <c r="C76">
        <f t="shared" si="85"/>
        <v>-53</v>
      </c>
      <c r="D76" t="str">
        <f t="shared" si="81"/>
        <v>SSTens_and_Normal</v>
      </c>
      <c r="E76">
        <f t="shared" si="86"/>
        <v>37</v>
      </c>
      <c r="F76">
        <v>0.54</v>
      </c>
      <c r="G76">
        <f t="shared" si="82"/>
        <v>0.32498011250210612</v>
      </c>
      <c r="H76">
        <f t="shared" si="83"/>
        <v>0.71660420367502131</v>
      </c>
      <c r="I76">
        <f t="shared" si="84"/>
        <v>37</v>
      </c>
    </row>
    <row r="77" spans="1:87" x14ac:dyDescent="0.25">
      <c r="A77">
        <v>10</v>
      </c>
      <c r="B77">
        <f t="shared" si="85"/>
        <v>41.5</v>
      </c>
      <c r="C77">
        <f t="shared" si="85"/>
        <v>-48.5</v>
      </c>
      <c r="D77" t="str">
        <f t="shared" si="81"/>
        <v>SSTens_and_Normal</v>
      </c>
      <c r="E77">
        <f t="shared" si="86"/>
        <v>41.5</v>
      </c>
      <c r="F77">
        <v>0.5</v>
      </c>
      <c r="G77">
        <f t="shared" si="82"/>
        <v>0.33131002410786875</v>
      </c>
      <c r="H77">
        <f t="shared" si="83"/>
        <v>0.56514719318087636</v>
      </c>
      <c r="I77">
        <f t="shared" si="84"/>
        <v>41.5</v>
      </c>
    </row>
    <row r="78" spans="1:87" x14ac:dyDescent="0.25">
      <c r="A78">
        <v>11</v>
      </c>
      <c r="B78">
        <f t="shared" si="85"/>
        <v>46</v>
      </c>
      <c r="C78">
        <f t="shared" si="85"/>
        <v>-44</v>
      </c>
      <c r="D78" t="str">
        <f t="shared" si="81"/>
        <v>SSTens_and_Normal</v>
      </c>
      <c r="E78">
        <f t="shared" si="86"/>
        <v>46</v>
      </c>
      <c r="F78">
        <v>0.7</v>
      </c>
      <c r="G78">
        <f t="shared" si="82"/>
        <v>0.50353786023705582</v>
      </c>
      <c r="H78">
        <f t="shared" si="83"/>
        <v>0.67598214236495169</v>
      </c>
      <c r="I78">
        <f t="shared" si="84"/>
        <v>46</v>
      </c>
    </row>
    <row r="79" spans="1:87" x14ac:dyDescent="0.25">
      <c r="A79">
        <v>12</v>
      </c>
      <c r="B79">
        <f t="shared" si="85"/>
        <v>50.5</v>
      </c>
      <c r="C79">
        <f t="shared" si="85"/>
        <v>-39.5</v>
      </c>
      <c r="D79" t="str">
        <f t="shared" si="81"/>
        <v>SSTens_and_Normal</v>
      </c>
      <c r="E79">
        <f t="shared" si="86"/>
        <v>50.5</v>
      </c>
      <c r="F79">
        <v>0.6</v>
      </c>
      <c r="G79">
        <f t="shared" si="82"/>
        <v>0.462974750032632</v>
      </c>
      <c r="H79">
        <f t="shared" si="83"/>
        <v>0.49460183149049741</v>
      </c>
      <c r="I79">
        <f t="shared" si="84"/>
        <v>50.5</v>
      </c>
    </row>
    <row r="80" spans="1:87" x14ac:dyDescent="0.25">
      <c r="A80">
        <v>13</v>
      </c>
      <c r="B80">
        <f t="shared" si="85"/>
        <v>55</v>
      </c>
      <c r="C80">
        <f t="shared" si="85"/>
        <v>-35</v>
      </c>
      <c r="D80" t="str">
        <f t="shared" si="81"/>
        <v>SSTens_and_Normal</v>
      </c>
      <c r="E80">
        <f t="shared" si="86"/>
        <v>55</v>
      </c>
      <c r="F80">
        <v>0.5</v>
      </c>
      <c r="G80">
        <f t="shared" si="82"/>
        <v>0.4095760221444959</v>
      </c>
      <c r="H80">
        <f t="shared" si="83"/>
        <v>0.35010376910485486</v>
      </c>
      <c r="I80">
        <f t="shared" si="84"/>
        <v>55</v>
      </c>
    </row>
    <row r="81" spans="1:9" x14ac:dyDescent="0.25">
      <c r="A81">
        <v>14</v>
      </c>
      <c r="B81">
        <f t="shared" si="85"/>
        <v>59.5</v>
      </c>
      <c r="C81">
        <f t="shared" si="85"/>
        <v>-30.5</v>
      </c>
      <c r="D81" t="str">
        <f t="shared" si="81"/>
        <v>SSTens_and_Normal</v>
      </c>
      <c r="E81">
        <f t="shared" si="86"/>
        <v>59.5</v>
      </c>
      <c r="F81">
        <v>0.2</v>
      </c>
      <c r="G81">
        <f t="shared" si="82"/>
        <v>0.17232583208830518</v>
      </c>
      <c r="H81">
        <f t="shared" si="83"/>
        <v>0.1178090032841102</v>
      </c>
      <c r="I81">
        <f t="shared" si="84"/>
        <v>59.5</v>
      </c>
    </row>
    <row r="82" spans="1:9" x14ac:dyDescent="0.25">
      <c r="A82">
        <v>15</v>
      </c>
      <c r="B82">
        <f t="shared" si="85"/>
        <v>64</v>
      </c>
      <c r="C82">
        <f t="shared" si="85"/>
        <v>-26</v>
      </c>
      <c r="D82" t="str">
        <f t="shared" si="81"/>
        <v>SSTens_and_Normal</v>
      </c>
      <c r="E82">
        <f t="shared" si="86"/>
        <v>64</v>
      </c>
      <c r="F82">
        <v>0.4</v>
      </c>
      <c r="G82">
        <f t="shared" si="82"/>
        <v>0.35951761851966685</v>
      </c>
      <c r="H82">
        <f t="shared" si="83"/>
        <v>0.19509303542634457</v>
      </c>
      <c r="I82">
        <f t="shared" si="84"/>
        <v>64</v>
      </c>
    </row>
    <row r="83" spans="1:9" x14ac:dyDescent="0.25">
      <c r="A83">
        <v>16</v>
      </c>
      <c r="B83">
        <f t="shared" si="85"/>
        <v>68.5</v>
      </c>
      <c r="C83">
        <f t="shared" si="85"/>
        <v>-21.5</v>
      </c>
      <c r="D83" t="str">
        <f t="shared" si="81"/>
        <v>SSTens_and_Normal</v>
      </c>
      <c r="E83">
        <f t="shared" si="86"/>
        <v>68.5</v>
      </c>
      <c r="F83">
        <v>0.3</v>
      </c>
      <c r="G83">
        <f t="shared" si="82"/>
        <v>0.27912527039460738</v>
      </c>
      <c r="H83">
        <f t="shared" si="83"/>
        <v>0.11817314268448272</v>
      </c>
      <c r="I83">
        <f t="shared" si="84"/>
        <v>68.5</v>
      </c>
    </row>
    <row r="84" spans="1:9" x14ac:dyDescent="0.25">
      <c r="A84">
        <v>17</v>
      </c>
      <c r="B84">
        <f t="shared" si="85"/>
        <v>73</v>
      </c>
      <c r="C84">
        <f t="shared" si="85"/>
        <v>-17</v>
      </c>
      <c r="D84" t="str">
        <f t="shared" si="81"/>
        <v>SSTens_and_Normal</v>
      </c>
      <c r="E84">
        <f t="shared" si="86"/>
        <v>73</v>
      </c>
      <c r="F84">
        <v>0.5</v>
      </c>
      <c r="G84">
        <f t="shared" si="82"/>
        <v>0.47815237798151772</v>
      </c>
      <c r="H84">
        <f t="shared" si="83"/>
        <v>0.1528653407293302</v>
      </c>
      <c r="I84">
        <f t="shared" si="84"/>
        <v>73</v>
      </c>
    </row>
    <row r="85" spans="1:9" x14ac:dyDescent="0.25">
      <c r="A85">
        <v>18</v>
      </c>
      <c r="B85">
        <f t="shared" si="85"/>
        <v>77.5</v>
      </c>
      <c r="C85">
        <f t="shared" si="85"/>
        <v>-12.5</v>
      </c>
      <c r="D85" t="str">
        <f t="shared" si="81"/>
        <v>SSTens_and_Normal</v>
      </c>
      <c r="E85">
        <f t="shared" si="86"/>
        <v>77.5</v>
      </c>
      <c r="F85">
        <v>0.7</v>
      </c>
      <c r="G85">
        <f t="shared" si="82"/>
        <v>0.68340720498395335</v>
      </c>
      <c r="H85">
        <f t="shared" si="83"/>
        <v>0.15518626385005793</v>
      </c>
      <c r="I85">
        <f t="shared" si="84"/>
        <v>77.5</v>
      </c>
    </row>
    <row r="86" spans="1:9" x14ac:dyDescent="0.25">
      <c r="A86">
        <v>19</v>
      </c>
      <c r="B86">
        <f t="shared" si="85"/>
        <v>82</v>
      </c>
      <c r="C86">
        <f t="shared" si="85"/>
        <v>-8</v>
      </c>
      <c r="D86" t="str">
        <f t="shared" si="81"/>
        <v>SSTens_and_Normal</v>
      </c>
      <c r="E86">
        <f t="shared" si="86"/>
        <v>82</v>
      </c>
      <c r="F86">
        <v>0.6</v>
      </c>
      <c r="G86">
        <f t="shared" si="82"/>
        <v>0.59416084124494217</v>
      </c>
      <c r="H86">
        <f t="shared" si="83"/>
        <v>8.4324500821434847E-2</v>
      </c>
      <c r="I86">
        <f t="shared" si="84"/>
        <v>82</v>
      </c>
    </row>
    <row r="87" spans="1:9" x14ac:dyDescent="0.25">
      <c r="A87">
        <v>20</v>
      </c>
      <c r="B87">
        <f t="shared" si="85"/>
        <v>86.5</v>
      </c>
      <c r="C87">
        <f t="shared" si="85"/>
        <v>-3.5</v>
      </c>
      <c r="D87" t="str">
        <f t="shared" si="81"/>
        <v>SSTens_and_Normal</v>
      </c>
      <c r="E87">
        <f t="shared" si="86"/>
        <v>86.5</v>
      </c>
      <c r="F87">
        <v>1.5</v>
      </c>
      <c r="G87">
        <f t="shared" si="82"/>
        <v>1.4972021976328005</v>
      </c>
      <c r="H87">
        <f t="shared" si="83"/>
        <v>9.1743930225726467E-2</v>
      </c>
      <c r="I87">
        <f t="shared" si="84"/>
        <v>86.5</v>
      </c>
    </row>
    <row r="89" spans="1:9" x14ac:dyDescent="0.25">
      <c r="A89" t="s">
        <v>0</v>
      </c>
      <c r="B89" t="s">
        <v>82</v>
      </c>
      <c r="C89" t="s">
        <v>131</v>
      </c>
      <c r="D89" t="s">
        <v>83</v>
      </c>
      <c r="E89" t="s">
        <v>15</v>
      </c>
      <c r="F89" t="s">
        <v>58</v>
      </c>
      <c r="G89" t="s">
        <v>132</v>
      </c>
      <c r="H89" t="s">
        <v>133</v>
      </c>
      <c r="I89" t="s">
        <v>134</v>
      </c>
    </row>
    <row r="90" spans="1:9" x14ac:dyDescent="0.25">
      <c r="A90">
        <v>1</v>
      </c>
      <c r="B90">
        <v>1</v>
      </c>
      <c r="C90">
        <v>0</v>
      </c>
      <c r="D90" t="str">
        <f>IF(B90&lt;=90,IF(C90=-180,"SSComp",IF(AND(C90&gt;-180,C90&lt;-90),"SSComp_and_Normal",IF(C90=-90,"Normal",IF(AND(C90&gt;-90,C90&lt;0),"SSTens_and_Normal",IF(C90=0,"SSTens"))))),IF(C90=0,"SSComp",IF(AND(C90&gt;0,C90&lt;90),"SSComp_and_Reverse",IF(C90=90,"Reverse",IF(AND(C90&gt;90,C90&lt;180),"SSTens_and_Reverse",IF(C90=180,"SSTens"))))))</f>
        <v>SSTens</v>
      </c>
      <c r="E90">
        <v>1</v>
      </c>
      <c r="F90">
        <v>0.2</v>
      </c>
      <c r="G90">
        <f>F90</f>
        <v>0.2</v>
      </c>
      <c r="I90">
        <f>B90</f>
        <v>1</v>
      </c>
    </row>
    <row r="91" spans="1:9" x14ac:dyDescent="0.25">
      <c r="A91">
        <v>2</v>
      </c>
      <c r="B91">
        <f>B90+4.5</f>
        <v>5.5</v>
      </c>
      <c r="C91">
        <v>0</v>
      </c>
      <c r="D91" t="str">
        <f t="shared" ref="D91:D109" si="87">IF(B91&lt;=90,IF(C91=-180,"SSComp",IF(AND(C91&gt;-180,C91&lt;-90),"SSComp_and_Normal",IF(C91=-90,"Normal",IF(AND(C91&gt;-90,C91&lt;0),"SSTens_and_Normal",IF(C91=0,"SSTens"))))),IF(C91=0,"SSComp",IF(AND(C91&gt;0,C91&lt;90),"SSComp_and_Reverse",IF(C91=90,"Reverse",IF(AND(C91&gt;90,C91&lt;180),"SSTens_and_Reverse",IF(C91=180,"SSTens"))))))</f>
        <v>SSTens</v>
      </c>
      <c r="E91">
        <f>E90+4.5</f>
        <v>5.5</v>
      </c>
      <c r="F91">
        <v>0.1</v>
      </c>
      <c r="G91">
        <f t="shared" ref="G91:G109" si="88">F91</f>
        <v>0.1</v>
      </c>
      <c r="I91">
        <f t="shared" ref="I91:I109" si="89">B91</f>
        <v>5.5</v>
      </c>
    </row>
    <row r="92" spans="1:9" x14ac:dyDescent="0.25">
      <c r="A92">
        <v>3</v>
      </c>
      <c r="B92">
        <f t="shared" ref="B92:B109" si="90">B91+4.5</f>
        <v>10</v>
      </c>
      <c r="C92">
        <v>0</v>
      </c>
      <c r="D92" t="str">
        <f t="shared" si="87"/>
        <v>SSTens</v>
      </c>
      <c r="E92">
        <f t="shared" ref="E92:E109" si="91">E91+4.5</f>
        <v>10</v>
      </c>
      <c r="F92">
        <v>0.2</v>
      </c>
      <c r="G92">
        <f t="shared" si="88"/>
        <v>0.2</v>
      </c>
      <c r="I92">
        <f t="shared" si="89"/>
        <v>10</v>
      </c>
    </row>
    <row r="93" spans="1:9" x14ac:dyDescent="0.25">
      <c r="A93">
        <v>4</v>
      </c>
      <c r="B93">
        <f t="shared" si="90"/>
        <v>14.5</v>
      </c>
      <c r="C93">
        <v>0</v>
      </c>
      <c r="D93" t="str">
        <f t="shared" si="87"/>
        <v>SSTens</v>
      </c>
      <c r="E93">
        <f t="shared" si="91"/>
        <v>14.5</v>
      </c>
      <c r="F93">
        <v>0.7</v>
      </c>
      <c r="G93">
        <f t="shared" si="88"/>
        <v>0.7</v>
      </c>
      <c r="I93">
        <f t="shared" si="89"/>
        <v>14.5</v>
      </c>
    </row>
    <row r="94" spans="1:9" x14ac:dyDescent="0.25">
      <c r="A94">
        <v>5</v>
      </c>
      <c r="B94">
        <f t="shared" si="90"/>
        <v>19</v>
      </c>
      <c r="C94">
        <v>0</v>
      </c>
      <c r="D94" t="str">
        <f t="shared" si="87"/>
        <v>SSTens</v>
      </c>
      <c r="E94">
        <f t="shared" si="91"/>
        <v>19</v>
      </c>
      <c r="F94">
        <v>0.2</v>
      </c>
      <c r="G94">
        <f t="shared" si="88"/>
        <v>0.2</v>
      </c>
      <c r="I94">
        <f t="shared" si="89"/>
        <v>19</v>
      </c>
    </row>
    <row r="95" spans="1:9" x14ac:dyDescent="0.25">
      <c r="A95">
        <v>6</v>
      </c>
      <c r="B95">
        <f t="shared" si="90"/>
        <v>23.5</v>
      </c>
      <c r="C95">
        <v>0</v>
      </c>
      <c r="D95" t="str">
        <f t="shared" si="87"/>
        <v>SSTens</v>
      </c>
      <c r="E95">
        <f t="shared" si="91"/>
        <v>23.5</v>
      </c>
      <c r="F95">
        <v>0.3</v>
      </c>
      <c r="G95">
        <f t="shared" si="88"/>
        <v>0.3</v>
      </c>
      <c r="I95">
        <f t="shared" si="89"/>
        <v>23.5</v>
      </c>
    </row>
    <row r="96" spans="1:9" x14ac:dyDescent="0.25">
      <c r="A96">
        <v>7</v>
      </c>
      <c r="B96">
        <f t="shared" si="90"/>
        <v>28</v>
      </c>
      <c r="C96">
        <v>0</v>
      </c>
      <c r="D96" t="str">
        <f t="shared" si="87"/>
        <v>SSTens</v>
      </c>
      <c r="E96">
        <f t="shared" si="91"/>
        <v>28</v>
      </c>
      <c r="F96">
        <v>0.5</v>
      </c>
      <c r="G96">
        <f t="shared" si="88"/>
        <v>0.5</v>
      </c>
      <c r="I96">
        <f t="shared" si="89"/>
        <v>28</v>
      </c>
    </row>
    <row r="97" spans="1:9" x14ac:dyDescent="0.25">
      <c r="A97">
        <v>8</v>
      </c>
      <c r="B97">
        <f t="shared" si="90"/>
        <v>32.5</v>
      </c>
      <c r="C97">
        <v>0</v>
      </c>
      <c r="D97" t="str">
        <f t="shared" si="87"/>
        <v>SSTens</v>
      </c>
      <c r="E97">
        <f t="shared" si="91"/>
        <v>32.5</v>
      </c>
      <c r="F97">
        <v>0.65</v>
      </c>
      <c r="G97">
        <f t="shared" si="88"/>
        <v>0.65</v>
      </c>
      <c r="I97">
        <f t="shared" si="89"/>
        <v>32.5</v>
      </c>
    </row>
    <row r="98" spans="1:9" x14ac:dyDescent="0.25">
      <c r="A98">
        <v>9</v>
      </c>
      <c r="B98">
        <f t="shared" si="90"/>
        <v>37</v>
      </c>
      <c r="C98">
        <v>0</v>
      </c>
      <c r="D98" t="str">
        <f t="shared" si="87"/>
        <v>SSTens</v>
      </c>
      <c r="E98">
        <f t="shared" si="91"/>
        <v>37</v>
      </c>
      <c r="F98">
        <v>0.54</v>
      </c>
      <c r="G98">
        <f t="shared" si="88"/>
        <v>0.54</v>
      </c>
      <c r="I98">
        <f t="shared" si="89"/>
        <v>37</v>
      </c>
    </row>
    <row r="99" spans="1:9" x14ac:dyDescent="0.25">
      <c r="A99">
        <v>10</v>
      </c>
      <c r="B99">
        <f t="shared" si="90"/>
        <v>41.5</v>
      </c>
      <c r="C99">
        <v>0</v>
      </c>
      <c r="D99" t="str">
        <f t="shared" si="87"/>
        <v>SSTens</v>
      </c>
      <c r="E99">
        <f t="shared" si="91"/>
        <v>41.5</v>
      </c>
      <c r="F99">
        <v>0.5</v>
      </c>
      <c r="G99">
        <f t="shared" si="88"/>
        <v>0.5</v>
      </c>
      <c r="I99">
        <f t="shared" si="89"/>
        <v>41.5</v>
      </c>
    </row>
    <row r="100" spans="1:9" x14ac:dyDescent="0.25">
      <c r="A100">
        <v>11</v>
      </c>
      <c r="B100">
        <f t="shared" si="90"/>
        <v>46</v>
      </c>
      <c r="C100">
        <v>0</v>
      </c>
      <c r="D100" t="str">
        <f t="shared" si="87"/>
        <v>SSTens</v>
      </c>
      <c r="E100">
        <f t="shared" si="91"/>
        <v>46</v>
      </c>
      <c r="F100">
        <v>0.7</v>
      </c>
      <c r="G100">
        <f t="shared" si="88"/>
        <v>0.7</v>
      </c>
      <c r="I100">
        <f t="shared" si="89"/>
        <v>46</v>
      </c>
    </row>
    <row r="101" spans="1:9" x14ac:dyDescent="0.25">
      <c r="A101">
        <v>12</v>
      </c>
      <c r="B101">
        <f t="shared" si="90"/>
        <v>50.5</v>
      </c>
      <c r="C101">
        <v>0</v>
      </c>
      <c r="D101" t="str">
        <f t="shared" si="87"/>
        <v>SSTens</v>
      </c>
      <c r="E101">
        <f t="shared" si="91"/>
        <v>50.5</v>
      </c>
      <c r="F101">
        <v>0.6</v>
      </c>
      <c r="G101">
        <f t="shared" si="88"/>
        <v>0.6</v>
      </c>
      <c r="I101">
        <f t="shared" si="89"/>
        <v>50.5</v>
      </c>
    </row>
    <row r="102" spans="1:9" x14ac:dyDescent="0.25">
      <c r="A102">
        <v>13</v>
      </c>
      <c r="B102">
        <f t="shared" si="90"/>
        <v>55</v>
      </c>
      <c r="C102">
        <v>0</v>
      </c>
      <c r="D102" t="str">
        <f t="shared" si="87"/>
        <v>SSTens</v>
      </c>
      <c r="E102">
        <f t="shared" si="91"/>
        <v>55</v>
      </c>
      <c r="F102">
        <v>0.5</v>
      </c>
      <c r="G102">
        <f t="shared" si="88"/>
        <v>0.5</v>
      </c>
      <c r="I102">
        <f t="shared" si="89"/>
        <v>55</v>
      </c>
    </row>
    <row r="103" spans="1:9" x14ac:dyDescent="0.25">
      <c r="A103">
        <v>14</v>
      </c>
      <c r="B103">
        <f t="shared" si="90"/>
        <v>59.5</v>
      </c>
      <c r="C103">
        <v>0</v>
      </c>
      <c r="D103" t="str">
        <f t="shared" si="87"/>
        <v>SSTens</v>
      </c>
      <c r="E103">
        <f t="shared" si="91"/>
        <v>59.5</v>
      </c>
      <c r="F103">
        <v>0.2</v>
      </c>
      <c r="G103">
        <f t="shared" si="88"/>
        <v>0.2</v>
      </c>
      <c r="I103">
        <f t="shared" si="89"/>
        <v>59.5</v>
      </c>
    </row>
    <row r="104" spans="1:9" x14ac:dyDescent="0.25">
      <c r="A104">
        <v>15</v>
      </c>
      <c r="B104">
        <f t="shared" si="90"/>
        <v>64</v>
      </c>
      <c r="C104">
        <v>0</v>
      </c>
      <c r="D104" t="str">
        <f t="shared" si="87"/>
        <v>SSTens</v>
      </c>
      <c r="E104">
        <f t="shared" si="91"/>
        <v>64</v>
      </c>
      <c r="F104">
        <v>0.4</v>
      </c>
      <c r="G104">
        <f t="shared" si="88"/>
        <v>0.4</v>
      </c>
      <c r="I104">
        <f t="shared" si="89"/>
        <v>64</v>
      </c>
    </row>
    <row r="105" spans="1:9" x14ac:dyDescent="0.25">
      <c r="A105">
        <v>16</v>
      </c>
      <c r="B105">
        <f t="shared" si="90"/>
        <v>68.5</v>
      </c>
      <c r="C105">
        <v>0</v>
      </c>
      <c r="D105" t="str">
        <f t="shared" si="87"/>
        <v>SSTens</v>
      </c>
      <c r="E105">
        <f t="shared" si="91"/>
        <v>68.5</v>
      </c>
      <c r="F105">
        <v>0.3</v>
      </c>
      <c r="G105">
        <f t="shared" si="88"/>
        <v>0.3</v>
      </c>
      <c r="I105">
        <f t="shared" si="89"/>
        <v>68.5</v>
      </c>
    </row>
    <row r="106" spans="1:9" x14ac:dyDescent="0.25">
      <c r="A106">
        <v>17</v>
      </c>
      <c r="B106">
        <f t="shared" si="90"/>
        <v>73</v>
      </c>
      <c r="C106">
        <v>0</v>
      </c>
      <c r="D106" t="str">
        <f t="shared" si="87"/>
        <v>SSTens</v>
      </c>
      <c r="E106">
        <f t="shared" si="91"/>
        <v>73</v>
      </c>
      <c r="F106">
        <v>0.5</v>
      </c>
      <c r="G106">
        <f t="shared" si="88"/>
        <v>0.5</v>
      </c>
      <c r="I106">
        <f t="shared" si="89"/>
        <v>73</v>
      </c>
    </row>
    <row r="107" spans="1:9" x14ac:dyDescent="0.25">
      <c r="A107">
        <v>18</v>
      </c>
      <c r="B107">
        <f t="shared" si="90"/>
        <v>77.5</v>
      </c>
      <c r="C107">
        <v>0</v>
      </c>
      <c r="D107" t="str">
        <f t="shared" si="87"/>
        <v>SSTens</v>
      </c>
      <c r="E107">
        <f t="shared" si="91"/>
        <v>77.5</v>
      </c>
      <c r="F107">
        <v>0.7</v>
      </c>
      <c r="G107">
        <f t="shared" si="88"/>
        <v>0.7</v>
      </c>
      <c r="I107">
        <f t="shared" si="89"/>
        <v>77.5</v>
      </c>
    </row>
    <row r="108" spans="1:9" x14ac:dyDescent="0.25">
      <c r="A108">
        <v>19</v>
      </c>
      <c r="B108">
        <f t="shared" si="90"/>
        <v>82</v>
      </c>
      <c r="C108">
        <v>0</v>
      </c>
      <c r="D108" t="str">
        <f t="shared" si="87"/>
        <v>SSTens</v>
      </c>
      <c r="E108">
        <f t="shared" si="91"/>
        <v>82</v>
      </c>
      <c r="F108">
        <v>0.6</v>
      </c>
      <c r="G108">
        <f t="shared" si="88"/>
        <v>0.6</v>
      </c>
      <c r="I108">
        <f t="shared" si="89"/>
        <v>82</v>
      </c>
    </row>
    <row r="109" spans="1:9" x14ac:dyDescent="0.25">
      <c r="A109">
        <v>20</v>
      </c>
      <c r="B109">
        <f t="shared" si="90"/>
        <v>86.5</v>
      </c>
      <c r="C109">
        <v>0</v>
      </c>
      <c r="D109" t="str">
        <f t="shared" si="87"/>
        <v>SSTens</v>
      </c>
      <c r="E109">
        <f t="shared" si="91"/>
        <v>86.5</v>
      </c>
      <c r="F109">
        <v>1.5</v>
      </c>
      <c r="G109">
        <f t="shared" si="88"/>
        <v>1.5</v>
      </c>
      <c r="I109">
        <f t="shared" si="89"/>
        <v>86.5</v>
      </c>
    </row>
    <row r="111" spans="1:9" x14ac:dyDescent="0.25">
      <c r="A111" t="s">
        <v>0</v>
      </c>
      <c r="B111" t="s">
        <v>82</v>
      </c>
      <c r="C111" t="s">
        <v>131</v>
      </c>
      <c r="D111" t="s">
        <v>83</v>
      </c>
      <c r="E111" t="s">
        <v>15</v>
      </c>
      <c r="F111" t="s">
        <v>58</v>
      </c>
      <c r="G111" t="s">
        <v>132</v>
      </c>
      <c r="H111" t="s">
        <v>133</v>
      </c>
      <c r="I111" t="s">
        <v>134</v>
      </c>
    </row>
    <row r="112" spans="1:9" x14ac:dyDescent="0.25">
      <c r="A112">
        <v>1</v>
      </c>
      <c r="B112">
        <v>91</v>
      </c>
      <c r="C112">
        <v>0</v>
      </c>
      <c r="D112" t="str">
        <f>IF(B112&lt;=90,IF(C112=-180,"SSComp",IF(AND(C112&gt;-180,C112&lt;-90),"SSComp_and_Normal",IF(C112=-90,"Normal",IF(AND(C112&gt;-90,C112&lt;0),"SSTens_and_Normal",IF(C112=0,"SSTens"))))),IF(C112=0,"SSComp",IF(AND(C112&gt;0,C112&lt;90),"SSComp_and_Reverse",IF(C112=90,"Reverse",IF(AND(C112&gt;90,C112&lt;180),"SSTens_and_Reverse",IF(C112=180,"SSTens"))))))</f>
        <v>SSComp</v>
      </c>
      <c r="E112">
        <v>1</v>
      </c>
      <c r="F112">
        <v>0.2</v>
      </c>
      <c r="G112">
        <f>F112</f>
        <v>0.2</v>
      </c>
      <c r="I112">
        <f>180-B112</f>
        <v>89</v>
      </c>
    </row>
    <row r="113" spans="1:9" x14ac:dyDescent="0.25">
      <c r="A113">
        <v>2</v>
      </c>
      <c r="B113">
        <f>B112+4.5</f>
        <v>95.5</v>
      </c>
      <c r="C113">
        <v>0</v>
      </c>
      <c r="D113" t="str">
        <f t="shared" ref="D113:D131" si="92">IF(B113&lt;=90,IF(C113=-180,"SSComp",IF(AND(C113&gt;-180,C113&lt;-90),"SSComp_and_Normal",IF(C113=-90,"Normal",IF(AND(C113&gt;-90,C113&lt;0),"SSTens_and_Normal",IF(C113=0,"SSTens"))))),IF(C113=0,"SSComp",IF(AND(C113&gt;0,C113&lt;90),"SSComp_and_Reverse",IF(C113=90,"Reverse",IF(AND(C113&gt;90,C113&lt;180),"SSTens_and_Reverse",IF(C113=180,"SSTens"))))))</f>
        <v>SSComp</v>
      </c>
      <c r="E113">
        <f>E112+4.5</f>
        <v>5.5</v>
      </c>
      <c r="F113">
        <v>0.1</v>
      </c>
      <c r="G113">
        <f t="shared" ref="G113:G131" si="93">F113</f>
        <v>0.1</v>
      </c>
      <c r="I113">
        <f t="shared" ref="I113:I131" si="94">180-B113</f>
        <v>84.5</v>
      </c>
    </row>
    <row r="114" spans="1:9" x14ac:dyDescent="0.25">
      <c r="A114">
        <v>3</v>
      </c>
      <c r="B114">
        <f t="shared" ref="B114:B131" si="95">B113+4.5</f>
        <v>100</v>
      </c>
      <c r="C114">
        <v>0</v>
      </c>
      <c r="D114" t="str">
        <f t="shared" si="92"/>
        <v>SSComp</v>
      </c>
      <c r="E114">
        <f t="shared" ref="E114:E131" si="96">E113+4.5</f>
        <v>10</v>
      </c>
      <c r="F114">
        <v>0.2</v>
      </c>
      <c r="G114">
        <f t="shared" si="93"/>
        <v>0.2</v>
      </c>
      <c r="I114">
        <f t="shared" si="94"/>
        <v>80</v>
      </c>
    </row>
    <row r="115" spans="1:9" x14ac:dyDescent="0.25">
      <c r="A115">
        <v>4</v>
      </c>
      <c r="B115">
        <f t="shared" si="95"/>
        <v>104.5</v>
      </c>
      <c r="C115">
        <v>0</v>
      </c>
      <c r="D115" t="str">
        <f t="shared" si="92"/>
        <v>SSComp</v>
      </c>
      <c r="E115">
        <f t="shared" si="96"/>
        <v>14.5</v>
      </c>
      <c r="F115">
        <v>0.7</v>
      </c>
      <c r="G115">
        <f t="shared" si="93"/>
        <v>0.7</v>
      </c>
      <c r="I115">
        <f t="shared" si="94"/>
        <v>75.5</v>
      </c>
    </row>
    <row r="116" spans="1:9" x14ac:dyDescent="0.25">
      <c r="A116">
        <v>5</v>
      </c>
      <c r="B116">
        <f t="shared" si="95"/>
        <v>109</v>
      </c>
      <c r="C116">
        <v>0</v>
      </c>
      <c r="D116" t="str">
        <f t="shared" si="92"/>
        <v>SSComp</v>
      </c>
      <c r="E116">
        <f t="shared" si="96"/>
        <v>19</v>
      </c>
      <c r="F116">
        <v>0.2</v>
      </c>
      <c r="G116">
        <f t="shared" si="93"/>
        <v>0.2</v>
      </c>
      <c r="I116">
        <f t="shared" si="94"/>
        <v>71</v>
      </c>
    </row>
    <row r="117" spans="1:9" x14ac:dyDescent="0.25">
      <c r="A117">
        <v>6</v>
      </c>
      <c r="B117">
        <f t="shared" si="95"/>
        <v>113.5</v>
      </c>
      <c r="C117">
        <v>0</v>
      </c>
      <c r="D117" t="str">
        <f t="shared" si="92"/>
        <v>SSComp</v>
      </c>
      <c r="E117">
        <f t="shared" si="96"/>
        <v>23.5</v>
      </c>
      <c r="F117">
        <v>0.3</v>
      </c>
      <c r="G117">
        <f t="shared" si="93"/>
        <v>0.3</v>
      </c>
      <c r="I117">
        <f t="shared" si="94"/>
        <v>66.5</v>
      </c>
    </row>
    <row r="118" spans="1:9" x14ac:dyDescent="0.25">
      <c r="A118">
        <v>7</v>
      </c>
      <c r="B118">
        <f t="shared" si="95"/>
        <v>118</v>
      </c>
      <c r="C118">
        <v>0</v>
      </c>
      <c r="D118" t="str">
        <f t="shared" si="92"/>
        <v>SSComp</v>
      </c>
      <c r="E118">
        <f t="shared" si="96"/>
        <v>28</v>
      </c>
      <c r="F118">
        <v>0.5</v>
      </c>
      <c r="G118">
        <f t="shared" si="93"/>
        <v>0.5</v>
      </c>
      <c r="I118">
        <f t="shared" si="94"/>
        <v>62</v>
      </c>
    </row>
    <row r="119" spans="1:9" x14ac:dyDescent="0.25">
      <c r="A119">
        <v>8</v>
      </c>
      <c r="B119">
        <f t="shared" si="95"/>
        <v>122.5</v>
      </c>
      <c r="C119">
        <v>0</v>
      </c>
      <c r="D119" t="str">
        <f t="shared" si="92"/>
        <v>SSComp</v>
      </c>
      <c r="E119">
        <f t="shared" si="96"/>
        <v>32.5</v>
      </c>
      <c r="F119">
        <v>0.65</v>
      </c>
      <c r="G119">
        <f t="shared" si="93"/>
        <v>0.65</v>
      </c>
      <c r="I119">
        <f t="shared" si="94"/>
        <v>57.5</v>
      </c>
    </row>
    <row r="120" spans="1:9" x14ac:dyDescent="0.25">
      <c r="A120">
        <v>9</v>
      </c>
      <c r="B120">
        <f t="shared" si="95"/>
        <v>127</v>
      </c>
      <c r="C120">
        <v>0</v>
      </c>
      <c r="D120" t="str">
        <f t="shared" si="92"/>
        <v>SSComp</v>
      </c>
      <c r="E120">
        <f t="shared" si="96"/>
        <v>37</v>
      </c>
      <c r="F120">
        <v>0.54</v>
      </c>
      <c r="G120">
        <f t="shared" si="93"/>
        <v>0.54</v>
      </c>
      <c r="I120">
        <f t="shared" si="94"/>
        <v>53</v>
      </c>
    </row>
    <row r="121" spans="1:9" x14ac:dyDescent="0.25">
      <c r="A121">
        <v>10</v>
      </c>
      <c r="B121">
        <f t="shared" si="95"/>
        <v>131.5</v>
      </c>
      <c r="C121">
        <v>0</v>
      </c>
      <c r="D121" t="str">
        <f t="shared" si="92"/>
        <v>SSComp</v>
      </c>
      <c r="E121">
        <f t="shared" si="96"/>
        <v>41.5</v>
      </c>
      <c r="F121">
        <v>0.5</v>
      </c>
      <c r="G121">
        <f t="shared" si="93"/>
        <v>0.5</v>
      </c>
      <c r="I121">
        <f t="shared" si="94"/>
        <v>48.5</v>
      </c>
    </row>
    <row r="122" spans="1:9" x14ac:dyDescent="0.25">
      <c r="A122">
        <v>11</v>
      </c>
      <c r="B122">
        <f t="shared" si="95"/>
        <v>136</v>
      </c>
      <c r="C122">
        <v>0</v>
      </c>
      <c r="D122" t="str">
        <f t="shared" si="92"/>
        <v>SSComp</v>
      </c>
      <c r="E122">
        <f t="shared" si="96"/>
        <v>46</v>
      </c>
      <c r="F122">
        <v>0.7</v>
      </c>
      <c r="G122">
        <f t="shared" si="93"/>
        <v>0.7</v>
      </c>
      <c r="I122">
        <f t="shared" si="94"/>
        <v>44</v>
      </c>
    </row>
    <row r="123" spans="1:9" x14ac:dyDescent="0.25">
      <c r="A123">
        <v>12</v>
      </c>
      <c r="B123">
        <f t="shared" si="95"/>
        <v>140.5</v>
      </c>
      <c r="C123">
        <v>0</v>
      </c>
      <c r="D123" t="str">
        <f t="shared" si="92"/>
        <v>SSComp</v>
      </c>
      <c r="E123">
        <f t="shared" si="96"/>
        <v>50.5</v>
      </c>
      <c r="F123">
        <v>0.6</v>
      </c>
      <c r="G123">
        <f t="shared" si="93"/>
        <v>0.6</v>
      </c>
      <c r="I123">
        <f t="shared" si="94"/>
        <v>39.5</v>
      </c>
    </row>
    <row r="124" spans="1:9" x14ac:dyDescent="0.25">
      <c r="A124">
        <v>13</v>
      </c>
      <c r="B124">
        <f t="shared" si="95"/>
        <v>145</v>
      </c>
      <c r="C124">
        <v>0</v>
      </c>
      <c r="D124" t="str">
        <f t="shared" si="92"/>
        <v>SSComp</v>
      </c>
      <c r="E124">
        <f t="shared" si="96"/>
        <v>55</v>
      </c>
      <c r="F124">
        <v>0.5</v>
      </c>
      <c r="G124">
        <f t="shared" si="93"/>
        <v>0.5</v>
      </c>
      <c r="I124">
        <f t="shared" si="94"/>
        <v>35</v>
      </c>
    </row>
    <row r="125" spans="1:9" x14ac:dyDescent="0.25">
      <c r="A125">
        <v>14</v>
      </c>
      <c r="B125">
        <f t="shared" si="95"/>
        <v>149.5</v>
      </c>
      <c r="C125">
        <v>0</v>
      </c>
      <c r="D125" t="str">
        <f t="shared" si="92"/>
        <v>SSComp</v>
      </c>
      <c r="E125">
        <f t="shared" si="96"/>
        <v>59.5</v>
      </c>
      <c r="F125">
        <v>0.2</v>
      </c>
      <c r="G125">
        <f t="shared" si="93"/>
        <v>0.2</v>
      </c>
      <c r="I125">
        <f t="shared" si="94"/>
        <v>30.5</v>
      </c>
    </row>
    <row r="126" spans="1:9" x14ac:dyDescent="0.25">
      <c r="A126">
        <v>15</v>
      </c>
      <c r="B126">
        <f t="shared" si="95"/>
        <v>154</v>
      </c>
      <c r="C126">
        <v>0</v>
      </c>
      <c r="D126" t="str">
        <f t="shared" si="92"/>
        <v>SSComp</v>
      </c>
      <c r="E126">
        <f t="shared" si="96"/>
        <v>64</v>
      </c>
      <c r="F126">
        <v>0.4</v>
      </c>
      <c r="G126">
        <f t="shared" si="93"/>
        <v>0.4</v>
      </c>
      <c r="I126">
        <f t="shared" si="94"/>
        <v>26</v>
      </c>
    </row>
    <row r="127" spans="1:9" x14ac:dyDescent="0.25">
      <c r="A127">
        <v>16</v>
      </c>
      <c r="B127">
        <f t="shared" si="95"/>
        <v>158.5</v>
      </c>
      <c r="C127">
        <v>0</v>
      </c>
      <c r="D127" t="str">
        <f t="shared" si="92"/>
        <v>SSComp</v>
      </c>
      <c r="E127">
        <f t="shared" si="96"/>
        <v>68.5</v>
      </c>
      <c r="F127">
        <v>0.3</v>
      </c>
      <c r="G127">
        <f t="shared" si="93"/>
        <v>0.3</v>
      </c>
      <c r="I127">
        <f t="shared" si="94"/>
        <v>21.5</v>
      </c>
    </row>
    <row r="128" spans="1:9" x14ac:dyDescent="0.25">
      <c r="A128">
        <v>17</v>
      </c>
      <c r="B128">
        <f t="shared" si="95"/>
        <v>163</v>
      </c>
      <c r="C128">
        <v>0</v>
      </c>
      <c r="D128" t="str">
        <f t="shared" si="92"/>
        <v>SSComp</v>
      </c>
      <c r="E128">
        <f t="shared" si="96"/>
        <v>73</v>
      </c>
      <c r="F128">
        <v>0.5</v>
      </c>
      <c r="G128">
        <f t="shared" si="93"/>
        <v>0.5</v>
      </c>
      <c r="I128">
        <f t="shared" si="94"/>
        <v>17</v>
      </c>
    </row>
    <row r="129" spans="1:9" x14ac:dyDescent="0.25">
      <c r="A129">
        <v>18</v>
      </c>
      <c r="B129">
        <f t="shared" si="95"/>
        <v>167.5</v>
      </c>
      <c r="C129">
        <v>0</v>
      </c>
      <c r="D129" t="str">
        <f t="shared" si="92"/>
        <v>SSComp</v>
      </c>
      <c r="E129">
        <f t="shared" si="96"/>
        <v>77.5</v>
      </c>
      <c r="F129">
        <v>0.7</v>
      </c>
      <c r="G129">
        <f t="shared" si="93"/>
        <v>0.7</v>
      </c>
      <c r="I129">
        <f t="shared" si="94"/>
        <v>12.5</v>
      </c>
    </row>
    <row r="130" spans="1:9" x14ac:dyDescent="0.25">
      <c r="A130">
        <v>19</v>
      </c>
      <c r="B130">
        <f t="shared" si="95"/>
        <v>172</v>
      </c>
      <c r="C130">
        <v>0</v>
      </c>
      <c r="D130" t="str">
        <f t="shared" si="92"/>
        <v>SSComp</v>
      </c>
      <c r="E130">
        <f t="shared" si="96"/>
        <v>82</v>
      </c>
      <c r="F130">
        <v>0.6</v>
      </c>
      <c r="G130">
        <f t="shared" si="93"/>
        <v>0.6</v>
      </c>
      <c r="I130">
        <f t="shared" si="94"/>
        <v>8</v>
      </c>
    </row>
    <row r="131" spans="1:9" x14ac:dyDescent="0.25">
      <c r="A131">
        <v>20</v>
      </c>
      <c r="B131">
        <f t="shared" si="95"/>
        <v>176.5</v>
      </c>
      <c r="C131">
        <v>0</v>
      </c>
      <c r="D131" t="str">
        <f t="shared" si="92"/>
        <v>SSComp</v>
      </c>
      <c r="E131">
        <f t="shared" si="96"/>
        <v>86.5</v>
      </c>
      <c r="F131">
        <v>1.5</v>
      </c>
      <c r="G131">
        <f t="shared" si="93"/>
        <v>1.5</v>
      </c>
      <c r="I131">
        <f t="shared" si="94"/>
        <v>3.5</v>
      </c>
    </row>
    <row r="133" spans="1:9" x14ac:dyDescent="0.25">
      <c r="A133" t="s">
        <v>0</v>
      </c>
      <c r="B133" t="s">
        <v>82</v>
      </c>
      <c r="C133" t="s">
        <v>131</v>
      </c>
      <c r="D133" t="s">
        <v>83</v>
      </c>
      <c r="E133" t="s">
        <v>15</v>
      </c>
      <c r="F133" t="s">
        <v>58</v>
      </c>
      <c r="G133" t="s">
        <v>132</v>
      </c>
      <c r="H133" t="s">
        <v>133</v>
      </c>
      <c r="I133" t="s">
        <v>134</v>
      </c>
    </row>
    <row r="134" spans="1:9" x14ac:dyDescent="0.25">
      <c r="A134">
        <v>1</v>
      </c>
      <c r="B134">
        <v>91</v>
      </c>
      <c r="C134">
        <v>1</v>
      </c>
      <c r="D134" t="str">
        <f>IF(B134&lt;=90,IF(C134=-180,"SSComp",IF(AND(C134&gt;-180,C134&lt;-90),"SSComp_and_Normal",IF(C134=-90,"Normal",IF(AND(C134&gt;-90,C134&lt;0),"SSTens_and_Normal",IF(C134=0,"SSTens"))))),IF(C134=0,"SSComp",IF(AND(C134&gt;0,C134&lt;90),"SSComp_and_Reverse",IF(C134=90,"Reverse",IF(AND(C134&gt;90,C134&lt;180),"SSTens_and_Reverse",IF(C134=180,"SSTens"))))))</f>
        <v>SSComp_and_Reverse</v>
      </c>
      <c r="E134">
        <v>1</v>
      </c>
      <c r="F134">
        <v>0.2</v>
      </c>
      <c r="G134">
        <f>F134*ABS(COS(RADIANS(C134)))</f>
        <v>0.19996953903127826</v>
      </c>
      <c r="H134">
        <f>F134*ABS(SIN(RADIANS(C134))/COS(RADIANS(90-B134)))</f>
        <v>3.4910129856435173E-3</v>
      </c>
      <c r="I134">
        <f>180-B134</f>
        <v>89</v>
      </c>
    </row>
    <row r="135" spans="1:9" x14ac:dyDescent="0.25">
      <c r="A135">
        <v>2</v>
      </c>
      <c r="B135">
        <f>B134+4.5</f>
        <v>95.5</v>
      </c>
      <c r="C135">
        <f>C134+4.5</f>
        <v>5.5</v>
      </c>
      <c r="D135" t="str">
        <f t="shared" ref="D135:D153" si="97">IF(B135&lt;=90,IF(C135=-180,"SSComp",IF(AND(C135&gt;-180,C135&lt;-90),"SSComp_and_Normal",IF(C135=-90,"Normal",IF(AND(C135&gt;-90,C135&lt;0),"SSTens_and_Normal",IF(C135=0,"SSTens"))))),IF(C135=0,"SSComp",IF(AND(C135&gt;0,C135&lt;90),"SSComp_and_Reverse",IF(C135=90,"Reverse",IF(AND(C135&gt;90,C135&lt;180),"SSTens_and_Reverse",IF(C135=180,"SSTens"))))))</f>
        <v>SSComp_and_Reverse</v>
      </c>
      <c r="E135">
        <f>E134+4.5</f>
        <v>5.5</v>
      </c>
      <c r="F135">
        <v>0.1</v>
      </c>
      <c r="G135">
        <f t="shared" ref="G135:G153" si="98">F135*ABS(COS(RADIANS(C135)))</f>
        <v>9.9539619836717885E-2</v>
      </c>
      <c r="H135">
        <f t="shared" ref="H135:H153" si="99">F135*ABS(SIN(RADIANS(C135))/COS(RADIANS(90-B135)))</f>
        <v>9.6289048197538609E-3</v>
      </c>
      <c r="I135">
        <f t="shared" ref="I135:I153" si="100">180-B135</f>
        <v>84.5</v>
      </c>
    </row>
    <row r="136" spans="1:9" x14ac:dyDescent="0.25">
      <c r="A136">
        <v>3</v>
      </c>
      <c r="B136">
        <f t="shared" ref="B136:C153" si="101">B135+4.5</f>
        <v>100</v>
      </c>
      <c r="C136">
        <f t="shared" si="101"/>
        <v>10</v>
      </c>
      <c r="D136" t="str">
        <f t="shared" si="97"/>
        <v>SSComp_and_Reverse</v>
      </c>
      <c r="E136">
        <f t="shared" ref="E136:E153" si="102">E135+4.5</f>
        <v>10</v>
      </c>
      <c r="F136">
        <v>0.2</v>
      </c>
      <c r="G136">
        <f t="shared" si="98"/>
        <v>0.19696155060244161</v>
      </c>
      <c r="H136">
        <f t="shared" si="99"/>
        <v>3.5265396141692995E-2</v>
      </c>
      <c r="I136">
        <f t="shared" si="100"/>
        <v>80</v>
      </c>
    </row>
    <row r="137" spans="1:9" x14ac:dyDescent="0.25">
      <c r="A137">
        <v>4</v>
      </c>
      <c r="B137">
        <f t="shared" si="101"/>
        <v>104.5</v>
      </c>
      <c r="C137">
        <f t="shared" si="101"/>
        <v>14.5</v>
      </c>
      <c r="D137" t="str">
        <f t="shared" si="97"/>
        <v>SSComp_and_Reverse</v>
      </c>
      <c r="E137">
        <f t="shared" si="102"/>
        <v>14.5</v>
      </c>
      <c r="F137">
        <v>0.7</v>
      </c>
      <c r="G137">
        <f t="shared" si="98"/>
        <v>0.67770334826467538</v>
      </c>
      <c r="H137">
        <f t="shared" si="99"/>
        <v>0.18103230904912321</v>
      </c>
      <c r="I137">
        <f t="shared" si="100"/>
        <v>75.5</v>
      </c>
    </row>
    <row r="138" spans="1:9" x14ac:dyDescent="0.25">
      <c r="A138">
        <v>5</v>
      </c>
      <c r="B138">
        <f t="shared" si="101"/>
        <v>109</v>
      </c>
      <c r="C138">
        <f t="shared" si="101"/>
        <v>19</v>
      </c>
      <c r="D138" t="str">
        <f t="shared" si="97"/>
        <v>SSComp_and_Reverse</v>
      </c>
      <c r="E138">
        <f t="shared" si="102"/>
        <v>19</v>
      </c>
      <c r="F138">
        <v>0.2</v>
      </c>
      <c r="G138">
        <f t="shared" si="98"/>
        <v>0.18910371511986337</v>
      </c>
      <c r="H138">
        <f t="shared" si="99"/>
        <v>6.8865522657933054E-2</v>
      </c>
      <c r="I138">
        <f t="shared" si="100"/>
        <v>71</v>
      </c>
    </row>
    <row r="139" spans="1:9" x14ac:dyDescent="0.25">
      <c r="A139">
        <v>6</v>
      </c>
      <c r="B139">
        <f t="shared" si="101"/>
        <v>113.5</v>
      </c>
      <c r="C139">
        <f t="shared" si="101"/>
        <v>23.5</v>
      </c>
      <c r="D139" t="str">
        <f t="shared" si="97"/>
        <v>SSComp_and_Reverse</v>
      </c>
      <c r="E139">
        <f t="shared" si="102"/>
        <v>23.5</v>
      </c>
      <c r="F139">
        <v>0.3</v>
      </c>
      <c r="G139">
        <f t="shared" si="98"/>
        <v>0.27511802231553723</v>
      </c>
      <c r="H139">
        <f t="shared" si="99"/>
        <v>0.13044371248828007</v>
      </c>
      <c r="I139">
        <f t="shared" si="100"/>
        <v>66.5</v>
      </c>
    </row>
    <row r="140" spans="1:9" x14ac:dyDescent="0.25">
      <c r="A140">
        <v>7</v>
      </c>
      <c r="B140">
        <f t="shared" si="101"/>
        <v>118</v>
      </c>
      <c r="C140">
        <f t="shared" si="101"/>
        <v>28</v>
      </c>
      <c r="D140" t="str">
        <f t="shared" si="97"/>
        <v>SSComp_and_Reverse</v>
      </c>
      <c r="E140">
        <f t="shared" si="102"/>
        <v>28</v>
      </c>
      <c r="F140">
        <v>0.5</v>
      </c>
      <c r="G140">
        <f t="shared" si="98"/>
        <v>0.44147379642946349</v>
      </c>
      <c r="H140">
        <f t="shared" si="99"/>
        <v>0.26585471583073939</v>
      </c>
      <c r="I140">
        <f t="shared" si="100"/>
        <v>62</v>
      </c>
    </row>
    <row r="141" spans="1:9" x14ac:dyDescent="0.25">
      <c r="A141">
        <v>8</v>
      </c>
      <c r="B141">
        <f t="shared" si="101"/>
        <v>122.5</v>
      </c>
      <c r="C141">
        <f t="shared" si="101"/>
        <v>32.5</v>
      </c>
      <c r="D141" t="str">
        <f t="shared" si="97"/>
        <v>SSComp_and_Reverse</v>
      </c>
      <c r="E141">
        <f t="shared" si="102"/>
        <v>32.5</v>
      </c>
      <c r="F141">
        <v>0.65</v>
      </c>
      <c r="G141">
        <f t="shared" si="98"/>
        <v>0.54820443977837574</v>
      </c>
      <c r="H141">
        <f t="shared" si="99"/>
        <v>0.41409566952487059</v>
      </c>
      <c r="I141">
        <f t="shared" si="100"/>
        <v>57.5</v>
      </c>
    </row>
    <row r="142" spans="1:9" x14ac:dyDescent="0.25">
      <c r="A142">
        <v>9</v>
      </c>
      <c r="B142">
        <f t="shared" si="101"/>
        <v>127</v>
      </c>
      <c r="C142">
        <f t="shared" si="101"/>
        <v>37</v>
      </c>
      <c r="D142" t="str">
        <f t="shared" si="97"/>
        <v>SSComp_and_Reverse</v>
      </c>
      <c r="E142">
        <f t="shared" si="102"/>
        <v>37</v>
      </c>
      <c r="F142">
        <v>0.54</v>
      </c>
      <c r="G142">
        <f t="shared" si="98"/>
        <v>0.43126317542553816</v>
      </c>
      <c r="H142">
        <f t="shared" si="99"/>
        <v>0.40691918705550889</v>
      </c>
      <c r="I142">
        <f t="shared" si="100"/>
        <v>53</v>
      </c>
    </row>
    <row r="143" spans="1:9" x14ac:dyDescent="0.25">
      <c r="A143">
        <v>10</v>
      </c>
      <c r="B143">
        <f t="shared" si="101"/>
        <v>131.5</v>
      </c>
      <c r="C143">
        <f t="shared" si="101"/>
        <v>41.5</v>
      </c>
      <c r="D143" t="str">
        <f t="shared" si="97"/>
        <v>SSComp_and_Reverse</v>
      </c>
      <c r="E143">
        <f t="shared" si="102"/>
        <v>41.5</v>
      </c>
      <c r="F143">
        <v>0.5</v>
      </c>
      <c r="G143">
        <f t="shared" si="98"/>
        <v>0.37447786039450109</v>
      </c>
      <c r="H143">
        <f t="shared" si="99"/>
        <v>0.4423626322779719</v>
      </c>
      <c r="I143">
        <f t="shared" si="100"/>
        <v>48.5</v>
      </c>
    </row>
    <row r="144" spans="1:9" x14ac:dyDescent="0.25">
      <c r="A144">
        <v>11</v>
      </c>
      <c r="B144">
        <f t="shared" si="101"/>
        <v>136</v>
      </c>
      <c r="C144">
        <f t="shared" si="101"/>
        <v>46</v>
      </c>
      <c r="D144" t="str">
        <f t="shared" si="97"/>
        <v>SSComp_and_Reverse</v>
      </c>
      <c r="E144">
        <f t="shared" si="102"/>
        <v>46</v>
      </c>
      <c r="F144">
        <v>0.7</v>
      </c>
      <c r="G144">
        <f t="shared" si="98"/>
        <v>0.48626085932129803</v>
      </c>
      <c r="H144">
        <f t="shared" si="99"/>
        <v>0.72487121965339851</v>
      </c>
      <c r="I144">
        <f t="shared" si="100"/>
        <v>44</v>
      </c>
    </row>
    <row r="145" spans="1:9" x14ac:dyDescent="0.25">
      <c r="A145">
        <v>12</v>
      </c>
      <c r="B145">
        <f t="shared" si="101"/>
        <v>140.5</v>
      </c>
      <c r="C145">
        <f t="shared" si="101"/>
        <v>50.5</v>
      </c>
      <c r="D145" t="str">
        <f t="shared" si="97"/>
        <v>SSComp_and_Reverse</v>
      </c>
      <c r="E145">
        <f t="shared" si="102"/>
        <v>50.5</v>
      </c>
      <c r="F145">
        <v>0.6</v>
      </c>
      <c r="G145">
        <f t="shared" si="98"/>
        <v>0.38164693216665835</v>
      </c>
      <c r="H145">
        <f t="shared" si="99"/>
        <v>0.72785820245575961</v>
      </c>
      <c r="I145">
        <f t="shared" si="100"/>
        <v>39.5</v>
      </c>
    </row>
    <row r="146" spans="1:9" x14ac:dyDescent="0.25">
      <c r="A146">
        <v>13</v>
      </c>
      <c r="B146">
        <f t="shared" si="101"/>
        <v>145</v>
      </c>
      <c r="C146">
        <f t="shared" si="101"/>
        <v>55</v>
      </c>
      <c r="D146" t="str">
        <f t="shared" si="97"/>
        <v>SSComp_and_Reverse</v>
      </c>
      <c r="E146">
        <f t="shared" si="102"/>
        <v>55</v>
      </c>
      <c r="F146">
        <v>0.5</v>
      </c>
      <c r="G146">
        <f t="shared" si="98"/>
        <v>0.28678821817552308</v>
      </c>
      <c r="H146">
        <f t="shared" si="99"/>
        <v>0.7140740033710572</v>
      </c>
      <c r="I146">
        <f t="shared" si="100"/>
        <v>35</v>
      </c>
    </row>
    <row r="147" spans="1:9" x14ac:dyDescent="0.25">
      <c r="A147">
        <v>14</v>
      </c>
      <c r="B147">
        <f t="shared" si="101"/>
        <v>149.5</v>
      </c>
      <c r="C147">
        <f t="shared" si="101"/>
        <v>59.5</v>
      </c>
      <c r="D147" t="str">
        <f t="shared" si="97"/>
        <v>SSComp_and_Reverse</v>
      </c>
      <c r="E147">
        <f t="shared" si="102"/>
        <v>59.5</v>
      </c>
      <c r="F147">
        <v>0.2</v>
      </c>
      <c r="G147">
        <f t="shared" si="98"/>
        <v>0.10150767259214084</v>
      </c>
      <c r="H147">
        <f t="shared" si="99"/>
        <v>0.33953262386521776</v>
      </c>
      <c r="I147">
        <f t="shared" si="100"/>
        <v>30.5</v>
      </c>
    </row>
    <row r="148" spans="1:9" x14ac:dyDescent="0.25">
      <c r="A148">
        <v>15</v>
      </c>
      <c r="B148">
        <f t="shared" si="101"/>
        <v>154</v>
      </c>
      <c r="C148">
        <f t="shared" si="101"/>
        <v>64</v>
      </c>
      <c r="D148" t="str">
        <f t="shared" si="97"/>
        <v>SSComp_and_Reverse</v>
      </c>
      <c r="E148">
        <f t="shared" si="102"/>
        <v>64</v>
      </c>
      <c r="F148">
        <v>0.4</v>
      </c>
      <c r="G148">
        <f t="shared" si="98"/>
        <v>0.17534845871563098</v>
      </c>
      <c r="H148">
        <f t="shared" si="99"/>
        <v>0.8201215366317185</v>
      </c>
      <c r="I148">
        <f t="shared" si="100"/>
        <v>26</v>
      </c>
    </row>
    <row r="149" spans="1:9" x14ac:dyDescent="0.25">
      <c r="A149">
        <v>16</v>
      </c>
      <c r="B149">
        <f t="shared" si="101"/>
        <v>158.5</v>
      </c>
      <c r="C149">
        <f t="shared" si="101"/>
        <v>68.5</v>
      </c>
      <c r="D149" t="str">
        <f t="shared" si="97"/>
        <v>SSComp_and_Reverse</v>
      </c>
      <c r="E149">
        <f t="shared" si="102"/>
        <v>68.5</v>
      </c>
      <c r="F149">
        <v>0.3</v>
      </c>
      <c r="G149">
        <f t="shared" si="98"/>
        <v>0.10995036801728919</v>
      </c>
      <c r="H149">
        <f t="shared" si="99"/>
        <v>0.7615943686992922</v>
      </c>
      <c r="I149">
        <f t="shared" si="100"/>
        <v>21.5</v>
      </c>
    </row>
    <row r="150" spans="1:9" x14ac:dyDescent="0.25">
      <c r="A150">
        <v>17</v>
      </c>
      <c r="B150">
        <f t="shared" si="101"/>
        <v>163</v>
      </c>
      <c r="C150">
        <f t="shared" si="101"/>
        <v>73</v>
      </c>
      <c r="D150" t="str">
        <f t="shared" si="97"/>
        <v>SSComp_and_Reverse</v>
      </c>
      <c r="E150">
        <f t="shared" si="102"/>
        <v>73</v>
      </c>
      <c r="F150">
        <v>0.5</v>
      </c>
      <c r="G150">
        <f t="shared" si="98"/>
        <v>0.14618585236136838</v>
      </c>
      <c r="H150">
        <f t="shared" si="99"/>
        <v>1.6354263092420702</v>
      </c>
      <c r="I150">
        <f t="shared" si="100"/>
        <v>17</v>
      </c>
    </row>
    <row r="151" spans="1:9" x14ac:dyDescent="0.25">
      <c r="A151">
        <v>18</v>
      </c>
      <c r="B151">
        <f t="shared" si="101"/>
        <v>167.5</v>
      </c>
      <c r="C151">
        <f t="shared" si="101"/>
        <v>77.5</v>
      </c>
      <c r="D151" t="str">
        <f t="shared" si="97"/>
        <v>SSComp_and_Reverse</v>
      </c>
      <c r="E151">
        <f t="shared" si="102"/>
        <v>77.5</v>
      </c>
      <c r="F151">
        <v>0.7</v>
      </c>
      <c r="G151">
        <f t="shared" si="98"/>
        <v>0.15150772975667201</v>
      </c>
      <c r="H151">
        <f t="shared" si="99"/>
        <v>3.1574959525634392</v>
      </c>
      <c r="I151">
        <f t="shared" si="100"/>
        <v>12.5</v>
      </c>
    </row>
    <row r="152" spans="1:9" x14ac:dyDescent="0.25">
      <c r="A152">
        <v>19</v>
      </c>
      <c r="B152">
        <f t="shared" si="101"/>
        <v>172</v>
      </c>
      <c r="C152">
        <f t="shared" si="101"/>
        <v>82</v>
      </c>
      <c r="D152" t="str">
        <f t="shared" si="97"/>
        <v>SSComp_and_Reverse</v>
      </c>
      <c r="E152">
        <f t="shared" si="102"/>
        <v>82</v>
      </c>
      <c r="F152">
        <v>0.6</v>
      </c>
      <c r="G152">
        <f t="shared" si="98"/>
        <v>8.3503860576039271E-2</v>
      </c>
      <c r="H152">
        <f t="shared" si="99"/>
        <v>4.2692218334305245</v>
      </c>
      <c r="I152">
        <f t="shared" si="100"/>
        <v>8</v>
      </c>
    </row>
    <row r="153" spans="1:9" x14ac:dyDescent="0.25">
      <c r="A153">
        <v>20</v>
      </c>
      <c r="B153">
        <f t="shared" si="101"/>
        <v>176.5</v>
      </c>
      <c r="C153">
        <f t="shared" si="101"/>
        <v>86.5</v>
      </c>
      <c r="D153" t="str">
        <f t="shared" si="97"/>
        <v>SSComp_and_Reverse</v>
      </c>
      <c r="E153">
        <f t="shared" si="102"/>
        <v>86.5</v>
      </c>
      <c r="F153">
        <v>1.5</v>
      </c>
      <c r="G153">
        <f t="shared" si="98"/>
        <v>9.1572809302285368E-2</v>
      </c>
      <c r="H153">
        <f t="shared" si="99"/>
        <v>24.524783214149494</v>
      </c>
      <c r="I153">
        <f t="shared" si="100"/>
        <v>3.5</v>
      </c>
    </row>
    <row r="155" spans="1:9" x14ac:dyDescent="0.25">
      <c r="A155" t="s">
        <v>0</v>
      </c>
      <c r="B155" t="s">
        <v>82</v>
      </c>
      <c r="C155" t="s">
        <v>131</v>
      </c>
      <c r="D155" t="s">
        <v>83</v>
      </c>
      <c r="E155" t="s">
        <v>15</v>
      </c>
      <c r="F155" t="s">
        <v>58</v>
      </c>
      <c r="G155" t="s">
        <v>132</v>
      </c>
      <c r="H155" t="s">
        <v>133</v>
      </c>
      <c r="I155" t="s">
        <v>134</v>
      </c>
    </row>
    <row r="156" spans="1:9" x14ac:dyDescent="0.25">
      <c r="A156">
        <v>1</v>
      </c>
      <c r="B156">
        <v>91</v>
      </c>
      <c r="C156">
        <v>90</v>
      </c>
      <c r="D156" t="str">
        <f>IF(B156&lt;=90,IF(C156=-180,"SSComp",IF(AND(C156&gt;-180,C156&lt;-90),"SSComp_and_Normal",IF(C156=-90,"Normal",IF(AND(C156&gt;-90,C156&lt;0),"SSTens_and_Normal",IF(C156=0,"SSTens"))))),IF(C156=0,"SSComp",IF(AND(C156&gt;0,C156&lt;90),"SSComp_and_Reverse",IF(C156=90,"Reverse",IF(AND(C156&gt;90,C156&lt;180),"SSTens_and_Reverse",IF(C156=180,"SSTens"))))))</f>
        <v>Reverse</v>
      </c>
      <c r="E156">
        <v>1</v>
      </c>
      <c r="F156">
        <v>0.2</v>
      </c>
      <c r="G156">
        <f>F156/ABS(COS(RADIANS(90-B156)))</f>
        <v>0.20003046560878154</v>
      </c>
      <c r="I156">
        <f>180-B156</f>
        <v>89</v>
      </c>
    </row>
    <row r="157" spans="1:9" x14ac:dyDescent="0.25">
      <c r="A157">
        <v>2</v>
      </c>
      <c r="B157">
        <f>B156+4.5</f>
        <v>95.5</v>
      </c>
      <c r="C157">
        <v>90</v>
      </c>
      <c r="D157" t="str">
        <f t="shared" ref="D157:D175" si="103">IF(B157&lt;=90,IF(C157=-180,"SSComp",IF(AND(C157&gt;-180,C157&lt;-90),"SSComp_and_Normal",IF(C157=-90,"Normal",IF(AND(C157&gt;-90,C157&lt;0),"SSTens_and_Normal",IF(C157=0,"SSTens"))))),IF(C157=0,"SSComp",IF(AND(C157&gt;0,C157&lt;90),"SSComp_and_Reverse",IF(C157=90,"Reverse",IF(AND(C157&gt;90,C157&lt;180),"SSTens_and_Reverse",IF(C157=180,"SSTens"))))))</f>
        <v>Reverse</v>
      </c>
      <c r="E157">
        <f>E156+4.5</f>
        <v>5.5</v>
      </c>
      <c r="F157">
        <v>0.1</v>
      </c>
      <c r="G157">
        <f t="shared" ref="G157:G175" si="104">F157/ABS(COS(RADIANS(90-B157)))</f>
        <v>0.1004625094651128</v>
      </c>
      <c r="I157">
        <f t="shared" ref="I157:I175" si="105">180-B157</f>
        <v>84.5</v>
      </c>
    </row>
    <row r="158" spans="1:9" x14ac:dyDescent="0.25">
      <c r="A158">
        <v>3</v>
      </c>
      <c r="B158">
        <f t="shared" ref="B158:B175" si="106">B157+4.5</f>
        <v>100</v>
      </c>
      <c r="C158">
        <v>90</v>
      </c>
      <c r="D158" t="str">
        <f t="shared" si="103"/>
        <v>Reverse</v>
      </c>
      <c r="E158">
        <f t="shared" ref="E158:E175" si="107">E157+4.5</f>
        <v>10</v>
      </c>
      <c r="F158">
        <v>0.2</v>
      </c>
      <c r="G158">
        <f t="shared" si="104"/>
        <v>0.20308532237714902</v>
      </c>
      <c r="I158">
        <f t="shared" si="105"/>
        <v>80</v>
      </c>
    </row>
    <row r="159" spans="1:9" x14ac:dyDescent="0.25">
      <c r="A159">
        <v>4</v>
      </c>
      <c r="B159">
        <f t="shared" si="106"/>
        <v>104.5</v>
      </c>
      <c r="C159">
        <v>90</v>
      </c>
      <c r="D159" t="str">
        <f t="shared" si="103"/>
        <v>Reverse</v>
      </c>
      <c r="E159">
        <f t="shared" si="107"/>
        <v>14.5</v>
      </c>
      <c r="F159">
        <v>0.7</v>
      </c>
      <c r="G159">
        <f t="shared" si="104"/>
        <v>0.72303021853837979</v>
      </c>
      <c r="I159">
        <f t="shared" si="105"/>
        <v>75.5</v>
      </c>
    </row>
    <row r="160" spans="1:9" x14ac:dyDescent="0.25">
      <c r="A160">
        <v>5</v>
      </c>
      <c r="B160">
        <f t="shared" si="106"/>
        <v>109</v>
      </c>
      <c r="C160">
        <v>90</v>
      </c>
      <c r="D160" t="str">
        <f t="shared" si="103"/>
        <v>Reverse</v>
      </c>
      <c r="E160">
        <f t="shared" si="107"/>
        <v>19</v>
      </c>
      <c r="F160">
        <v>0.2</v>
      </c>
      <c r="G160">
        <f t="shared" si="104"/>
        <v>0.21152413623733413</v>
      </c>
      <c r="I160">
        <f t="shared" si="105"/>
        <v>71</v>
      </c>
    </row>
    <row r="161" spans="1:9" x14ac:dyDescent="0.25">
      <c r="A161">
        <v>6</v>
      </c>
      <c r="B161">
        <f t="shared" si="106"/>
        <v>113.5</v>
      </c>
      <c r="C161">
        <v>90</v>
      </c>
      <c r="D161" t="str">
        <f t="shared" si="103"/>
        <v>Reverse</v>
      </c>
      <c r="E161">
        <f t="shared" si="107"/>
        <v>23.5</v>
      </c>
      <c r="F161">
        <v>0.3</v>
      </c>
      <c r="G161">
        <f t="shared" si="104"/>
        <v>0.32713233121739138</v>
      </c>
      <c r="I161">
        <f t="shared" si="105"/>
        <v>66.5</v>
      </c>
    </row>
    <row r="162" spans="1:9" x14ac:dyDescent="0.25">
      <c r="A162">
        <v>7</v>
      </c>
      <c r="B162">
        <f t="shared" si="106"/>
        <v>118</v>
      </c>
      <c r="C162">
        <v>90</v>
      </c>
      <c r="D162" t="str">
        <f t="shared" si="103"/>
        <v>Reverse</v>
      </c>
      <c r="E162">
        <f t="shared" si="107"/>
        <v>28</v>
      </c>
      <c r="F162">
        <v>0.5</v>
      </c>
      <c r="G162">
        <f t="shared" si="104"/>
        <v>0.56628502534451952</v>
      </c>
      <c r="I162">
        <f t="shared" si="105"/>
        <v>62</v>
      </c>
    </row>
    <row r="163" spans="1:9" x14ac:dyDescent="0.25">
      <c r="A163">
        <v>8</v>
      </c>
      <c r="B163">
        <f t="shared" si="106"/>
        <v>122.5</v>
      </c>
      <c r="C163">
        <v>90</v>
      </c>
      <c r="D163" t="str">
        <f t="shared" si="103"/>
        <v>Reverse</v>
      </c>
      <c r="E163">
        <f t="shared" si="107"/>
        <v>32.5</v>
      </c>
      <c r="F163">
        <v>0.65</v>
      </c>
      <c r="G163">
        <f t="shared" si="104"/>
        <v>0.77069788083220447</v>
      </c>
      <c r="I163">
        <f t="shared" si="105"/>
        <v>57.5</v>
      </c>
    </row>
    <row r="164" spans="1:9" x14ac:dyDescent="0.25">
      <c r="A164">
        <v>9</v>
      </c>
      <c r="B164">
        <f t="shared" si="106"/>
        <v>127</v>
      </c>
      <c r="C164">
        <v>90</v>
      </c>
      <c r="D164" t="str">
        <f t="shared" si="103"/>
        <v>Reverse</v>
      </c>
      <c r="E164">
        <f t="shared" si="107"/>
        <v>37</v>
      </c>
      <c r="F164">
        <v>0.54</v>
      </c>
      <c r="G164">
        <f t="shared" si="104"/>
        <v>0.67615325540436189</v>
      </c>
      <c r="I164">
        <f t="shared" si="105"/>
        <v>53</v>
      </c>
    </row>
    <row r="165" spans="1:9" x14ac:dyDescent="0.25">
      <c r="A165">
        <v>10</v>
      </c>
      <c r="B165">
        <f t="shared" si="106"/>
        <v>131.5</v>
      </c>
      <c r="C165">
        <v>90</v>
      </c>
      <c r="D165" t="str">
        <f t="shared" si="103"/>
        <v>Reverse</v>
      </c>
      <c r="E165">
        <f t="shared" si="107"/>
        <v>41.5</v>
      </c>
      <c r="F165">
        <v>0.5</v>
      </c>
      <c r="G165">
        <f t="shared" si="104"/>
        <v>0.66759620912337136</v>
      </c>
      <c r="I165">
        <f t="shared" si="105"/>
        <v>48.5</v>
      </c>
    </row>
    <row r="166" spans="1:9" x14ac:dyDescent="0.25">
      <c r="A166">
        <v>11</v>
      </c>
      <c r="B166">
        <f t="shared" si="106"/>
        <v>136</v>
      </c>
      <c r="C166">
        <v>90</v>
      </c>
      <c r="D166" t="str">
        <f t="shared" si="103"/>
        <v>Reverse</v>
      </c>
      <c r="E166">
        <f t="shared" si="107"/>
        <v>46</v>
      </c>
      <c r="F166">
        <v>0.7</v>
      </c>
      <c r="G166">
        <f t="shared" si="104"/>
        <v>1.0076895777380084</v>
      </c>
      <c r="I166">
        <f t="shared" si="105"/>
        <v>44</v>
      </c>
    </row>
    <row r="167" spans="1:9" x14ac:dyDescent="0.25">
      <c r="A167">
        <v>12</v>
      </c>
      <c r="B167">
        <f t="shared" si="106"/>
        <v>140.5</v>
      </c>
      <c r="C167">
        <v>90</v>
      </c>
      <c r="D167" t="str">
        <f t="shared" si="103"/>
        <v>Reverse</v>
      </c>
      <c r="E167">
        <f t="shared" si="107"/>
        <v>50.5</v>
      </c>
      <c r="F167">
        <v>0.6</v>
      </c>
      <c r="G167">
        <f t="shared" si="104"/>
        <v>0.94328021440191856</v>
      </c>
      <c r="I167">
        <f t="shared" si="105"/>
        <v>39.5</v>
      </c>
    </row>
    <row r="168" spans="1:9" x14ac:dyDescent="0.25">
      <c r="A168">
        <v>13</v>
      </c>
      <c r="B168">
        <f t="shared" si="106"/>
        <v>145</v>
      </c>
      <c r="C168">
        <v>90</v>
      </c>
      <c r="D168" t="str">
        <f t="shared" si="103"/>
        <v>Reverse</v>
      </c>
      <c r="E168">
        <f t="shared" si="107"/>
        <v>55</v>
      </c>
      <c r="F168">
        <v>0.5</v>
      </c>
      <c r="G168">
        <f t="shared" si="104"/>
        <v>0.87172339781054886</v>
      </c>
      <c r="I168">
        <f t="shared" si="105"/>
        <v>35</v>
      </c>
    </row>
    <row r="169" spans="1:9" x14ac:dyDescent="0.25">
      <c r="A169">
        <v>14</v>
      </c>
      <c r="B169">
        <f t="shared" si="106"/>
        <v>149.5</v>
      </c>
      <c r="C169">
        <v>90</v>
      </c>
      <c r="D169" t="str">
        <f t="shared" si="103"/>
        <v>Reverse</v>
      </c>
      <c r="E169">
        <f t="shared" si="107"/>
        <v>59.5</v>
      </c>
      <c r="F169">
        <v>0.2</v>
      </c>
      <c r="G169">
        <f t="shared" si="104"/>
        <v>0.39405888223563679</v>
      </c>
      <c r="I169">
        <f t="shared" si="105"/>
        <v>30.5</v>
      </c>
    </row>
    <row r="170" spans="1:9" x14ac:dyDescent="0.25">
      <c r="A170">
        <v>15</v>
      </c>
      <c r="B170">
        <f t="shared" si="106"/>
        <v>154</v>
      </c>
      <c r="C170">
        <v>90</v>
      </c>
      <c r="D170" t="str">
        <f t="shared" si="103"/>
        <v>Reverse</v>
      </c>
      <c r="E170">
        <f t="shared" si="107"/>
        <v>64</v>
      </c>
      <c r="F170">
        <v>0.4</v>
      </c>
      <c r="G170">
        <f t="shared" si="104"/>
        <v>0.91246881308194372</v>
      </c>
      <c r="I170">
        <f t="shared" si="105"/>
        <v>26</v>
      </c>
    </row>
    <row r="171" spans="1:9" x14ac:dyDescent="0.25">
      <c r="A171">
        <v>16</v>
      </c>
      <c r="B171">
        <f t="shared" si="106"/>
        <v>158.5</v>
      </c>
      <c r="C171">
        <v>90</v>
      </c>
      <c r="D171" t="str">
        <f t="shared" si="103"/>
        <v>Reverse</v>
      </c>
      <c r="E171">
        <f t="shared" si="107"/>
        <v>68.5</v>
      </c>
      <c r="F171">
        <v>0.3</v>
      </c>
      <c r="G171">
        <f t="shared" si="104"/>
        <v>0.81855114833128995</v>
      </c>
      <c r="I171">
        <f t="shared" si="105"/>
        <v>21.5</v>
      </c>
    </row>
    <row r="172" spans="1:9" x14ac:dyDescent="0.25">
      <c r="A172">
        <v>17</v>
      </c>
      <c r="B172">
        <f t="shared" si="106"/>
        <v>163</v>
      </c>
      <c r="C172">
        <v>90</v>
      </c>
      <c r="D172" t="str">
        <f t="shared" si="103"/>
        <v>Reverse</v>
      </c>
      <c r="E172">
        <f t="shared" si="107"/>
        <v>73</v>
      </c>
      <c r="F172">
        <v>0.5</v>
      </c>
      <c r="G172">
        <f t="shared" si="104"/>
        <v>1.7101518099166342</v>
      </c>
      <c r="I172">
        <f t="shared" si="105"/>
        <v>17</v>
      </c>
    </row>
    <row r="173" spans="1:9" x14ac:dyDescent="0.25">
      <c r="A173">
        <v>18</v>
      </c>
      <c r="B173">
        <f t="shared" si="106"/>
        <v>167.5</v>
      </c>
      <c r="C173">
        <v>90</v>
      </c>
      <c r="D173" t="str">
        <f t="shared" si="103"/>
        <v>Reverse</v>
      </c>
      <c r="E173">
        <f t="shared" si="107"/>
        <v>77.5</v>
      </c>
      <c r="F173">
        <v>0.7</v>
      </c>
      <c r="G173">
        <f t="shared" si="104"/>
        <v>3.2341584207417085</v>
      </c>
      <c r="I173">
        <f t="shared" si="105"/>
        <v>12.5</v>
      </c>
    </row>
    <row r="174" spans="1:9" x14ac:dyDescent="0.25">
      <c r="A174">
        <v>19</v>
      </c>
      <c r="B174">
        <f t="shared" si="106"/>
        <v>172</v>
      </c>
      <c r="C174">
        <v>90</v>
      </c>
      <c r="D174" t="str">
        <f t="shared" si="103"/>
        <v>Reverse</v>
      </c>
      <c r="E174">
        <f t="shared" si="107"/>
        <v>82</v>
      </c>
      <c r="F174">
        <v>0.6</v>
      </c>
      <c r="G174">
        <f t="shared" si="104"/>
        <v>4.3111779205966307</v>
      </c>
      <c r="I174">
        <f t="shared" si="105"/>
        <v>8</v>
      </c>
    </row>
    <row r="175" spans="1:9" x14ac:dyDescent="0.25">
      <c r="A175">
        <v>20</v>
      </c>
      <c r="B175">
        <f t="shared" si="106"/>
        <v>176.5</v>
      </c>
      <c r="C175">
        <v>90</v>
      </c>
      <c r="D175" t="str">
        <f t="shared" si="103"/>
        <v>Reverse</v>
      </c>
      <c r="E175">
        <f t="shared" si="107"/>
        <v>86.5</v>
      </c>
      <c r="F175">
        <v>1.5</v>
      </c>
      <c r="G175">
        <f t="shared" si="104"/>
        <v>24.570612359097378</v>
      </c>
      <c r="I175">
        <f t="shared" si="105"/>
        <v>3.5</v>
      </c>
    </row>
    <row r="177" spans="1:9" x14ac:dyDescent="0.25">
      <c r="A177" t="s">
        <v>0</v>
      </c>
      <c r="B177" t="s">
        <v>82</v>
      </c>
      <c r="C177" t="s">
        <v>131</v>
      </c>
      <c r="D177" t="s">
        <v>83</v>
      </c>
      <c r="E177" t="s">
        <v>15</v>
      </c>
      <c r="F177" t="s">
        <v>58</v>
      </c>
      <c r="G177" t="s">
        <v>132</v>
      </c>
      <c r="H177" t="s">
        <v>133</v>
      </c>
      <c r="I177" t="s">
        <v>134</v>
      </c>
    </row>
    <row r="178" spans="1:9" x14ac:dyDescent="0.25">
      <c r="A178">
        <v>1</v>
      </c>
      <c r="B178">
        <v>91</v>
      </c>
      <c r="C178">
        <v>91</v>
      </c>
      <c r="D178" t="str">
        <f>IF(B178&lt;=90,IF(C178=-180,"SSComp",IF(AND(C178&gt;-180,C178&lt;-90),"SSComp_and_Normal",IF(C178=-90,"Normal",IF(AND(C178&gt;-90,C178&lt;0),"SSTens_and_Normal",IF(C178=0,"SSTens"))))),IF(C178=0,"SSComp",IF(AND(C178&gt;0,C178&lt;90),"SSComp_and_Reverse",IF(C178=90,"Reverse",IF(AND(C178&gt;90,C178&lt;180),"SSTens_and_Reverse",IF(C178=180,"SSTens"))))))</f>
        <v>SSTens_and_Reverse</v>
      </c>
      <c r="E178">
        <v>1</v>
      </c>
      <c r="F178">
        <v>0.2</v>
      </c>
      <c r="G178">
        <f>F178*ABS(COS(RADIANS(C178-90)))</f>
        <v>0.19996953903127826</v>
      </c>
      <c r="H178">
        <f>F178*ABS(SIN(RADIANS(C178))/COS(RADIANS(90-B178)))</f>
        <v>0.2</v>
      </c>
      <c r="I178">
        <f>180-B178</f>
        <v>89</v>
      </c>
    </row>
    <row r="179" spans="1:9" x14ac:dyDescent="0.25">
      <c r="A179">
        <v>2</v>
      </c>
      <c r="B179">
        <f>B178+4.5</f>
        <v>95.5</v>
      </c>
      <c r="C179">
        <f>C178+4.5</f>
        <v>95.5</v>
      </c>
      <c r="D179" t="str">
        <f t="shared" ref="D179:D197" si="108">IF(B179&lt;=90,IF(C179=-180,"SSComp",IF(AND(C179&gt;-180,C179&lt;-90),"SSComp_and_Normal",IF(C179=-90,"Normal",IF(AND(C179&gt;-90,C179&lt;0),"SSTens_and_Normal",IF(C179=0,"SSTens"))))),IF(C179=0,"SSComp",IF(AND(C179&gt;0,C179&lt;90),"SSComp_and_Reverse",IF(C179=90,"Reverse",IF(AND(C179&gt;90,C179&lt;180),"SSTens_and_Reverse",IF(C179=180,"SSTens"))))))</f>
        <v>SSTens_and_Reverse</v>
      </c>
      <c r="E179">
        <f>E178+4.5</f>
        <v>5.5</v>
      </c>
      <c r="F179">
        <v>0.1</v>
      </c>
      <c r="G179">
        <f t="shared" ref="G179:G197" si="109">F179*ABS(COS(RADIANS(C179-90)))</f>
        <v>9.9539619836717885E-2</v>
      </c>
      <c r="H179">
        <f t="shared" ref="H179:H197" si="110">F179*ABS(SIN(RADIANS(C179))/COS(RADIANS(90-B179)))</f>
        <v>0.1</v>
      </c>
      <c r="I179">
        <f t="shared" ref="I179:I197" si="111">180-B179</f>
        <v>84.5</v>
      </c>
    </row>
    <row r="180" spans="1:9" x14ac:dyDescent="0.25">
      <c r="A180">
        <v>3</v>
      </c>
      <c r="B180">
        <f t="shared" ref="B180:C197" si="112">B179+4.5</f>
        <v>100</v>
      </c>
      <c r="C180">
        <f t="shared" si="112"/>
        <v>100</v>
      </c>
      <c r="D180" t="str">
        <f t="shared" si="108"/>
        <v>SSTens_and_Reverse</v>
      </c>
      <c r="E180">
        <f t="shared" ref="E180:E197" si="113">E179+4.5</f>
        <v>10</v>
      </c>
      <c r="F180">
        <v>0.2</v>
      </c>
      <c r="G180">
        <f t="shared" si="109"/>
        <v>0.19696155060244161</v>
      </c>
      <c r="H180">
        <f t="shared" si="110"/>
        <v>0.2</v>
      </c>
      <c r="I180">
        <f t="shared" si="111"/>
        <v>80</v>
      </c>
    </row>
    <row r="181" spans="1:9" x14ac:dyDescent="0.25">
      <c r="A181">
        <v>4</v>
      </c>
      <c r="B181">
        <f t="shared" si="112"/>
        <v>104.5</v>
      </c>
      <c r="C181">
        <f t="shared" si="112"/>
        <v>104.5</v>
      </c>
      <c r="D181" t="str">
        <f t="shared" si="108"/>
        <v>SSTens_and_Reverse</v>
      </c>
      <c r="E181">
        <f t="shared" si="113"/>
        <v>14.5</v>
      </c>
      <c r="F181">
        <v>0.7</v>
      </c>
      <c r="G181">
        <f t="shared" si="109"/>
        <v>0.67770334826467538</v>
      </c>
      <c r="H181">
        <f t="shared" si="110"/>
        <v>0.7</v>
      </c>
      <c r="I181">
        <f t="shared" si="111"/>
        <v>75.5</v>
      </c>
    </row>
    <row r="182" spans="1:9" x14ac:dyDescent="0.25">
      <c r="A182">
        <v>5</v>
      </c>
      <c r="B182">
        <f t="shared" si="112"/>
        <v>109</v>
      </c>
      <c r="C182">
        <f t="shared" si="112"/>
        <v>109</v>
      </c>
      <c r="D182" t="str">
        <f t="shared" si="108"/>
        <v>SSTens_and_Reverse</v>
      </c>
      <c r="E182">
        <f t="shared" si="113"/>
        <v>19</v>
      </c>
      <c r="F182">
        <v>0.2</v>
      </c>
      <c r="G182">
        <f t="shared" si="109"/>
        <v>0.18910371511986337</v>
      </c>
      <c r="H182">
        <f t="shared" si="110"/>
        <v>0.2</v>
      </c>
      <c r="I182">
        <f t="shared" si="111"/>
        <v>71</v>
      </c>
    </row>
    <row r="183" spans="1:9" x14ac:dyDescent="0.25">
      <c r="A183">
        <v>6</v>
      </c>
      <c r="B183">
        <f t="shared" si="112"/>
        <v>113.5</v>
      </c>
      <c r="C183">
        <f t="shared" si="112"/>
        <v>113.5</v>
      </c>
      <c r="D183" t="str">
        <f t="shared" si="108"/>
        <v>SSTens_and_Reverse</v>
      </c>
      <c r="E183">
        <f t="shared" si="113"/>
        <v>23.5</v>
      </c>
      <c r="F183">
        <v>0.3</v>
      </c>
      <c r="G183">
        <f t="shared" si="109"/>
        <v>0.27511802231553723</v>
      </c>
      <c r="H183">
        <f t="shared" si="110"/>
        <v>0.3</v>
      </c>
      <c r="I183">
        <f t="shared" si="111"/>
        <v>66.5</v>
      </c>
    </row>
    <row r="184" spans="1:9" x14ac:dyDescent="0.25">
      <c r="A184">
        <v>7</v>
      </c>
      <c r="B184">
        <f t="shared" si="112"/>
        <v>118</v>
      </c>
      <c r="C184">
        <f t="shared" si="112"/>
        <v>118</v>
      </c>
      <c r="D184" t="str">
        <f t="shared" si="108"/>
        <v>SSTens_and_Reverse</v>
      </c>
      <c r="E184">
        <f t="shared" si="113"/>
        <v>28</v>
      </c>
      <c r="F184">
        <v>0.5</v>
      </c>
      <c r="G184">
        <f t="shared" si="109"/>
        <v>0.44147379642946349</v>
      </c>
      <c r="H184">
        <f t="shared" si="110"/>
        <v>0.49999999999999994</v>
      </c>
      <c r="I184">
        <f t="shared" si="111"/>
        <v>62</v>
      </c>
    </row>
    <row r="185" spans="1:9" x14ac:dyDescent="0.25">
      <c r="A185">
        <v>8</v>
      </c>
      <c r="B185">
        <f t="shared" si="112"/>
        <v>122.5</v>
      </c>
      <c r="C185">
        <f t="shared" si="112"/>
        <v>122.5</v>
      </c>
      <c r="D185" t="str">
        <f t="shared" si="108"/>
        <v>SSTens_and_Reverse</v>
      </c>
      <c r="E185">
        <f t="shared" si="113"/>
        <v>32.5</v>
      </c>
      <c r="F185">
        <v>0.65</v>
      </c>
      <c r="G185">
        <f t="shared" si="109"/>
        <v>0.54820443977837574</v>
      </c>
      <c r="H185">
        <f t="shared" si="110"/>
        <v>0.64999999999999991</v>
      </c>
      <c r="I185">
        <f t="shared" si="111"/>
        <v>57.5</v>
      </c>
    </row>
    <row r="186" spans="1:9" x14ac:dyDescent="0.25">
      <c r="A186">
        <v>9</v>
      </c>
      <c r="B186">
        <f t="shared" si="112"/>
        <v>127</v>
      </c>
      <c r="C186">
        <f t="shared" si="112"/>
        <v>127</v>
      </c>
      <c r="D186" t="str">
        <f t="shared" si="108"/>
        <v>SSTens_and_Reverse</v>
      </c>
      <c r="E186">
        <f t="shared" si="113"/>
        <v>37</v>
      </c>
      <c r="F186">
        <v>0.54</v>
      </c>
      <c r="G186">
        <f t="shared" si="109"/>
        <v>0.43126317542553816</v>
      </c>
      <c r="H186">
        <f t="shared" si="110"/>
        <v>0.53999999999999992</v>
      </c>
      <c r="I186">
        <f t="shared" si="111"/>
        <v>53</v>
      </c>
    </row>
    <row r="187" spans="1:9" x14ac:dyDescent="0.25">
      <c r="A187">
        <v>10</v>
      </c>
      <c r="B187">
        <f t="shared" si="112"/>
        <v>131.5</v>
      </c>
      <c r="C187">
        <f t="shared" si="112"/>
        <v>131.5</v>
      </c>
      <c r="D187" t="str">
        <f t="shared" si="108"/>
        <v>SSTens_and_Reverse</v>
      </c>
      <c r="E187">
        <f t="shared" si="113"/>
        <v>41.5</v>
      </c>
      <c r="F187">
        <v>0.5</v>
      </c>
      <c r="G187">
        <f t="shared" si="109"/>
        <v>0.37447786039450109</v>
      </c>
      <c r="H187">
        <f t="shared" si="110"/>
        <v>0.49999999999999994</v>
      </c>
      <c r="I187">
        <f t="shared" si="111"/>
        <v>48.5</v>
      </c>
    </row>
    <row r="188" spans="1:9" x14ac:dyDescent="0.25">
      <c r="A188">
        <v>11</v>
      </c>
      <c r="B188">
        <f t="shared" si="112"/>
        <v>136</v>
      </c>
      <c r="C188">
        <f t="shared" si="112"/>
        <v>136</v>
      </c>
      <c r="D188" t="str">
        <f t="shared" si="108"/>
        <v>SSTens_and_Reverse</v>
      </c>
      <c r="E188">
        <f t="shared" si="113"/>
        <v>46</v>
      </c>
      <c r="F188">
        <v>0.7</v>
      </c>
      <c r="G188">
        <f t="shared" si="109"/>
        <v>0.48626085932129803</v>
      </c>
      <c r="H188">
        <f t="shared" si="110"/>
        <v>0.69999999999999984</v>
      </c>
      <c r="I188">
        <f t="shared" si="111"/>
        <v>44</v>
      </c>
    </row>
    <row r="189" spans="1:9" x14ac:dyDescent="0.25">
      <c r="A189">
        <v>12</v>
      </c>
      <c r="B189">
        <f t="shared" si="112"/>
        <v>140.5</v>
      </c>
      <c r="C189">
        <f t="shared" si="112"/>
        <v>140.5</v>
      </c>
      <c r="D189" t="str">
        <f t="shared" si="108"/>
        <v>SSTens_and_Reverse</v>
      </c>
      <c r="E189">
        <f t="shared" si="113"/>
        <v>50.5</v>
      </c>
      <c r="F189">
        <v>0.6</v>
      </c>
      <c r="G189">
        <f t="shared" si="109"/>
        <v>0.38164693216665835</v>
      </c>
      <c r="H189">
        <f t="shared" si="110"/>
        <v>0.59999999999999987</v>
      </c>
      <c r="I189">
        <f t="shared" si="111"/>
        <v>39.5</v>
      </c>
    </row>
    <row r="190" spans="1:9" x14ac:dyDescent="0.25">
      <c r="A190">
        <v>13</v>
      </c>
      <c r="B190">
        <f t="shared" si="112"/>
        <v>145</v>
      </c>
      <c r="C190">
        <f t="shared" si="112"/>
        <v>145</v>
      </c>
      <c r="D190" t="str">
        <f t="shared" si="108"/>
        <v>SSTens_and_Reverse</v>
      </c>
      <c r="E190">
        <f t="shared" si="113"/>
        <v>55</v>
      </c>
      <c r="F190">
        <v>0.5</v>
      </c>
      <c r="G190">
        <f t="shared" si="109"/>
        <v>0.28678821817552308</v>
      </c>
      <c r="H190">
        <f t="shared" si="110"/>
        <v>0.49999999999999983</v>
      </c>
      <c r="I190">
        <f t="shared" si="111"/>
        <v>35</v>
      </c>
    </row>
    <row r="191" spans="1:9" x14ac:dyDescent="0.25">
      <c r="A191">
        <v>14</v>
      </c>
      <c r="B191">
        <f t="shared" si="112"/>
        <v>149.5</v>
      </c>
      <c r="C191">
        <f t="shared" si="112"/>
        <v>149.5</v>
      </c>
      <c r="D191" t="str">
        <f t="shared" si="108"/>
        <v>SSTens_and_Reverse</v>
      </c>
      <c r="E191">
        <f t="shared" si="113"/>
        <v>59.5</v>
      </c>
      <c r="F191">
        <v>0.2</v>
      </c>
      <c r="G191">
        <f t="shared" si="109"/>
        <v>0.10150767259214084</v>
      </c>
      <c r="H191">
        <f t="shared" si="110"/>
        <v>0.19999999999999996</v>
      </c>
      <c r="I191">
        <f t="shared" si="111"/>
        <v>30.5</v>
      </c>
    </row>
    <row r="192" spans="1:9" x14ac:dyDescent="0.25">
      <c r="A192">
        <v>15</v>
      </c>
      <c r="B192">
        <f t="shared" si="112"/>
        <v>154</v>
      </c>
      <c r="C192">
        <f t="shared" si="112"/>
        <v>154</v>
      </c>
      <c r="D192" t="str">
        <f t="shared" si="108"/>
        <v>SSTens_and_Reverse</v>
      </c>
      <c r="E192">
        <f t="shared" si="113"/>
        <v>64</v>
      </c>
      <c r="F192">
        <v>0.4</v>
      </c>
      <c r="G192">
        <f t="shared" si="109"/>
        <v>0.17534845871563098</v>
      </c>
      <c r="H192">
        <f t="shared" si="110"/>
        <v>0.39999999999999991</v>
      </c>
      <c r="I192">
        <f t="shared" si="111"/>
        <v>26</v>
      </c>
    </row>
    <row r="193" spans="1:9" x14ac:dyDescent="0.25">
      <c r="A193">
        <v>16</v>
      </c>
      <c r="B193">
        <f t="shared" si="112"/>
        <v>158.5</v>
      </c>
      <c r="C193">
        <f t="shared" si="112"/>
        <v>158.5</v>
      </c>
      <c r="D193" t="str">
        <f t="shared" si="108"/>
        <v>SSTens_and_Reverse</v>
      </c>
      <c r="E193">
        <f t="shared" si="113"/>
        <v>68.5</v>
      </c>
      <c r="F193">
        <v>0.3</v>
      </c>
      <c r="G193">
        <f t="shared" si="109"/>
        <v>0.10995036801728919</v>
      </c>
      <c r="H193">
        <f t="shared" si="110"/>
        <v>0.29999999999999988</v>
      </c>
      <c r="I193">
        <f t="shared" si="111"/>
        <v>21.5</v>
      </c>
    </row>
    <row r="194" spans="1:9" x14ac:dyDescent="0.25">
      <c r="A194">
        <v>17</v>
      </c>
      <c r="B194">
        <f t="shared" si="112"/>
        <v>163</v>
      </c>
      <c r="C194">
        <f t="shared" si="112"/>
        <v>163</v>
      </c>
      <c r="D194" t="str">
        <f t="shared" si="108"/>
        <v>SSTens_and_Reverse</v>
      </c>
      <c r="E194">
        <f t="shared" si="113"/>
        <v>73</v>
      </c>
      <c r="F194">
        <v>0.5</v>
      </c>
      <c r="G194">
        <f t="shared" si="109"/>
        <v>0.14618585236136838</v>
      </c>
      <c r="H194">
        <f t="shared" si="110"/>
        <v>0.49999999999999972</v>
      </c>
      <c r="I194">
        <f t="shared" si="111"/>
        <v>17</v>
      </c>
    </row>
    <row r="195" spans="1:9" x14ac:dyDescent="0.25">
      <c r="A195">
        <v>18</v>
      </c>
      <c r="B195">
        <f t="shared" si="112"/>
        <v>167.5</v>
      </c>
      <c r="C195">
        <f t="shared" si="112"/>
        <v>167.5</v>
      </c>
      <c r="D195" t="str">
        <f t="shared" si="108"/>
        <v>SSTens_and_Reverse</v>
      </c>
      <c r="E195">
        <f t="shared" si="113"/>
        <v>77.5</v>
      </c>
      <c r="F195">
        <v>0.7</v>
      </c>
      <c r="G195">
        <f t="shared" si="109"/>
        <v>0.15150772975667201</v>
      </c>
      <c r="H195">
        <f t="shared" si="110"/>
        <v>0.6999999999999994</v>
      </c>
      <c r="I195">
        <f t="shared" si="111"/>
        <v>12.5</v>
      </c>
    </row>
    <row r="196" spans="1:9" x14ac:dyDescent="0.25">
      <c r="A196">
        <v>19</v>
      </c>
      <c r="B196">
        <f t="shared" si="112"/>
        <v>172</v>
      </c>
      <c r="C196">
        <f t="shared" si="112"/>
        <v>172</v>
      </c>
      <c r="D196" t="str">
        <f t="shared" si="108"/>
        <v>SSTens_and_Reverse</v>
      </c>
      <c r="E196">
        <f t="shared" si="113"/>
        <v>82</v>
      </c>
      <c r="F196">
        <v>0.6</v>
      </c>
      <c r="G196">
        <f t="shared" si="109"/>
        <v>8.3503860576039271E-2</v>
      </c>
      <c r="H196">
        <f t="shared" si="110"/>
        <v>0.59999999999999942</v>
      </c>
      <c r="I196">
        <f t="shared" si="111"/>
        <v>8</v>
      </c>
    </row>
    <row r="197" spans="1:9" x14ac:dyDescent="0.25">
      <c r="A197">
        <v>20</v>
      </c>
      <c r="B197">
        <f t="shared" si="112"/>
        <v>176.5</v>
      </c>
      <c r="C197">
        <f t="shared" si="112"/>
        <v>176.5</v>
      </c>
      <c r="D197" t="str">
        <f t="shared" si="108"/>
        <v>SSTens_and_Reverse</v>
      </c>
      <c r="E197">
        <f t="shared" si="113"/>
        <v>86.5</v>
      </c>
      <c r="F197">
        <v>1.5</v>
      </c>
      <c r="G197">
        <f t="shared" si="109"/>
        <v>9.1572809302285368E-2</v>
      </c>
      <c r="H197">
        <f t="shared" si="110"/>
        <v>1.499999999999996</v>
      </c>
      <c r="I197">
        <f t="shared" si="111"/>
        <v>3.5</v>
      </c>
    </row>
    <row r="199" spans="1:9" x14ac:dyDescent="0.25">
      <c r="A199" t="s">
        <v>0</v>
      </c>
      <c r="B199" t="s">
        <v>82</v>
      </c>
      <c r="C199" t="s">
        <v>131</v>
      </c>
      <c r="D199" t="s">
        <v>83</v>
      </c>
      <c r="E199" t="s">
        <v>15</v>
      </c>
      <c r="F199" t="s">
        <v>58</v>
      </c>
      <c r="G199" t="s">
        <v>132</v>
      </c>
      <c r="H199" t="s">
        <v>133</v>
      </c>
      <c r="I199" t="s">
        <v>134</v>
      </c>
    </row>
    <row r="200" spans="1:9" x14ac:dyDescent="0.25">
      <c r="A200">
        <v>1</v>
      </c>
      <c r="B200">
        <v>91</v>
      </c>
      <c r="C200">
        <v>180</v>
      </c>
      <c r="D200" t="str">
        <f>IF(B200&lt;=90,IF(C200=-180,"SSComp",IF(AND(C200&gt;-180,C200&lt;-90),"SSComp_and_Normal",IF(C200=-90,"Normal",IF(AND(C200&gt;-90,C200&lt;0),"SSTens_and_Normal",IF(C200=0,"SSTens"))))),IF(C200=0,"SSComp",IF(AND(C200&gt;0,C200&lt;90),"SSComp_and_Reverse",IF(C200=90,"Reverse",IF(AND(C200&gt;90,C200&lt;180),"SSTens_and_Reverse",IF(C200=180,"SSTens"))))))</f>
        <v>SSTens</v>
      </c>
      <c r="E200">
        <v>1</v>
      </c>
      <c r="F200">
        <v>0.2</v>
      </c>
      <c r="G200">
        <f>F200</f>
        <v>0.2</v>
      </c>
      <c r="I200">
        <f>180-B200</f>
        <v>89</v>
      </c>
    </row>
    <row r="201" spans="1:9" x14ac:dyDescent="0.25">
      <c r="A201">
        <v>2</v>
      </c>
      <c r="B201">
        <f>B200+4.5</f>
        <v>95.5</v>
      </c>
      <c r="C201">
        <v>180</v>
      </c>
      <c r="D201" t="str">
        <f t="shared" ref="D201:D219" si="114">IF(B201&lt;=90,IF(C201=-180,"SSComp",IF(AND(C201&gt;-180,C201&lt;-90),"SSComp_and_Normal",IF(C201=-90,"Normal",IF(AND(C201&gt;-90,C201&lt;0),"SSTens_and_Normal",IF(C201=0,"SSTens"))))),IF(C201=0,"SSComp",IF(AND(C201&gt;0,C201&lt;90),"SSComp_and_Reverse",IF(C201=90,"Reverse",IF(AND(C201&gt;90,C201&lt;180),"SSTens_and_Reverse",IF(C201=180,"SSTens"))))))</f>
        <v>SSTens</v>
      </c>
      <c r="E201">
        <f>E200+4.5</f>
        <v>5.5</v>
      </c>
      <c r="F201">
        <v>0.1</v>
      </c>
      <c r="G201">
        <f t="shared" ref="G201:G219" si="115">F201</f>
        <v>0.1</v>
      </c>
      <c r="I201">
        <f t="shared" ref="I201:I219" si="116">180-B201</f>
        <v>84.5</v>
      </c>
    </row>
    <row r="202" spans="1:9" x14ac:dyDescent="0.25">
      <c r="A202">
        <v>3</v>
      </c>
      <c r="B202">
        <f t="shared" ref="B202:B219" si="117">B201+4.5</f>
        <v>100</v>
      </c>
      <c r="C202">
        <v>180</v>
      </c>
      <c r="D202" t="str">
        <f t="shared" si="114"/>
        <v>SSTens</v>
      </c>
      <c r="E202">
        <f t="shared" ref="E202:E219" si="118">E201+4.5</f>
        <v>10</v>
      </c>
      <c r="F202">
        <v>0.2</v>
      </c>
      <c r="G202">
        <f t="shared" si="115"/>
        <v>0.2</v>
      </c>
      <c r="I202">
        <f t="shared" si="116"/>
        <v>80</v>
      </c>
    </row>
    <row r="203" spans="1:9" x14ac:dyDescent="0.25">
      <c r="A203">
        <v>4</v>
      </c>
      <c r="B203">
        <f t="shared" si="117"/>
        <v>104.5</v>
      </c>
      <c r="C203">
        <v>180</v>
      </c>
      <c r="D203" t="str">
        <f t="shared" si="114"/>
        <v>SSTens</v>
      </c>
      <c r="E203">
        <f t="shared" si="118"/>
        <v>14.5</v>
      </c>
      <c r="F203">
        <v>0.7</v>
      </c>
      <c r="G203">
        <f t="shared" si="115"/>
        <v>0.7</v>
      </c>
      <c r="I203">
        <f t="shared" si="116"/>
        <v>75.5</v>
      </c>
    </row>
    <row r="204" spans="1:9" x14ac:dyDescent="0.25">
      <c r="A204">
        <v>5</v>
      </c>
      <c r="B204">
        <f t="shared" si="117"/>
        <v>109</v>
      </c>
      <c r="C204">
        <v>180</v>
      </c>
      <c r="D204" t="str">
        <f t="shared" si="114"/>
        <v>SSTens</v>
      </c>
      <c r="E204">
        <f t="shared" si="118"/>
        <v>19</v>
      </c>
      <c r="F204">
        <v>0.2</v>
      </c>
      <c r="G204">
        <f t="shared" si="115"/>
        <v>0.2</v>
      </c>
      <c r="I204">
        <f t="shared" si="116"/>
        <v>71</v>
      </c>
    </row>
    <row r="205" spans="1:9" x14ac:dyDescent="0.25">
      <c r="A205">
        <v>6</v>
      </c>
      <c r="B205">
        <f t="shared" si="117"/>
        <v>113.5</v>
      </c>
      <c r="C205">
        <v>180</v>
      </c>
      <c r="D205" t="str">
        <f t="shared" si="114"/>
        <v>SSTens</v>
      </c>
      <c r="E205">
        <f t="shared" si="118"/>
        <v>23.5</v>
      </c>
      <c r="F205">
        <v>0.3</v>
      </c>
      <c r="G205">
        <f t="shared" si="115"/>
        <v>0.3</v>
      </c>
      <c r="I205">
        <f t="shared" si="116"/>
        <v>66.5</v>
      </c>
    </row>
    <row r="206" spans="1:9" x14ac:dyDescent="0.25">
      <c r="A206">
        <v>7</v>
      </c>
      <c r="B206">
        <f t="shared" si="117"/>
        <v>118</v>
      </c>
      <c r="C206">
        <v>180</v>
      </c>
      <c r="D206" t="str">
        <f t="shared" si="114"/>
        <v>SSTens</v>
      </c>
      <c r="E206">
        <f t="shared" si="118"/>
        <v>28</v>
      </c>
      <c r="F206">
        <v>0.5</v>
      </c>
      <c r="G206">
        <f t="shared" si="115"/>
        <v>0.5</v>
      </c>
      <c r="I206">
        <f t="shared" si="116"/>
        <v>62</v>
      </c>
    </row>
    <row r="207" spans="1:9" x14ac:dyDescent="0.25">
      <c r="A207">
        <v>8</v>
      </c>
      <c r="B207">
        <f t="shared" si="117"/>
        <v>122.5</v>
      </c>
      <c r="C207">
        <v>180</v>
      </c>
      <c r="D207" t="str">
        <f t="shared" si="114"/>
        <v>SSTens</v>
      </c>
      <c r="E207">
        <f t="shared" si="118"/>
        <v>32.5</v>
      </c>
      <c r="F207">
        <v>0.65</v>
      </c>
      <c r="G207">
        <f t="shared" si="115"/>
        <v>0.65</v>
      </c>
      <c r="I207">
        <f t="shared" si="116"/>
        <v>57.5</v>
      </c>
    </row>
    <row r="208" spans="1:9" x14ac:dyDescent="0.25">
      <c r="A208">
        <v>9</v>
      </c>
      <c r="B208">
        <f t="shared" si="117"/>
        <v>127</v>
      </c>
      <c r="C208">
        <v>180</v>
      </c>
      <c r="D208" t="str">
        <f t="shared" si="114"/>
        <v>SSTens</v>
      </c>
      <c r="E208">
        <f t="shared" si="118"/>
        <v>37</v>
      </c>
      <c r="F208">
        <v>0.54</v>
      </c>
      <c r="G208">
        <f t="shared" si="115"/>
        <v>0.54</v>
      </c>
      <c r="I208">
        <f t="shared" si="116"/>
        <v>53</v>
      </c>
    </row>
    <row r="209" spans="1:9" x14ac:dyDescent="0.25">
      <c r="A209">
        <v>10</v>
      </c>
      <c r="B209">
        <f t="shared" si="117"/>
        <v>131.5</v>
      </c>
      <c r="C209">
        <v>180</v>
      </c>
      <c r="D209" t="str">
        <f t="shared" si="114"/>
        <v>SSTens</v>
      </c>
      <c r="E209">
        <f t="shared" si="118"/>
        <v>41.5</v>
      </c>
      <c r="F209">
        <v>0.5</v>
      </c>
      <c r="G209">
        <f t="shared" si="115"/>
        <v>0.5</v>
      </c>
      <c r="I209">
        <f t="shared" si="116"/>
        <v>48.5</v>
      </c>
    </row>
    <row r="210" spans="1:9" x14ac:dyDescent="0.25">
      <c r="A210">
        <v>11</v>
      </c>
      <c r="B210">
        <f t="shared" si="117"/>
        <v>136</v>
      </c>
      <c r="C210">
        <v>180</v>
      </c>
      <c r="D210" t="str">
        <f t="shared" si="114"/>
        <v>SSTens</v>
      </c>
      <c r="E210">
        <f t="shared" si="118"/>
        <v>46</v>
      </c>
      <c r="F210">
        <v>0.7</v>
      </c>
      <c r="G210">
        <f t="shared" si="115"/>
        <v>0.7</v>
      </c>
      <c r="I210">
        <f t="shared" si="116"/>
        <v>44</v>
      </c>
    </row>
    <row r="211" spans="1:9" x14ac:dyDescent="0.25">
      <c r="A211">
        <v>12</v>
      </c>
      <c r="B211">
        <f t="shared" si="117"/>
        <v>140.5</v>
      </c>
      <c r="C211">
        <v>180</v>
      </c>
      <c r="D211" t="str">
        <f t="shared" si="114"/>
        <v>SSTens</v>
      </c>
      <c r="E211">
        <f t="shared" si="118"/>
        <v>50.5</v>
      </c>
      <c r="F211">
        <v>0.6</v>
      </c>
      <c r="G211">
        <f t="shared" si="115"/>
        <v>0.6</v>
      </c>
      <c r="I211">
        <f t="shared" si="116"/>
        <v>39.5</v>
      </c>
    </row>
    <row r="212" spans="1:9" x14ac:dyDescent="0.25">
      <c r="A212">
        <v>13</v>
      </c>
      <c r="B212">
        <f t="shared" si="117"/>
        <v>145</v>
      </c>
      <c r="C212">
        <v>180</v>
      </c>
      <c r="D212" t="str">
        <f t="shared" si="114"/>
        <v>SSTens</v>
      </c>
      <c r="E212">
        <f t="shared" si="118"/>
        <v>55</v>
      </c>
      <c r="F212">
        <v>0.5</v>
      </c>
      <c r="G212">
        <f t="shared" si="115"/>
        <v>0.5</v>
      </c>
      <c r="I212">
        <f t="shared" si="116"/>
        <v>35</v>
      </c>
    </row>
    <row r="213" spans="1:9" x14ac:dyDescent="0.25">
      <c r="A213">
        <v>14</v>
      </c>
      <c r="B213">
        <f t="shared" si="117"/>
        <v>149.5</v>
      </c>
      <c r="C213">
        <v>180</v>
      </c>
      <c r="D213" t="str">
        <f t="shared" si="114"/>
        <v>SSTens</v>
      </c>
      <c r="E213">
        <f t="shared" si="118"/>
        <v>59.5</v>
      </c>
      <c r="F213">
        <v>0.2</v>
      </c>
      <c r="G213">
        <f t="shared" si="115"/>
        <v>0.2</v>
      </c>
      <c r="I213">
        <f t="shared" si="116"/>
        <v>30.5</v>
      </c>
    </row>
    <row r="214" spans="1:9" x14ac:dyDescent="0.25">
      <c r="A214">
        <v>15</v>
      </c>
      <c r="B214">
        <f t="shared" si="117"/>
        <v>154</v>
      </c>
      <c r="C214">
        <v>180</v>
      </c>
      <c r="D214" t="str">
        <f t="shared" si="114"/>
        <v>SSTens</v>
      </c>
      <c r="E214">
        <f t="shared" si="118"/>
        <v>64</v>
      </c>
      <c r="F214">
        <v>0.4</v>
      </c>
      <c r="G214">
        <f t="shared" si="115"/>
        <v>0.4</v>
      </c>
      <c r="I214">
        <f t="shared" si="116"/>
        <v>26</v>
      </c>
    </row>
    <row r="215" spans="1:9" x14ac:dyDescent="0.25">
      <c r="A215">
        <v>16</v>
      </c>
      <c r="B215">
        <f t="shared" si="117"/>
        <v>158.5</v>
      </c>
      <c r="C215">
        <v>180</v>
      </c>
      <c r="D215" t="str">
        <f t="shared" si="114"/>
        <v>SSTens</v>
      </c>
      <c r="E215">
        <f t="shared" si="118"/>
        <v>68.5</v>
      </c>
      <c r="F215">
        <v>0.3</v>
      </c>
      <c r="G215">
        <f t="shared" si="115"/>
        <v>0.3</v>
      </c>
      <c r="I215">
        <f t="shared" si="116"/>
        <v>21.5</v>
      </c>
    </row>
    <row r="216" spans="1:9" x14ac:dyDescent="0.25">
      <c r="A216">
        <v>17</v>
      </c>
      <c r="B216">
        <f t="shared" si="117"/>
        <v>163</v>
      </c>
      <c r="C216">
        <v>180</v>
      </c>
      <c r="D216" t="str">
        <f t="shared" si="114"/>
        <v>SSTens</v>
      </c>
      <c r="E216">
        <f t="shared" si="118"/>
        <v>73</v>
      </c>
      <c r="F216">
        <v>0.5</v>
      </c>
      <c r="G216">
        <f t="shared" si="115"/>
        <v>0.5</v>
      </c>
      <c r="I216">
        <f t="shared" si="116"/>
        <v>17</v>
      </c>
    </row>
    <row r="217" spans="1:9" x14ac:dyDescent="0.25">
      <c r="A217">
        <v>18</v>
      </c>
      <c r="B217">
        <f t="shared" si="117"/>
        <v>167.5</v>
      </c>
      <c r="C217">
        <v>180</v>
      </c>
      <c r="D217" t="str">
        <f t="shared" si="114"/>
        <v>SSTens</v>
      </c>
      <c r="E217">
        <f t="shared" si="118"/>
        <v>77.5</v>
      </c>
      <c r="F217">
        <v>0.7</v>
      </c>
      <c r="G217">
        <f t="shared" si="115"/>
        <v>0.7</v>
      </c>
      <c r="I217">
        <f t="shared" si="116"/>
        <v>12.5</v>
      </c>
    </row>
    <row r="218" spans="1:9" x14ac:dyDescent="0.25">
      <c r="A218">
        <v>19</v>
      </c>
      <c r="B218">
        <f t="shared" si="117"/>
        <v>172</v>
      </c>
      <c r="C218">
        <v>180</v>
      </c>
      <c r="D218" t="str">
        <f t="shared" si="114"/>
        <v>SSTens</v>
      </c>
      <c r="E218">
        <f t="shared" si="118"/>
        <v>82</v>
      </c>
      <c r="F218">
        <v>0.6</v>
      </c>
      <c r="G218">
        <f t="shared" si="115"/>
        <v>0.6</v>
      </c>
      <c r="I218">
        <f t="shared" si="116"/>
        <v>8</v>
      </c>
    </row>
    <row r="219" spans="1:9" x14ac:dyDescent="0.25">
      <c r="A219">
        <v>20</v>
      </c>
      <c r="B219">
        <f t="shared" si="117"/>
        <v>176.5</v>
      </c>
      <c r="C219">
        <v>180</v>
      </c>
      <c r="D219" t="str">
        <f t="shared" si="114"/>
        <v>SSTens</v>
      </c>
      <c r="E219">
        <f t="shared" si="118"/>
        <v>86.5</v>
      </c>
      <c r="F219">
        <v>1.5</v>
      </c>
      <c r="G219">
        <f t="shared" si="115"/>
        <v>1.5</v>
      </c>
      <c r="I219">
        <f t="shared" si="116"/>
        <v>3.5</v>
      </c>
    </row>
  </sheetData>
  <dataValidations disablePrompts="1" count="1">
    <dataValidation type="list" allowBlank="1" showInputMessage="1" showErrorMessage="1" sqref="P46:P65 P24:P43" xr:uid="{CC62CF66-1588-4E3D-A484-D7319A855B07}">
      <formula1>"Grade-B,X-42,X-52,X-60,X-70,X-80"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31"/>
  <sheetViews>
    <sheetView zoomScale="85" zoomScaleNormal="85" workbookViewId="0">
      <selection activeCell="K112" sqref="K112"/>
    </sheetView>
    <sheetView workbookViewId="1"/>
  </sheetViews>
  <sheetFormatPr defaultRowHeight="15" x14ac:dyDescent="0.25"/>
  <sheetData>
    <row r="1" spans="1:101" x14ac:dyDescent="0.25">
      <c r="A1" t="s">
        <v>0</v>
      </c>
      <c r="B1" t="s">
        <v>82</v>
      </c>
      <c r="C1" t="s">
        <v>131</v>
      </c>
      <c r="D1" t="s">
        <v>83</v>
      </c>
      <c r="E1" t="s">
        <v>15</v>
      </c>
      <c r="F1" t="s">
        <v>58</v>
      </c>
      <c r="G1" t="s">
        <v>132</v>
      </c>
      <c r="H1" t="s">
        <v>133</v>
      </c>
      <c r="K1" t="s">
        <v>1</v>
      </c>
      <c r="L1" t="s">
        <v>2</v>
      </c>
      <c r="P1" t="s">
        <v>6</v>
      </c>
      <c r="BC1" t="s">
        <v>40</v>
      </c>
      <c r="BD1" t="s">
        <v>41</v>
      </c>
      <c r="CA1" t="s">
        <v>84</v>
      </c>
      <c r="CG1" t="s">
        <v>57</v>
      </c>
      <c r="CH1" t="s">
        <v>85</v>
      </c>
      <c r="CL1" t="s">
        <v>86</v>
      </c>
      <c r="CT1" t="s">
        <v>66</v>
      </c>
      <c r="CU1" t="s">
        <v>67</v>
      </c>
      <c r="CV1" t="s">
        <v>68</v>
      </c>
      <c r="CW1" t="s">
        <v>69</v>
      </c>
    </row>
    <row r="2" spans="1:101" x14ac:dyDescent="0.25">
      <c r="A2">
        <v>1</v>
      </c>
      <c r="B2">
        <f ca="1">RANDBETWEEN(0,90)</f>
        <v>45</v>
      </c>
      <c r="C2">
        <v>-180</v>
      </c>
      <c r="D2" t="str">
        <f ca="1">IF(B2&lt;=90,IF(C2=-180,"SSComp",IF(AND(C2&gt;-180,C2&lt;-90),"SSComp_and_Normal",IF(C2=-90,"Normal",IF(AND(C2&gt;-90,C2&lt;0),"SSTens_and_Normal",IF(C2=0,"SSTens"))))))</f>
        <v>SSComp</v>
      </c>
      <c r="F2">
        <v>0.2</v>
      </c>
      <c r="K2">
        <v>0.20319999999999999</v>
      </c>
      <c r="L2">
        <f>K2*1000</f>
        <v>203.2</v>
      </c>
      <c r="P2">
        <v>15</v>
      </c>
      <c r="BC2">
        <f t="shared" ref="BC2:BC21" ca="1" si="0">-6.50785 + 0.98692*K2 + 0.01601*P2 + (-0.04575 * CA2)</f>
        <v>-6.0671578560000006</v>
      </c>
      <c r="BD2">
        <f t="shared" ref="BD2:BD21" ca="1" si="1">0.34262 + (-0.10918 * K2) + 0.00197 * P2+ 0.0027*CA2</f>
        <v>0.34998462400000002</v>
      </c>
      <c r="CA2">
        <f t="shared" ref="CA2:CA21" ca="1" si="2">IF(AND(B2&gt;95,B2&lt;=120),B2-120,0)</f>
        <v>0</v>
      </c>
      <c r="CG2">
        <f t="shared" ref="CG2:CG21" si="3" xml:space="preserve"> 4.54097 - 0.01093*P2</f>
        <v>4.3770199999999999</v>
      </c>
      <c r="CH2">
        <f t="shared" ref="CH2:CH21" ca="1" si="4">(LN(F2) - BC2) / CG2</f>
        <v>1.0184371886730927</v>
      </c>
      <c r="CL2">
        <f t="shared" ref="CL2:CL21" ca="1" si="5">IF(CH2&gt;=1,5,ATANH(CH2))</f>
        <v>5</v>
      </c>
      <c r="CT2">
        <f t="shared" ref="CT2:CT21" ca="1" si="6">(CL2 / BD2) - 4</f>
        <v>10.286341905123237</v>
      </c>
      <c r="CU2">
        <f ca="1">MIN(EXP(CT2),100)</f>
        <v>100</v>
      </c>
      <c r="CV2">
        <v>0.57099999999999995</v>
      </c>
      <c r="CW2">
        <v>0.3</v>
      </c>
    </row>
    <row r="3" spans="1:101" x14ac:dyDescent="0.25">
      <c r="A3">
        <v>2</v>
      </c>
      <c r="B3">
        <f t="shared" ref="B3:B21" ca="1" si="7">RANDBETWEEN(0,90)</f>
        <v>50</v>
      </c>
      <c r="C3">
        <v>-180</v>
      </c>
      <c r="D3" t="str">
        <f t="shared" ref="D3:D21" ca="1" si="8">IF(B3&lt;=90,IF(C3=-180,"SSComp",IF(AND(C3&gt;-180,C3&lt;-90),"SSComp_and_Normal",IF(C3=-90,"Normal",IF(AND(C3&gt;-90,C3&lt;0),"SSTens_and_Normal",IF(C3=0,"SSTens"))))))</f>
        <v>SSComp</v>
      </c>
      <c r="F3">
        <v>0.1</v>
      </c>
      <c r="K3">
        <v>0.30480000000000002</v>
      </c>
      <c r="L3">
        <f t="shared" ref="L3:L21" si="9">K3*1000</f>
        <v>304.8</v>
      </c>
      <c r="P3">
        <v>30</v>
      </c>
      <c r="BC3">
        <f t="shared" ca="1" si="0"/>
        <v>-5.7267367840000007</v>
      </c>
      <c r="BD3">
        <f t="shared" ca="1" si="1"/>
        <v>0.36844193599999997</v>
      </c>
      <c r="CA3">
        <f t="shared" ca="1" si="2"/>
        <v>0</v>
      </c>
      <c r="CG3">
        <f t="shared" si="3"/>
        <v>4.2130700000000001</v>
      </c>
      <c r="CH3">
        <f t="shared" ca="1" si="4"/>
        <v>0.81274502702446316</v>
      </c>
      <c r="CL3">
        <f t="shared" ca="1" si="5"/>
        <v>1.135063192462112</v>
      </c>
      <c r="CT3">
        <f t="shared" ca="1" si="6"/>
        <v>-0.91928881716083488</v>
      </c>
      <c r="CU3">
        <f t="shared" ref="CU3:CU21" ca="1" si="10">MIN(EXP(CT3),100)</f>
        <v>0.39880256179319534</v>
      </c>
      <c r="CV3">
        <v>0.57099999999999995</v>
      </c>
      <c r="CW3">
        <v>0.3</v>
      </c>
    </row>
    <row r="4" spans="1:101" x14ac:dyDescent="0.25">
      <c r="A4">
        <v>3</v>
      </c>
      <c r="B4">
        <f t="shared" ca="1" si="7"/>
        <v>28</v>
      </c>
      <c r="C4">
        <v>-180</v>
      </c>
      <c r="D4" t="str">
        <f t="shared" ca="1" si="8"/>
        <v>SSComp</v>
      </c>
      <c r="F4">
        <v>0.2</v>
      </c>
      <c r="K4">
        <v>0.40639999999999998</v>
      </c>
      <c r="L4">
        <f t="shared" si="9"/>
        <v>406.4</v>
      </c>
      <c r="P4">
        <v>50</v>
      </c>
      <c r="BC4">
        <f t="shared" ca="1" si="0"/>
        <v>-5.3062657120000001</v>
      </c>
      <c r="BD4">
        <f t="shared" ca="1" si="1"/>
        <v>0.396749248</v>
      </c>
      <c r="CA4">
        <f t="shared" ca="1" si="2"/>
        <v>0</v>
      </c>
      <c r="CG4">
        <f t="shared" si="3"/>
        <v>3.9944699999999997</v>
      </c>
      <c r="CH4">
        <f t="shared" ca="1" si="4"/>
        <v>0.92548643488770721</v>
      </c>
      <c r="CL4">
        <f t="shared" ca="1" si="5"/>
        <v>1.6259763586968217</v>
      </c>
      <c r="CT4">
        <f t="shared" ca="1" si="6"/>
        <v>9.8246857160575018E-2</v>
      </c>
      <c r="CU4">
        <f t="shared" ca="1" si="10"/>
        <v>1.1032350929790506</v>
      </c>
      <c r="CV4">
        <v>0.57099999999999995</v>
      </c>
      <c r="CW4">
        <v>0.3</v>
      </c>
    </row>
    <row r="5" spans="1:101" x14ac:dyDescent="0.25">
      <c r="A5">
        <v>4</v>
      </c>
      <c r="B5">
        <f t="shared" ca="1" si="7"/>
        <v>51</v>
      </c>
      <c r="C5">
        <v>-180</v>
      </c>
      <c r="D5" t="str">
        <f t="shared" ca="1" si="8"/>
        <v>SSComp</v>
      </c>
      <c r="F5">
        <v>0.7</v>
      </c>
      <c r="K5">
        <v>0.50800000000000001</v>
      </c>
      <c r="L5">
        <f t="shared" si="9"/>
        <v>508</v>
      </c>
      <c r="P5">
        <v>100</v>
      </c>
      <c r="BC5">
        <f t="shared" ca="1" si="0"/>
        <v>-4.4054946400000006</v>
      </c>
      <c r="BD5">
        <f t="shared" ca="1" si="1"/>
        <v>0.48415656000000001</v>
      </c>
      <c r="CA5">
        <f t="shared" ca="1" si="2"/>
        <v>0</v>
      </c>
      <c r="CG5">
        <f t="shared" si="3"/>
        <v>3.4479699999999998</v>
      </c>
      <c r="CH5">
        <f t="shared" ca="1" si="4"/>
        <v>1.174261868885538</v>
      </c>
      <c r="CL5">
        <f t="shared" ca="1" si="5"/>
        <v>5</v>
      </c>
      <c r="CT5">
        <f t="shared" ca="1" si="6"/>
        <v>6.3272379496417432</v>
      </c>
      <c r="CU5">
        <f t="shared" ca="1" si="10"/>
        <v>100</v>
      </c>
      <c r="CV5">
        <v>0.57099999999999995</v>
      </c>
      <c r="CW5">
        <v>0.3</v>
      </c>
    </row>
    <row r="6" spans="1:101" x14ac:dyDescent="0.25">
      <c r="A6">
        <v>5</v>
      </c>
      <c r="B6">
        <f t="shared" ca="1" si="7"/>
        <v>6</v>
      </c>
      <c r="C6">
        <v>-180</v>
      </c>
      <c r="D6" t="str">
        <f t="shared" ca="1" si="8"/>
        <v>SSComp</v>
      </c>
      <c r="F6">
        <v>0.2</v>
      </c>
      <c r="K6">
        <v>0.60960000000000003</v>
      </c>
      <c r="L6">
        <f t="shared" si="9"/>
        <v>609.6</v>
      </c>
      <c r="P6">
        <v>15</v>
      </c>
      <c r="BC6">
        <f t="shared" ca="1" si="0"/>
        <v>-5.6660735680000007</v>
      </c>
      <c r="BD6">
        <f t="shared" ca="1" si="1"/>
        <v>0.30561387200000001</v>
      </c>
      <c r="CA6">
        <f t="shared" ca="1" si="2"/>
        <v>0</v>
      </c>
      <c r="CG6">
        <f t="shared" si="3"/>
        <v>4.3770199999999999</v>
      </c>
      <c r="CH6">
        <f t="shared" ca="1" si="4"/>
        <v>0.92680308876036677</v>
      </c>
      <c r="CL6">
        <f t="shared" ca="1" si="5"/>
        <v>1.6352321269547774</v>
      </c>
      <c r="CT6">
        <f t="shared" ca="1" si="6"/>
        <v>1.3506475876028867</v>
      </c>
      <c r="CU6">
        <f t="shared" ca="1" si="10"/>
        <v>3.8599243606680402</v>
      </c>
      <c r="CV6">
        <v>0.57099999999999995</v>
      </c>
      <c r="CW6">
        <v>0.3</v>
      </c>
    </row>
    <row r="7" spans="1:101" x14ac:dyDescent="0.25">
      <c r="A7">
        <v>6</v>
      </c>
      <c r="B7">
        <f t="shared" ca="1" si="7"/>
        <v>86</v>
      </c>
      <c r="C7">
        <v>-180</v>
      </c>
      <c r="D7" t="str">
        <f t="shared" ca="1" si="8"/>
        <v>SSComp</v>
      </c>
      <c r="F7">
        <v>0.3</v>
      </c>
      <c r="K7">
        <v>0.76200000000000001</v>
      </c>
      <c r="L7">
        <f t="shared" si="9"/>
        <v>762</v>
      </c>
      <c r="P7">
        <v>30</v>
      </c>
      <c r="BC7">
        <f t="shared" ca="1" si="0"/>
        <v>-5.2755169600000009</v>
      </c>
      <c r="BD7">
        <f t="shared" ca="1" si="1"/>
        <v>0.31852483999999998</v>
      </c>
      <c r="CA7">
        <f t="shared" ca="1" si="2"/>
        <v>0</v>
      </c>
      <c r="CG7">
        <f t="shared" si="3"/>
        <v>4.2130700000000001</v>
      </c>
      <c r="CH7">
        <f t="shared" ca="1" si="4"/>
        <v>0.96640790579650115</v>
      </c>
      <c r="CL7">
        <f t="shared" ca="1" si="5"/>
        <v>2.0348365057620685</v>
      </c>
      <c r="CT7">
        <f t="shared" ca="1" si="6"/>
        <v>2.38831340677251</v>
      </c>
      <c r="CU7">
        <f t="shared" ca="1" si="10"/>
        <v>10.895102831591004</v>
      </c>
      <c r="CV7">
        <v>0.57099999999999995</v>
      </c>
      <c r="CW7">
        <v>0.3</v>
      </c>
    </row>
    <row r="8" spans="1:101" x14ac:dyDescent="0.25">
      <c r="A8">
        <v>7</v>
      </c>
      <c r="B8">
        <f t="shared" ca="1" si="7"/>
        <v>11</v>
      </c>
      <c r="C8">
        <v>-180</v>
      </c>
      <c r="D8" t="str">
        <f t="shared" ca="1" si="8"/>
        <v>SSComp</v>
      </c>
      <c r="F8">
        <v>0.5</v>
      </c>
      <c r="K8">
        <v>0.86360000000000003</v>
      </c>
      <c r="L8">
        <f t="shared" si="9"/>
        <v>863.6</v>
      </c>
      <c r="P8">
        <v>50</v>
      </c>
      <c r="BC8">
        <f t="shared" ca="1" si="0"/>
        <v>-4.8550458880000011</v>
      </c>
      <c r="BD8">
        <f t="shared" ca="1" si="1"/>
        <v>0.34683215199999995</v>
      </c>
      <c r="CA8">
        <f t="shared" ca="1" si="2"/>
        <v>0</v>
      </c>
      <c r="CG8">
        <f t="shared" si="3"/>
        <v>3.9944699999999997</v>
      </c>
      <c r="CH8">
        <f t="shared" ca="1" si="4"/>
        <v>1.0419151245196625</v>
      </c>
      <c r="CL8">
        <f t="shared" ca="1" si="5"/>
        <v>5</v>
      </c>
      <c r="CT8">
        <f t="shared" ca="1" si="6"/>
        <v>10.416195185964192</v>
      </c>
      <c r="CU8">
        <f t="shared" ca="1" si="10"/>
        <v>100</v>
      </c>
      <c r="CV8">
        <v>0.57099999999999995</v>
      </c>
      <c r="CW8">
        <v>0.3</v>
      </c>
    </row>
    <row r="9" spans="1:101" x14ac:dyDescent="0.25">
      <c r="A9">
        <v>8</v>
      </c>
      <c r="B9">
        <f t="shared" ca="1" si="7"/>
        <v>34</v>
      </c>
      <c r="C9">
        <v>-180</v>
      </c>
      <c r="D9" t="str">
        <f t="shared" ca="1" si="8"/>
        <v>SSComp</v>
      </c>
      <c r="F9">
        <v>0.65</v>
      </c>
      <c r="K9">
        <v>1.0668</v>
      </c>
      <c r="L9">
        <f t="shared" si="9"/>
        <v>1066.8</v>
      </c>
      <c r="P9">
        <v>100</v>
      </c>
      <c r="BC9">
        <f t="shared" ca="1" si="0"/>
        <v>-3.8540037440000008</v>
      </c>
      <c r="BD9">
        <f t="shared" ca="1" si="1"/>
        <v>0.423146776</v>
      </c>
      <c r="CA9">
        <f t="shared" ca="1" si="2"/>
        <v>0</v>
      </c>
      <c r="CG9">
        <f t="shared" si="3"/>
        <v>3.4479699999999998</v>
      </c>
      <c r="CH9">
        <f t="shared" ca="1" si="4"/>
        <v>0.99282210341376143</v>
      </c>
      <c r="CL9">
        <f t="shared" ca="1" si="5"/>
        <v>2.8131503349727711</v>
      </c>
      <c r="CT9">
        <f t="shared" ca="1" si="6"/>
        <v>2.6481667698509677</v>
      </c>
      <c r="CU9">
        <f t="shared" ca="1" si="10"/>
        <v>14.128114804444175</v>
      </c>
      <c r="CV9">
        <v>0.57099999999999995</v>
      </c>
      <c r="CW9">
        <v>0.3</v>
      </c>
    </row>
    <row r="10" spans="1:101" x14ac:dyDescent="0.25">
      <c r="A10">
        <v>9</v>
      </c>
      <c r="B10">
        <f t="shared" ca="1" si="7"/>
        <v>79</v>
      </c>
      <c r="C10">
        <v>-180</v>
      </c>
      <c r="D10" t="str">
        <f t="shared" ca="1" si="8"/>
        <v>SSComp</v>
      </c>
      <c r="F10">
        <v>0.54</v>
      </c>
      <c r="K10">
        <v>0.60960000000000003</v>
      </c>
      <c r="L10">
        <f t="shared" si="9"/>
        <v>609.6</v>
      </c>
      <c r="P10">
        <v>150</v>
      </c>
      <c r="BC10">
        <f t="shared" ca="1" si="0"/>
        <v>-3.5047235680000006</v>
      </c>
      <c r="BD10">
        <f t="shared" ca="1" si="1"/>
        <v>0.57156387200000003</v>
      </c>
      <c r="CA10">
        <f t="shared" ca="1" si="2"/>
        <v>0</v>
      </c>
      <c r="CG10">
        <f t="shared" si="3"/>
        <v>2.9014699999999998</v>
      </c>
      <c r="CH10">
        <f t="shared" ca="1" si="4"/>
        <v>0.99554275197613074</v>
      </c>
      <c r="CL10">
        <f t="shared" ca="1" si="5"/>
        <v>3.0520699039355779</v>
      </c>
      <c r="CT10">
        <f t="shared" ca="1" si="6"/>
        <v>1.3398579816737923</v>
      </c>
      <c r="CU10">
        <f t="shared" ca="1" si="10"/>
        <v>3.8185011697117019</v>
      </c>
      <c r="CV10">
        <v>0.57099999999999995</v>
      </c>
      <c r="CW10">
        <v>0.3</v>
      </c>
    </row>
    <row r="11" spans="1:101" x14ac:dyDescent="0.25">
      <c r="A11">
        <v>10</v>
      </c>
      <c r="B11">
        <f t="shared" ca="1" si="7"/>
        <v>74</v>
      </c>
      <c r="C11">
        <v>-180</v>
      </c>
      <c r="D11" t="str">
        <f t="shared" ca="1" si="8"/>
        <v>SSComp</v>
      </c>
      <c r="F11">
        <v>0.5</v>
      </c>
      <c r="K11">
        <v>0.60960000000000003</v>
      </c>
      <c r="L11">
        <f t="shared" si="9"/>
        <v>609.6</v>
      </c>
      <c r="P11">
        <v>200</v>
      </c>
      <c r="BC11">
        <f t="shared" ca="1" si="0"/>
        <v>-2.7042235680000006</v>
      </c>
      <c r="BD11">
        <f t="shared" ca="1" si="1"/>
        <v>0.67006387200000006</v>
      </c>
      <c r="CA11">
        <f t="shared" ca="1" si="2"/>
        <v>0</v>
      </c>
      <c r="CG11">
        <f t="shared" si="3"/>
        <v>2.3549699999999998</v>
      </c>
      <c r="CH11">
        <f t="shared" ca="1" si="4"/>
        <v>0.85397112805685649</v>
      </c>
      <c r="CL11">
        <f t="shared" ca="1" si="5"/>
        <v>1.2706404090133321</v>
      </c>
      <c r="CT11">
        <f t="shared" ca="1" si="6"/>
        <v>-2.1037025541748173</v>
      </c>
      <c r="CU11">
        <f t="shared" ca="1" si="10"/>
        <v>0.1220038650302576</v>
      </c>
      <c r="CV11">
        <v>0.57099999999999995</v>
      </c>
      <c r="CW11">
        <v>0.3</v>
      </c>
    </row>
    <row r="12" spans="1:101" x14ac:dyDescent="0.25">
      <c r="A12">
        <v>11</v>
      </c>
      <c r="B12">
        <f t="shared" ca="1" si="7"/>
        <v>29</v>
      </c>
      <c r="C12">
        <v>-180</v>
      </c>
      <c r="D12" t="str">
        <f t="shared" ca="1" si="8"/>
        <v>SSComp</v>
      </c>
      <c r="F12">
        <v>0.7</v>
      </c>
      <c r="K12">
        <v>0.20319999999999999</v>
      </c>
      <c r="L12">
        <f t="shared" si="9"/>
        <v>203.2</v>
      </c>
      <c r="P12">
        <v>15</v>
      </c>
      <c r="BC12">
        <f t="shared" ca="1" si="0"/>
        <v>-6.0671578560000006</v>
      </c>
      <c r="BD12">
        <f t="shared" ca="1" si="1"/>
        <v>0.34998462400000002</v>
      </c>
      <c r="CA12">
        <f t="shared" ca="1" si="2"/>
        <v>0</v>
      </c>
      <c r="CG12">
        <f t="shared" si="3"/>
        <v>4.3770199999999999</v>
      </c>
      <c r="CH12">
        <f t="shared" ca="1" si="4"/>
        <v>1.3046508611021352</v>
      </c>
      <c r="CL12">
        <f t="shared" ca="1" si="5"/>
        <v>5</v>
      </c>
      <c r="CT12">
        <f t="shared" ca="1" si="6"/>
        <v>10.286341905123237</v>
      </c>
      <c r="CU12">
        <f t="shared" ca="1" si="10"/>
        <v>100</v>
      </c>
      <c r="CV12">
        <v>0.57099999999999995</v>
      </c>
      <c r="CW12">
        <v>0.3</v>
      </c>
    </row>
    <row r="13" spans="1:101" x14ac:dyDescent="0.25">
      <c r="A13">
        <v>12</v>
      </c>
      <c r="B13">
        <f t="shared" ca="1" si="7"/>
        <v>44</v>
      </c>
      <c r="C13">
        <v>-180</v>
      </c>
      <c r="D13" t="str">
        <f t="shared" ca="1" si="8"/>
        <v>SSComp</v>
      </c>
      <c r="F13">
        <v>0.6</v>
      </c>
      <c r="K13">
        <v>0.30480000000000002</v>
      </c>
      <c r="L13">
        <f t="shared" si="9"/>
        <v>304.8</v>
      </c>
      <c r="P13">
        <v>30</v>
      </c>
      <c r="BC13">
        <f t="shared" ca="1" si="0"/>
        <v>-5.7267367840000007</v>
      </c>
      <c r="BD13">
        <f t="shared" ca="1" si="1"/>
        <v>0.36844193599999997</v>
      </c>
      <c r="CA13">
        <f t="shared" ca="1" si="2"/>
        <v>0</v>
      </c>
      <c r="CG13">
        <f t="shared" si="3"/>
        <v>4.2130700000000001</v>
      </c>
      <c r="CH13">
        <f t="shared" ca="1" si="4"/>
        <v>1.2380309750927494</v>
      </c>
      <c r="CL13">
        <f t="shared" ca="1" si="5"/>
        <v>5</v>
      </c>
      <c r="CT13">
        <f t="shared" ca="1" si="6"/>
        <v>9.570659339929211</v>
      </c>
      <c r="CU13">
        <f t="shared" ca="1" si="10"/>
        <v>100</v>
      </c>
      <c r="CV13">
        <v>0.57099999999999995</v>
      </c>
      <c r="CW13">
        <v>0.3</v>
      </c>
    </row>
    <row r="14" spans="1:101" x14ac:dyDescent="0.25">
      <c r="A14">
        <v>13</v>
      </c>
      <c r="B14">
        <f t="shared" ca="1" si="7"/>
        <v>88</v>
      </c>
      <c r="C14">
        <v>-180</v>
      </c>
      <c r="D14" t="str">
        <f t="shared" ca="1" si="8"/>
        <v>SSComp</v>
      </c>
      <c r="F14">
        <v>0.5</v>
      </c>
      <c r="K14">
        <v>0.40639999999999998</v>
      </c>
      <c r="L14">
        <f t="shared" si="9"/>
        <v>406.4</v>
      </c>
      <c r="P14">
        <v>50</v>
      </c>
      <c r="BC14">
        <f t="shared" ca="1" si="0"/>
        <v>-5.3062657120000001</v>
      </c>
      <c r="BD14">
        <f t="shared" ca="1" si="1"/>
        <v>0.396749248</v>
      </c>
      <c r="CA14">
        <f t="shared" ca="1" si="2"/>
        <v>0</v>
      </c>
      <c r="CG14">
        <f t="shared" si="3"/>
        <v>3.9944699999999997</v>
      </c>
      <c r="CH14">
        <f t="shared" ca="1" si="4"/>
        <v>1.1548762492746358</v>
      </c>
      <c r="CL14">
        <f t="shared" ca="1" si="5"/>
        <v>5</v>
      </c>
      <c r="CT14">
        <f t="shared" ca="1" si="6"/>
        <v>8.6024183415717523</v>
      </c>
      <c r="CU14">
        <f t="shared" ca="1" si="10"/>
        <v>100</v>
      </c>
      <c r="CV14">
        <v>0.57099999999999995</v>
      </c>
      <c r="CW14">
        <v>0.3</v>
      </c>
    </row>
    <row r="15" spans="1:101" x14ac:dyDescent="0.25">
      <c r="A15">
        <v>14</v>
      </c>
      <c r="B15">
        <f t="shared" ca="1" si="7"/>
        <v>61</v>
      </c>
      <c r="C15">
        <v>-180</v>
      </c>
      <c r="D15" t="str">
        <f t="shared" ca="1" si="8"/>
        <v>SSComp</v>
      </c>
      <c r="F15">
        <v>0.2</v>
      </c>
      <c r="K15">
        <v>0.50800000000000001</v>
      </c>
      <c r="L15">
        <f t="shared" si="9"/>
        <v>508</v>
      </c>
      <c r="P15">
        <v>100</v>
      </c>
      <c r="BC15">
        <f t="shared" ca="1" si="0"/>
        <v>-4.4054946400000006</v>
      </c>
      <c r="BD15">
        <f t="shared" ca="1" si="1"/>
        <v>0.48415656000000001</v>
      </c>
      <c r="CA15">
        <f t="shared" ca="1" si="2"/>
        <v>0</v>
      </c>
      <c r="CG15">
        <f t="shared" si="3"/>
        <v>3.4479699999999998</v>
      </c>
      <c r="CH15">
        <f t="shared" ca="1" si="4"/>
        <v>0.81092838034144732</v>
      </c>
      <c r="CL15">
        <f t="shared" ca="1" si="5"/>
        <v>1.129734513403053</v>
      </c>
      <c r="CT15">
        <f t="shared" ca="1" si="6"/>
        <v>-1.6665925720327883</v>
      </c>
      <c r="CU15">
        <f t="shared" ca="1" si="10"/>
        <v>0.18888959802468036</v>
      </c>
      <c r="CV15">
        <v>0.57099999999999995</v>
      </c>
      <c r="CW15">
        <v>0.3</v>
      </c>
    </row>
    <row r="16" spans="1:101" x14ac:dyDescent="0.25">
      <c r="A16">
        <v>15</v>
      </c>
      <c r="B16">
        <f t="shared" ca="1" si="7"/>
        <v>40</v>
      </c>
      <c r="C16">
        <v>-180</v>
      </c>
      <c r="D16" t="str">
        <f t="shared" ca="1" si="8"/>
        <v>SSComp</v>
      </c>
      <c r="F16">
        <v>0.4</v>
      </c>
      <c r="K16">
        <v>0.60960000000000003</v>
      </c>
      <c r="L16">
        <f t="shared" si="9"/>
        <v>609.6</v>
      </c>
      <c r="P16">
        <v>15</v>
      </c>
      <c r="BC16">
        <f t="shared" ca="1" si="0"/>
        <v>-5.6660735680000007</v>
      </c>
      <c r="BD16">
        <f t="shared" ca="1" si="1"/>
        <v>0.30561387200000001</v>
      </c>
      <c r="CA16">
        <f t="shared" ca="1" si="2"/>
        <v>0</v>
      </c>
      <c r="CG16">
        <f t="shared" si="3"/>
        <v>4.3770199999999999</v>
      </c>
      <c r="CH16">
        <f t="shared" ca="1" si="4"/>
        <v>1.0851636127150084</v>
      </c>
      <c r="CL16">
        <f t="shared" ca="1" si="5"/>
        <v>5</v>
      </c>
      <c r="CT16">
        <f t="shared" ca="1" si="6"/>
        <v>12.360513897091685</v>
      </c>
      <c r="CU16">
        <f t="shared" ca="1" si="10"/>
        <v>100</v>
      </c>
      <c r="CV16">
        <v>0.57099999999999995</v>
      </c>
      <c r="CW16">
        <v>0.3</v>
      </c>
    </row>
    <row r="17" spans="1:101" x14ac:dyDescent="0.25">
      <c r="A17">
        <v>16</v>
      </c>
      <c r="B17">
        <f t="shared" ca="1" si="7"/>
        <v>5</v>
      </c>
      <c r="C17">
        <v>-180</v>
      </c>
      <c r="D17" t="str">
        <f t="shared" ca="1" si="8"/>
        <v>SSComp</v>
      </c>
      <c r="F17">
        <v>0.3</v>
      </c>
      <c r="K17">
        <v>0.76200000000000001</v>
      </c>
      <c r="L17">
        <f t="shared" si="9"/>
        <v>762</v>
      </c>
      <c r="P17">
        <v>30</v>
      </c>
      <c r="BC17">
        <f t="shared" ca="1" si="0"/>
        <v>-5.2755169600000009</v>
      </c>
      <c r="BD17">
        <f t="shared" ca="1" si="1"/>
        <v>0.31852483999999998</v>
      </c>
      <c r="CA17">
        <f t="shared" ca="1" si="2"/>
        <v>0</v>
      </c>
      <c r="CG17">
        <f t="shared" si="3"/>
        <v>4.2130700000000001</v>
      </c>
      <c r="CH17">
        <f t="shared" ca="1" si="4"/>
        <v>0.96640790579650115</v>
      </c>
      <c r="CL17">
        <f t="shared" ca="1" si="5"/>
        <v>2.0348365057620685</v>
      </c>
      <c r="CT17">
        <f t="shared" ca="1" si="6"/>
        <v>2.38831340677251</v>
      </c>
      <c r="CU17">
        <f t="shared" ca="1" si="10"/>
        <v>10.895102831591004</v>
      </c>
      <c r="CV17">
        <v>0.57099999999999995</v>
      </c>
      <c r="CW17">
        <v>0.3</v>
      </c>
    </row>
    <row r="18" spans="1:101" x14ac:dyDescent="0.25">
      <c r="A18">
        <v>17</v>
      </c>
      <c r="B18">
        <f t="shared" ca="1" si="7"/>
        <v>3</v>
      </c>
      <c r="C18">
        <v>-180</v>
      </c>
      <c r="D18" t="str">
        <f t="shared" ca="1" si="8"/>
        <v>SSComp</v>
      </c>
      <c r="F18">
        <v>0.5</v>
      </c>
      <c r="K18">
        <v>0.86360000000000003</v>
      </c>
      <c r="L18">
        <f t="shared" si="9"/>
        <v>863.6</v>
      </c>
      <c r="P18">
        <v>50</v>
      </c>
      <c r="BC18">
        <f t="shared" ca="1" si="0"/>
        <v>-4.8550458880000011</v>
      </c>
      <c r="BD18">
        <f t="shared" ca="1" si="1"/>
        <v>0.34683215199999995</v>
      </c>
      <c r="CA18">
        <f t="shared" ca="1" si="2"/>
        <v>0</v>
      </c>
      <c r="CG18">
        <f t="shared" si="3"/>
        <v>3.9944699999999997</v>
      </c>
      <c r="CH18">
        <f t="shared" ca="1" si="4"/>
        <v>1.0419151245196625</v>
      </c>
      <c r="CL18">
        <f t="shared" ca="1" si="5"/>
        <v>5</v>
      </c>
      <c r="CT18">
        <f t="shared" ca="1" si="6"/>
        <v>10.416195185964192</v>
      </c>
      <c r="CU18">
        <f t="shared" ca="1" si="10"/>
        <v>100</v>
      </c>
      <c r="CV18">
        <v>0.57099999999999995</v>
      </c>
      <c r="CW18">
        <v>0.3</v>
      </c>
    </row>
    <row r="19" spans="1:101" x14ac:dyDescent="0.25">
      <c r="A19">
        <v>18</v>
      </c>
      <c r="B19">
        <f t="shared" ca="1" si="7"/>
        <v>74</v>
      </c>
      <c r="C19">
        <v>-180</v>
      </c>
      <c r="D19" t="str">
        <f t="shared" ca="1" si="8"/>
        <v>SSComp</v>
      </c>
      <c r="F19">
        <v>0.7</v>
      </c>
      <c r="K19">
        <v>1.0668</v>
      </c>
      <c r="L19">
        <f t="shared" si="9"/>
        <v>1066.8</v>
      </c>
      <c r="P19">
        <v>100</v>
      </c>
      <c r="BC19">
        <f t="shared" ca="1" si="0"/>
        <v>-3.8540037440000008</v>
      </c>
      <c r="BD19">
        <f t="shared" ca="1" si="1"/>
        <v>0.423146776</v>
      </c>
      <c r="CA19">
        <f t="shared" ca="1" si="2"/>
        <v>0</v>
      </c>
      <c r="CG19">
        <f t="shared" si="3"/>
        <v>3.4479699999999998</v>
      </c>
      <c r="CH19">
        <f t="shared" ca="1" si="4"/>
        <v>1.0143153217868104</v>
      </c>
      <c r="CL19">
        <f t="shared" ca="1" si="5"/>
        <v>5</v>
      </c>
      <c r="CT19">
        <f t="shared" ca="1" si="6"/>
        <v>7.8162308768246405</v>
      </c>
      <c r="CU19">
        <f t="shared" ca="1" si="10"/>
        <v>100</v>
      </c>
      <c r="CV19">
        <v>0.57099999999999995</v>
      </c>
      <c r="CW19">
        <v>0.3</v>
      </c>
    </row>
    <row r="20" spans="1:101" x14ac:dyDescent="0.25">
      <c r="A20">
        <v>19</v>
      </c>
      <c r="B20">
        <f t="shared" ca="1" si="7"/>
        <v>86</v>
      </c>
      <c r="C20">
        <v>-180</v>
      </c>
      <c r="D20" t="str">
        <f t="shared" ca="1" si="8"/>
        <v>SSComp</v>
      </c>
      <c r="F20">
        <v>0.6</v>
      </c>
      <c r="K20">
        <v>0.60960000000000003</v>
      </c>
      <c r="L20">
        <f t="shared" si="9"/>
        <v>609.6</v>
      </c>
      <c r="P20">
        <v>150</v>
      </c>
      <c r="BC20">
        <f t="shared" ca="1" si="0"/>
        <v>-3.5047235680000006</v>
      </c>
      <c r="BD20">
        <f t="shared" ca="1" si="1"/>
        <v>0.57156387200000003</v>
      </c>
      <c r="CA20">
        <f t="shared" ca="1" si="2"/>
        <v>0</v>
      </c>
      <c r="CG20">
        <f t="shared" si="3"/>
        <v>2.9014699999999998</v>
      </c>
      <c r="CH20">
        <f t="shared" ca="1" si="4"/>
        <v>1.0318555574360617</v>
      </c>
      <c r="CL20">
        <f t="shared" ca="1" si="5"/>
        <v>5</v>
      </c>
      <c r="CT20">
        <f t="shared" ca="1" si="6"/>
        <v>4.7479287004340254</v>
      </c>
      <c r="CU20">
        <f t="shared" ca="1" si="10"/>
        <v>100</v>
      </c>
      <c r="CV20">
        <v>0.57099999999999995</v>
      </c>
      <c r="CW20">
        <v>0.3</v>
      </c>
    </row>
    <row r="21" spans="1:101" x14ac:dyDescent="0.25">
      <c r="A21">
        <v>20</v>
      </c>
      <c r="B21">
        <f t="shared" ca="1" si="7"/>
        <v>32</v>
      </c>
      <c r="C21">
        <v>-180</v>
      </c>
      <c r="D21" t="str">
        <f t="shared" ca="1" si="8"/>
        <v>SSComp</v>
      </c>
      <c r="F21">
        <v>1.5</v>
      </c>
      <c r="K21">
        <v>0.60960000000000003</v>
      </c>
      <c r="L21">
        <f t="shared" si="9"/>
        <v>609.6</v>
      </c>
      <c r="P21">
        <v>200</v>
      </c>
      <c r="BC21">
        <f t="shared" ca="1" si="0"/>
        <v>-2.7042235680000006</v>
      </c>
      <c r="BD21">
        <f t="shared" ca="1" si="1"/>
        <v>0.67006387200000006</v>
      </c>
      <c r="CA21">
        <f t="shared" ca="1" si="2"/>
        <v>0</v>
      </c>
      <c r="CG21">
        <f t="shared" si="3"/>
        <v>2.3549699999999998</v>
      </c>
      <c r="CH21">
        <f t="shared" ca="1" si="4"/>
        <v>1.3204791042383408</v>
      </c>
      <c r="CL21">
        <f t="shared" ca="1" si="5"/>
        <v>5</v>
      </c>
      <c r="CT21">
        <f t="shared" ca="1" si="6"/>
        <v>3.4619752070441425</v>
      </c>
      <c r="CU21">
        <f t="shared" ca="1" si="10"/>
        <v>31.879883737745445</v>
      </c>
      <c r="CV21">
        <v>0.57099999999999995</v>
      </c>
      <c r="CW21">
        <v>0.3</v>
      </c>
    </row>
    <row r="44" spans="1:101" x14ac:dyDescent="0.25">
      <c r="A44" t="s">
        <v>0</v>
      </c>
      <c r="B44" t="s">
        <v>82</v>
      </c>
      <c r="C44" t="s">
        <v>131</v>
      </c>
      <c r="D44" t="s">
        <v>83</v>
      </c>
      <c r="F44" t="s">
        <v>58</v>
      </c>
      <c r="K44" t="s">
        <v>1</v>
      </c>
      <c r="L44" t="s">
        <v>2</v>
      </c>
      <c r="P44" t="s">
        <v>6</v>
      </c>
      <c r="BC44" t="s">
        <v>40</v>
      </c>
      <c r="BD44" t="s">
        <v>41</v>
      </c>
      <c r="CA44" t="s">
        <v>84</v>
      </c>
      <c r="CG44" t="s">
        <v>57</v>
      </c>
      <c r="CH44" t="s">
        <v>85</v>
      </c>
      <c r="CL44" t="s">
        <v>86</v>
      </c>
      <c r="CT44" t="s">
        <v>66</v>
      </c>
      <c r="CU44" t="s">
        <v>67</v>
      </c>
      <c r="CV44" t="s">
        <v>68</v>
      </c>
      <c r="CW44" t="s">
        <v>69</v>
      </c>
    </row>
    <row r="45" spans="1:101" x14ac:dyDescent="0.25">
      <c r="A45">
        <v>1</v>
      </c>
      <c r="B45">
        <v>105</v>
      </c>
      <c r="D45" t="str">
        <f t="shared" ref="D45:D64" si="11">IF(AND(B45&gt;=0,B45&lt;=10),"Normal",IF(AND(B45&gt;10,B45&lt;90),"SSTens",IF(AND(B45&gt;=90,B45&lt;170),"SSComp",IF(AND(B45&gt;=170,B45&lt;=180),"Reverse"))))</f>
        <v>SSComp</v>
      </c>
      <c r="F45">
        <v>0.2</v>
      </c>
      <c r="K45">
        <v>0.20319999999999999</v>
      </c>
      <c r="L45">
        <f>K45*1000</f>
        <v>203.2</v>
      </c>
      <c r="P45">
        <v>15</v>
      </c>
      <c r="BC45">
        <f t="shared" ref="BC45:BC64" si="12">-6.50785 + 0.98692*K45 + 0.01601*P45 + (-0.04575 * CA45)</f>
        <v>-5.3809078560000003</v>
      </c>
      <c r="BD45">
        <f t="shared" ref="BD45:BD64" si="13">0.34262 + (-0.10918 * K45) + 0.00197 * P45+ 0.0027*CA45</f>
        <v>0.30948462400000004</v>
      </c>
      <c r="CA45">
        <f t="shared" ref="CA45:CA64" si="14">IF(AND(B45&gt;95,B45&lt;=120),B45-120,0)</f>
        <v>-15</v>
      </c>
      <c r="CG45">
        <f t="shared" ref="CG45:CG64" si="15" xml:space="preserve"> 4.54097 - 0.01093*P45</f>
        <v>4.3770199999999999</v>
      </c>
      <c r="CH45">
        <f t="shared" ref="CH45:CH64" si="16">(LN(F45) - BC45) / CG45</f>
        <v>0.86165243557623683</v>
      </c>
      <c r="CL45">
        <f t="shared" ref="CL45:CL64" si="17">IF(CH45&gt;=1,5,ATANH(CH45))</f>
        <v>1.2997253384540037</v>
      </c>
      <c r="CT45">
        <f t="shared" ref="CT45:CT64" si="18">(CL45 / BD45) - 4</f>
        <v>0.19964430431284885</v>
      </c>
      <c r="CU45">
        <f>MIN(EXP(CT45),100)</f>
        <v>1.2209683877232429</v>
      </c>
      <c r="CV45">
        <v>0.57099999999999995</v>
      </c>
      <c r="CW45">
        <v>0.3</v>
      </c>
    </row>
    <row r="46" spans="1:101" x14ac:dyDescent="0.25">
      <c r="A46">
        <v>2</v>
      </c>
      <c r="B46">
        <v>145</v>
      </c>
      <c r="D46" t="str">
        <f t="shared" si="11"/>
        <v>SSComp</v>
      </c>
      <c r="F46">
        <v>0.1</v>
      </c>
      <c r="K46">
        <v>0.30480000000000002</v>
      </c>
      <c r="L46">
        <f t="shared" ref="L46:L64" si="19">K46*1000</f>
        <v>304.8</v>
      </c>
      <c r="P46">
        <v>30</v>
      </c>
      <c r="BC46">
        <f t="shared" si="12"/>
        <v>-5.7267367840000007</v>
      </c>
      <c r="BD46">
        <f t="shared" si="13"/>
        <v>0.36844193599999997</v>
      </c>
      <c r="CA46">
        <f t="shared" si="14"/>
        <v>0</v>
      </c>
      <c r="CG46">
        <f t="shared" si="15"/>
        <v>4.2130700000000001</v>
      </c>
      <c r="CH46">
        <f t="shared" si="16"/>
        <v>0.81274502702446316</v>
      </c>
      <c r="CL46">
        <f t="shared" si="17"/>
        <v>1.135063192462112</v>
      </c>
      <c r="CT46">
        <f t="shared" si="18"/>
        <v>-0.91928881716083488</v>
      </c>
      <c r="CU46">
        <f t="shared" ref="CU46:CU64" si="20">MIN(EXP(CT46),100)</f>
        <v>0.39880256179319534</v>
      </c>
      <c r="CV46">
        <v>0.57099999999999995</v>
      </c>
      <c r="CW46">
        <v>0.3</v>
      </c>
    </row>
    <row r="47" spans="1:101" x14ac:dyDescent="0.25">
      <c r="A47">
        <v>3</v>
      </c>
      <c r="B47">
        <v>165</v>
      </c>
      <c r="D47" t="str">
        <f t="shared" si="11"/>
        <v>SSComp</v>
      </c>
      <c r="F47">
        <v>0.2</v>
      </c>
      <c r="K47">
        <v>0.40639999999999998</v>
      </c>
      <c r="L47">
        <f t="shared" si="19"/>
        <v>406.4</v>
      </c>
      <c r="P47">
        <v>50</v>
      </c>
      <c r="BC47">
        <f t="shared" si="12"/>
        <v>-5.3062657120000001</v>
      </c>
      <c r="BD47">
        <f t="shared" si="13"/>
        <v>0.396749248</v>
      </c>
      <c r="CA47">
        <f t="shared" si="14"/>
        <v>0</v>
      </c>
      <c r="CG47">
        <f t="shared" si="15"/>
        <v>3.9944699999999997</v>
      </c>
      <c r="CH47">
        <f t="shared" si="16"/>
        <v>0.92548643488770721</v>
      </c>
      <c r="CL47">
        <f t="shared" si="17"/>
        <v>1.6259763586968217</v>
      </c>
      <c r="CT47">
        <f t="shared" si="18"/>
        <v>9.8246857160575018E-2</v>
      </c>
      <c r="CU47">
        <f t="shared" si="20"/>
        <v>1.1032350929790506</v>
      </c>
      <c r="CV47">
        <v>0.57099999999999995</v>
      </c>
      <c r="CW47">
        <v>0.3</v>
      </c>
    </row>
    <row r="48" spans="1:101" x14ac:dyDescent="0.25">
      <c r="A48">
        <v>4</v>
      </c>
      <c r="B48">
        <v>105</v>
      </c>
      <c r="D48" t="str">
        <f t="shared" si="11"/>
        <v>SSComp</v>
      </c>
      <c r="F48">
        <v>0.7</v>
      </c>
      <c r="K48">
        <v>0.50800000000000001</v>
      </c>
      <c r="L48">
        <f t="shared" si="19"/>
        <v>508</v>
      </c>
      <c r="P48">
        <v>100</v>
      </c>
      <c r="BC48">
        <f t="shared" si="12"/>
        <v>-3.7192446400000003</v>
      </c>
      <c r="BD48">
        <f t="shared" si="13"/>
        <v>0.44365656000000003</v>
      </c>
      <c r="CA48">
        <f t="shared" si="14"/>
        <v>-15</v>
      </c>
      <c r="CG48">
        <f t="shared" si="15"/>
        <v>3.4479699999999998</v>
      </c>
      <c r="CH48">
        <f t="shared" si="16"/>
        <v>0.97523171491088034</v>
      </c>
      <c r="CL48">
        <f t="shared" si="17"/>
        <v>2.1894384933683062</v>
      </c>
      <c r="CT48">
        <f t="shared" si="18"/>
        <v>0.93498505548595112</v>
      </c>
      <c r="CU48">
        <f t="shared" si="20"/>
        <v>2.5471753911561468</v>
      </c>
      <c r="CV48">
        <v>0.57099999999999995</v>
      </c>
      <c r="CW48">
        <v>0.3</v>
      </c>
    </row>
    <row r="49" spans="1:101" x14ac:dyDescent="0.25">
      <c r="A49">
        <v>5</v>
      </c>
      <c r="B49">
        <v>145</v>
      </c>
      <c r="D49" t="str">
        <f t="shared" si="11"/>
        <v>SSComp</v>
      </c>
      <c r="F49">
        <v>0.2</v>
      </c>
      <c r="K49">
        <v>0.60960000000000003</v>
      </c>
      <c r="L49">
        <f t="shared" si="19"/>
        <v>609.6</v>
      </c>
      <c r="P49">
        <v>15</v>
      </c>
      <c r="BC49">
        <f t="shared" si="12"/>
        <v>-5.6660735680000007</v>
      </c>
      <c r="BD49">
        <f t="shared" si="13"/>
        <v>0.30561387200000001</v>
      </c>
      <c r="CA49">
        <f t="shared" si="14"/>
        <v>0</v>
      </c>
      <c r="CG49">
        <f t="shared" si="15"/>
        <v>4.3770199999999999</v>
      </c>
      <c r="CH49">
        <f t="shared" si="16"/>
        <v>0.92680308876036677</v>
      </c>
      <c r="CL49">
        <f t="shared" si="17"/>
        <v>1.6352321269547774</v>
      </c>
      <c r="CT49">
        <f t="shared" si="18"/>
        <v>1.3506475876028867</v>
      </c>
      <c r="CU49">
        <f t="shared" si="20"/>
        <v>3.8599243606680402</v>
      </c>
      <c r="CV49">
        <v>0.57099999999999995</v>
      </c>
      <c r="CW49">
        <v>0.3</v>
      </c>
    </row>
    <row r="50" spans="1:101" x14ac:dyDescent="0.25">
      <c r="A50">
        <v>6</v>
      </c>
      <c r="B50">
        <v>165</v>
      </c>
      <c r="D50" t="str">
        <f t="shared" si="11"/>
        <v>SSComp</v>
      </c>
      <c r="F50">
        <v>0.3</v>
      </c>
      <c r="K50">
        <v>0.76200000000000001</v>
      </c>
      <c r="L50">
        <f t="shared" si="19"/>
        <v>762</v>
      </c>
      <c r="P50">
        <v>30</v>
      </c>
      <c r="BC50">
        <f t="shared" si="12"/>
        <v>-5.2755169600000009</v>
      </c>
      <c r="BD50">
        <f t="shared" si="13"/>
        <v>0.31852483999999998</v>
      </c>
      <c r="CA50">
        <f t="shared" si="14"/>
        <v>0</v>
      </c>
      <c r="CG50">
        <f t="shared" si="15"/>
        <v>4.2130700000000001</v>
      </c>
      <c r="CH50">
        <f t="shared" si="16"/>
        <v>0.96640790579650115</v>
      </c>
      <c r="CL50">
        <f t="shared" si="17"/>
        <v>2.0348365057620685</v>
      </c>
      <c r="CT50">
        <f t="shared" si="18"/>
        <v>2.38831340677251</v>
      </c>
      <c r="CU50">
        <f t="shared" si="20"/>
        <v>10.895102831591004</v>
      </c>
      <c r="CV50">
        <v>0.57099999999999995</v>
      </c>
      <c r="CW50">
        <v>0.3</v>
      </c>
    </row>
    <row r="51" spans="1:101" x14ac:dyDescent="0.25">
      <c r="A51">
        <v>7</v>
      </c>
      <c r="B51">
        <v>105</v>
      </c>
      <c r="D51" t="str">
        <f t="shared" si="11"/>
        <v>SSComp</v>
      </c>
      <c r="F51">
        <v>0.5</v>
      </c>
      <c r="K51">
        <v>0.86360000000000003</v>
      </c>
      <c r="L51">
        <f t="shared" si="19"/>
        <v>863.6</v>
      </c>
      <c r="P51">
        <v>50</v>
      </c>
      <c r="BC51">
        <f t="shared" si="12"/>
        <v>-4.1687958880000009</v>
      </c>
      <c r="BD51">
        <f t="shared" si="13"/>
        <v>0.30633215199999997</v>
      </c>
      <c r="CA51">
        <f t="shared" si="14"/>
        <v>-15</v>
      </c>
      <c r="CG51">
        <f t="shared" si="15"/>
        <v>3.9944699999999997</v>
      </c>
      <c r="CH51">
        <f t="shared" si="16"/>
        <v>0.87011511100097283</v>
      </c>
      <c r="CL51">
        <f t="shared" si="17"/>
        <v>1.3335533378406192</v>
      </c>
      <c r="CT51">
        <f t="shared" si="18"/>
        <v>0.35329210183794046</v>
      </c>
      <c r="CU51">
        <f t="shared" si="20"/>
        <v>1.4237469618042953</v>
      </c>
      <c r="CV51">
        <v>0.57099999999999995</v>
      </c>
      <c r="CW51">
        <v>0.3</v>
      </c>
    </row>
    <row r="52" spans="1:101" x14ac:dyDescent="0.25">
      <c r="A52">
        <v>8</v>
      </c>
      <c r="B52">
        <v>145</v>
      </c>
      <c r="D52" t="str">
        <f t="shared" si="11"/>
        <v>SSComp</v>
      </c>
      <c r="F52">
        <v>0.65</v>
      </c>
      <c r="K52">
        <v>1.0668</v>
      </c>
      <c r="L52">
        <f t="shared" si="19"/>
        <v>1066.8</v>
      </c>
      <c r="P52">
        <v>100</v>
      </c>
      <c r="BC52">
        <f t="shared" si="12"/>
        <v>-3.8540037440000008</v>
      </c>
      <c r="BD52">
        <f t="shared" si="13"/>
        <v>0.423146776</v>
      </c>
      <c r="CA52">
        <f t="shared" si="14"/>
        <v>0</v>
      </c>
      <c r="CG52">
        <f t="shared" si="15"/>
        <v>3.4479699999999998</v>
      </c>
      <c r="CH52">
        <f t="shared" si="16"/>
        <v>0.99282210341376143</v>
      </c>
      <c r="CL52">
        <f t="shared" si="17"/>
        <v>2.8131503349727711</v>
      </c>
      <c r="CT52">
        <f t="shared" si="18"/>
        <v>2.6481667698509677</v>
      </c>
      <c r="CU52">
        <f t="shared" si="20"/>
        <v>14.128114804444175</v>
      </c>
      <c r="CV52">
        <v>0.57099999999999995</v>
      </c>
      <c r="CW52">
        <v>0.3</v>
      </c>
    </row>
    <row r="53" spans="1:101" x14ac:dyDescent="0.25">
      <c r="A53">
        <v>9</v>
      </c>
      <c r="B53">
        <v>165</v>
      </c>
      <c r="D53" t="str">
        <f t="shared" si="11"/>
        <v>SSComp</v>
      </c>
      <c r="F53">
        <v>0.54</v>
      </c>
      <c r="K53">
        <v>0.60960000000000003</v>
      </c>
      <c r="L53">
        <f t="shared" si="19"/>
        <v>609.6</v>
      </c>
      <c r="P53">
        <v>150</v>
      </c>
      <c r="BC53">
        <f t="shared" si="12"/>
        <v>-3.5047235680000006</v>
      </c>
      <c r="BD53">
        <f t="shared" si="13"/>
        <v>0.57156387200000003</v>
      </c>
      <c r="CA53">
        <f t="shared" si="14"/>
        <v>0</v>
      </c>
      <c r="CG53">
        <f t="shared" si="15"/>
        <v>2.9014699999999998</v>
      </c>
      <c r="CH53">
        <f t="shared" si="16"/>
        <v>0.99554275197613074</v>
      </c>
      <c r="CL53">
        <f t="shared" si="17"/>
        <v>3.0520699039355779</v>
      </c>
      <c r="CT53">
        <f t="shared" si="18"/>
        <v>1.3398579816737923</v>
      </c>
      <c r="CU53">
        <f t="shared" si="20"/>
        <v>3.8185011697117019</v>
      </c>
      <c r="CV53">
        <v>0.57099999999999995</v>
      </c>
      <c r="CW53">
        <v>0.3</v>
      </c>
    </row>
    <row r="54" spans="1:101" x14ac:dyDescent="0.25">
      <c r="A54">
        <v>10</v>
      </c>
      <c r="B54">
        <v>105</v>
      </c>
      <c r="D54" t="str">
        <f t="shared" si="11"/>
        <v>SSComp</v>
      </c>
      <c r="F54">
        <v>0.5</v>
      </c>
      <c r="K54">
        <v>0.60960000000000003</v>
      </c>
      <c r="L54">
        <f t="shared" si="19"/>
        <v>609.6</v>
      </c>
      <c r="P54">
        <v>200</v>
      </c>
      <c r="BC54">
        <f t="shared" si="12"/>
        <v>-2.0179735680000004</v>
      </c>
      <c r="BD54">
        <f t="shared" si="13"/>
        <v>0.62956387200000008</v>
      </c>
      <c r="CA54">
        <f t="shared" si="14"/>
        <v>-15</v>
      </c>
      <c r="CG54">
        <f t="shared" si="15"/>
        <v>2.3549699999999998</v>
      </c>
      <c r="CH54">
        <f t="shared" si="16"/>
        <v>0.56256614200607868</v>
      </c>
      <c r="CL54">
        <f t="shared" si="17"/>
        <v>0.63657959947907028</v>
      </c>
      <c r="CT54">
        <f t="shared" si="18"/>
        <v>-2.9888562101621514</v>
      </c>
      <c r="CU54">
        <f t="shared" si="20"/>
        <v>5.034498788963291E-2</v>
      </c>
      <c r="CV54">
        <v>0.57099999999999995</v>
      </c>
      <c r="CW54">
        <v>0.3</v>
      </c>
    </row>
    <row r="55" spans="1:101" x14ac:dyDescent="0.25">
      <c r="A55">
        <v>11</v>
      </c>
      <c r="B55">
        <v>145</v>
      </c>
      <c r="D55" t="str">
        <f t="shared" si="11"/>
        <v>SSComp</v>
      </c>
      <c r="F55">
        <v>0.7</v>
      </c>
      <c r="K55">
        <v>0.20319999999999999</v>
      </c>
      <c r="L55">
        <f t="shared" si="19"/>
        <v>203.2</v>
      </c>
      <c r="P55">
        <v>15</v>
      </c>
      <c r="BC55">
        <f t="shared" si="12"/>
        <v>-6.0671578560000006</v>
      </c>
      <c r="BD55">
        <f t="shared" si="13"/>
        <v>0.34998462400000002</v>
      </c>
      <c r="CA55">
        <f t="shared" si="14"/>
        <v>0</v>
      </c>
      <c r="CG55">
        <f t="shared" si="15"/>
        <v>4.3770199999999999</v>
      </c>
      <c r="CH55">
        <f t="shared" si="16"/>
        <v>1.3046508611021352</v>
      </c>
      <c r="CL55">
        <f t="shared" si="17"/>
        <v>5</v>
      </c>
      <c r="CT55">
        <f t="shared" si="18"/>
        <v>10.286341905123237</v>
      </c>
      <c r="CU55">
        <f t="shared" si="20"/>
        <v>100</v>
      </c>
      <c r="CV55">
        <v>0.57099999999999995</v>
      </c>
      <c r="CW55">
        <v>0.3</v>
      </c>
    </row>
    <row r="56" spans="1:101" x14ac:dyDescent="0.25">
      <c r="A56">
        <v>12</v>
      </c>
      <c r="B56">
        <v>165</v>
      </c>
      <c r="D56" t="str">
        <f t="shared" si="11"/>
        <v>SSComp</v>
      </c>
      <c r="F56">
        <v>0.6</v>
      </c>
      <c r="K56">
        <v>0.30480000000000002</v>
      </c>
      <c r="L56">
        <f t="shared" si="19"/>
        <v>304.8</v>
      </c>
      <c r="P56">
        <v>30</v>
      </c>
      <c r="BC56">
        <f t="shared" si="12"/>
        <v>-5.7267367840000007</v>
      </c>
      <c r="BD56">
        <f t="shared" si="13"/>
        <v>0.36844193599999997</v>
      </c>
      <c r="CA56">
        <f t="shared" si="14"/>
        <v>0</v>
      </c>
      <c r="CG56">
        <f t="shared" si="15"/>
        <v>4.2130700000000001</v>
      </c>
      <c r="CH56">
        <f t="shared" si="16"/>
        <v>1.2380309750927494</v>
      </c>
      <c r="CL56">
        <f t="shared" si="17"/>
        <v>5</v>
      </c>
      <c r="CT56">
        <f t="shared" si="18"/>
        <v>9.570659339929211</v>
      </c>
      <c r="CU56">
        <f t="shared" si="20"/>
        <v>100</v>
      </c>
      <c r="CV56">
        <v>0.57099999999999995</v>
      </c>
      <c r="CW56">
        <v>0.3</v>
      </c>
    </row>
    <row r="57" spans="1:101" x14ac:dyDescent="0.25">
      <c r="A57">
        <v>13</v>
      </c>
      <c r="B57">
        <v>105</v>
      </c>
      <c r="D57" t="str">
        <f t="shared" si="11"/>
        <v>SSComp</v>
      </c>
      <c r="F57">
        <v>0.5</v>
      </c>
      <c r="K57">
        <v>0.40639999999999998</v>
      </c>
      <c r="L57">
        <f t="shared" si="19"/>
        <v>406.4</v>
      </c>
      <c r="P57">
        <v>50</v>
      </c>
      <c r="BC57">
        <f t="shared" si="12"/>
        <v>-4.6200157119999998</v>
      </c>
      <c r="BD57">
        <f t="shared" si="13"/>
        <v>0.35624924800000002</v>
      </c>
      <c r="CA57">
        <f t="shared" si="14"/>
        <v>-15</v>
      </c>
      <c r="CG57">
        <f t="shared" si="15"/>
        <v>3.9944699999999997</v>
      </c>
      <c r="CH57">
        <f t="shared" si="16"/>
        <v>0.98307623575594627</v>
      </c>
      <c r="CL57">
        <f t="shared" si="17"/>
        <v>2.3818428849754718</v>
      </c>
      <c r="CT57">
        <f t="shared" si="18"/>
        <v>2.6858888779337766</v>
      </c>
      <c r="CU57">
        <f t="shared" si="20"/>
        <v>14.671236524486245</v>
      </c>
      <c r="CV57">
        <v>0.57099999999999995</v>
      </c>
      <c r="CW57">
        <v>0.3</v>
      </c>
    </row>
    <row r="58" spans="1:101" x14ac:dyDescent="0.25">
      <c r="A58">
        <v>14</v>
      </c>
      <c r="B58">
        <v>145</v>
      </c>
      <c r="D58" t="str">
        <f t="shared" si="11"/>
        <v>SSComp</v>
      </c>
      <c r="F58">
        <v>0.2</v>
      </c>
      <c r="K58">
        <v>0.50800000000000001</v>
      </c>
      <c r="L58">
        <f t="shared" si="19"/>
        <v>508</v>
      </c>
      <c r="P58">
        <v>100</v>
      </c>
      <c r="BC58">
        <f t="shared" si="12"/>
        <v>-4.4054946400000006</v>
      </c>
      <c r="BD58">
        <f t="shared" si="13"/>
        <v>0.48415656000000001</v>
      </c>
      <c r="CA58">
        <f t="shared" si="14"/>
        <v>0</v>
      </c>
      <c r="CG58">
        <f t="shared" si="15"/>
        <v>3.4479699999999998</v>
      </c>
      <c r="CH58">
        <f t="shared" si="16"/>
        <v>0.81092838034144732</v>
      </c>
      <c r="CL58">
        <f t="shared" si="17"/>
        <v>1.129734513403053</v>
      </c>
      <c r="CT58">
        <f t="shared" si="18"/>
        <v>-1.6665925720327883</v>
      </c>
      <c r="CU58">
        <f t="shared" si="20"/>
        <v>0.18888959802468036</v>
      </c>
      <c r="CV58">
        <v>0.57099999999999995</v>
      </c>
      <c r="CW58">
        <v>0.3</v>
      </c>
    </row>
    <row r="59" spans="1:101" x14ac:dyDescent="0.25">
      <c r="A59">
        <v>15</v>
      </c>
      <c r="B59">
        <v>165</v>
      </c>
      <c r="D59" t="str">
        <f t="shared" si="11"/>
        <v>SSComp</v>
      </c>
      <c r="F59">
        <v>0.4</v>
      </c>
      <c r="K59">
        <v>0.60960000000000003</v>
      </c>
      <c r="L59">
        <f t="shared" si="19"/>
        <v>609.6</v>
      </c>
      <c r="P59">
        <v>15</v>
      </c>
      <c r="BC59">
        <f t="shared" si="12"/>
        <v>-5.6660735680000007</v>
      </c>
      <c r="BD59">
        <f t="shared" si="13"/>
        <v>0.30561387200000001</v>
      </c>
      <c r="CA59">
        <f t="shared" si="14"/>
        <v>0</v>
      </c>
      <c r="CG59">
        <f t="shared" si="15"/>
        <v>4.3770199999999999</v>
      </c>
      <c r="CH59">
        <f t="shared" si="16"/>
        <v>1.0851636127150084</v>
      </c>
      <c r="CL59">
        <f t="shared" si="17"/>
        <v>5</v>
      </c>
      <c r="CT59">
        <f t="shared" si="18"/>
        <v>12.360513897091685</v>
      </c>
      <c r="CU59">
        <f t="shared" si="20"/>
        <v>100</v>
      </c>
      <c r="CV59">
        <v>0.57099999999999995</v>
      </c>
      <c r="CW59">
        <v>0.3</v>
      </c>
    </row>
    <row r="60" spans="1:101" x14ac:dyDescent="0.25">
      <c r="A60">
        <v>16</v>
      </c>
      <c r="B60">
        <v>105</v>
      </c>
      <c r="D60" t="str">
        <f t="shared" si="11"/>
        <v>SSComp</v>
      </c>
      <c r="F60">
        <v>0.3</v>
      </c>
      <c r="K60">
        <v>0.76200000000000001</v>
      </c>
      <c r="L60">
        <f t="shared" si="19"/>
        <v>762</v>
      </c>
      <c r="P60">
        <v>30</v>
      </c>
      <c r="BC60">
        <f t="shared" si="12"/>
        <v>-4.5892669600000007</v>
      </c>
      <c r="BD60">
        <f t="shared" si="13"/>
        <v>0.27802484</v>
      </c>
      <c r="CA60">
        <f t="shared" si="14"/>
        <v>-15</v>
      </c>
      <c r="CG60">
        <f t="shared" si="15"/>
        <v>4.2130700000000001</v>
      </c>
      <c r="CH60">
        <f t="shared" si="16"/>
        <v>0.80352193428404106</v>
      </c>
      <c r="CL60">
        <f t="shared" si="17"/>
        <v>1.1084729310554529</v>
      </c>
      <c r="CT60">
        <f t="shared" si="18"/>
        <v>-1.3043542960215593E-2</v>
      </c>
      <c r="CU60">
        <f t="shared" si="20"/>
        <v>0.98704115539080384</v>
      </c>
      <c r="CV60">
        <v>0.57099999999999995</v>
      </c>
      <c r="CW60">
        <v>0.3</v>
      </c>
    </row>
    <row r="61" spans="1:101" x14ac:dyDescent="0.25">
      <c r="A61">
        <v>17</v>
      </c>
      <c r="B61">
        <v>145</v>
      </c>
      <c r="D61" t="str">
        <f t="shared" si="11"/>
        <v>SSComp</v>
      </c>
      <c r="F61">
        <v>0.5</v>
      </c>
      <c r="K61">
        <v>0.86360000000000003</v>
      </c>
      <c r="L61">
        <f t="shared" si="19"/>
        <v>863.6</v>
      </c>
      <c r="P61">
        <v>50</v>
      </c>
      <c r="BC61">
        <f t="shared" si="12"/>
        <v>-4.8550458880000011</v>
      </c>
      <c r="BD61">
        <f t="shared" si="13"/>
        <v>0.34683215199999995</v>
      </c>
      <c r="CA61">
        <f t="shared" si="14"/>
        <v>0</v>
      </c>
      <c r="CG61">
        <f t="shared" si="15"/>
        <v>3.9944699999999997</v>
      </c>
      <c r="CH61">
        <f t="shared" si="16"/>
        <v>1.0419151245196625</v>
      </c>
      <c r="CL61">
        <f t="shared" si="17"/>
        <v>5</v>
      </c>
      <c r="CT61">
        <f t="shared" si="18"/>
        <v>10.416195185964192</v>
      </c>
      <c r="CU61">
        <f t="shared" si="20"/>
        <v>100</v>
      </c>
      <c r="CV61">
        <v>0.57099999999999995</v>
      </c>
      <c r="CW61">
        <v>0.3</v>
      </c>
    </row>
    <row r="62" spans="1:101" x14ac:dyDescent="0.25">
      <c r="A62">
        <v>18</v>
      </c>
      <c r="B62">
        <v>165</v>
      </c>
      <c r="D62" t="str">
        <f t="shared" si="11"/>
        <v>SSComp</v>
      </c>
      <c r="F62">
        <v>0.7</v>
      </c>
      <c r="K62">
        <v>1.0668</v>
      </c>
      <c r="L62">
        <f t="shared" si="19"/>
        <v>1066.8</v>
      </c>
      <c r="P62">
        <v>100</v>
      </c>
      <c r="BC62">
        <f t="shared" si="12"/>
        <v>-3.8540037440000008</v>
      </c>
      <c r="BD62">
        <f t="shared" si="13"/>
        <v>0.423146776</v>
      </c>
      <c r="CA62">
        <f t="shared" si="14"/>
        <v>0</v>
      </c>
      <c r="CG62">
        <f t="shared" si="15"/>
        <v>3.4479699999999998</v>
      </c>
      <c r="CH62">
        <f t="shared" si="16"/>
        <v>1.0143153217868104</v>
      </c>
      <c r="CL62">
        <f t="shared" si="17"/>
        <v>5</v>
      </c>
      <c r="CT62">
        <f t="shared" si="18"/>
        <v>7.8162308768246405</v>
      </c>
      <c r="CU62">
        <f t="shared" si="20"/>
        <v>100</v>
      </c>
      <c r="CV62">
        <v>0.57099999999999995</v>
      </c>
      <c r="CW62">
        <v>0.3</v>
      </c>
    </row>
    <row r="63" spans="1:101" x14ac:dyDescent="0.25">
      <c r="A63">
        <v>19</v>
      </c>
      <c r="B63">
        <v>115</v>
      </c>
      <c r="D63" t="str">
        <f t="shared" si="11"/>
        <v>SSComp</v>
      </c>
      <c r="F63">
        <v>0.6</v>
      </c>
      <c r="K63">
        <v>0.60960000000000003</v>
      </c>
      <c r="L63">
        <f t="shared" si="19"/>
        <v>609.6</v>
      </c>
      <c r="P63">
        <v>150</v>
      </c>
      <c r="BC63">
        <f t="shared" si="12"/>
        <v>-3.2759735680000004</v>
      </c>
      <c r="BD63">
        <f t="shared" si="13"/>
        <v>0.55806387200000007</v>
      </c>
      <c r="CA63">
        <f t="shared" si="14"/>
        <v>-5</v>
      </c>
      <c r="CG63">
        <f t="shared" si="15"/>
        <v>2.9014699999999998</v>
      </c>
      <c r="CH63">
        <f t="shared" si="16"/>
        <v>0.95301621048434415</v>
      </c>
      <c r="CL63">
        <f t="shared" si="17"/>
        <v>1.8636637964233149</v>
      </c>
      <c r="CT63">
        <f t="shared" si="18"/>
        <v>-0.66048298424285967</v>
      </c>
      <c r="CU63">
        <f t="shared" si="20"/>
        <v>0.51660176371546651</v>
      </c>
      <c r="CV63">
        <v>0.57099999999999995</v>
      </c>
      <c r="CW63">
        <v>0.3</v>
      </c>
    </row>
    <row r="64" spans="1:101" x14ac:dyDescent="0.25">
      <c r="A64">
        <v>20</v>
      </c>
      <c r="B64">
        <v>135</v>
      </c>
      <c r="D64" t="str">
        <f t="shared" si="11"/>
        <v>SSComp</v>
      </c>
      <c r="F64">
        <v>1.5</v>
      </c>
      <c r="K64">
        <v>0.60960000000000003</v>
      </c>
      <c r="L64">
        <f t="shared" si="19"/>
        <v>609.6</v>
      </c>
      <c r="P64">
        <v>200</v>
      </c>
      <c r="BC64">
        <f t="shared" si="12"/>
        <v>-2.7042235680000006</v>
      </c>
      <c r="BD64">
        <f t="shared" si="13"/>
        <v>0.67006387200000006</v>
      </c>
      <c r="CA64">
        <f t="shared" si="14"/>
        <v>0</v>
      </c>
      <c r="CG64">
        <f t="shared" si="15"/>
        <v>2.3549699999999998</v>
      </c>
      <c r="CH64">
        <f t="shared" si="16"/>
        <v>1.3204791042383408</v>
      </c>
      <c r="CL64">
        <f t="shared" si="17"/>
        <v>5</v>
      </c>
      <c r="CT64">
        <f t="shared" si="18"/>
        <v>3.4619752070441425</v>
      </c>
      <c r="CU64">
        <f t="shared" si="20"/>
        <v>31.879883737745445</v>
      </c>
      <c r="CV64">
        <v>0.57099999999999995</v>
      </c>
      <c r="CW64">
        <v>0.3</v>
      </c>
    </row>
    <row r="66" spans="1:101" x14ac:dyDescent="0.25">
      <c r="F66" t="s">
        <v>58</v>
      </c>
      <c r="K66" t="s">
        <v>1</v>
      </c>
      <c r="L66" t="s">
        <v>2</v>
      </c>
      <c r="M66" t="s">
        <v>3</v>
      </c>
      <c r="N66" t="s">
        <v>4</v>
      </c>
      <c r="O66" t="s">
        <v>5</v>
      </c>
      <c r="P66" t="s">
        <v>6</v>
      </c>
      <c r="Q66" t="s">
        <v>7</v>
      </c>
      <c r="R66" t="s">
        <v>8</v>
      </c>
      <c r="S66" t="s">
        <v>9</v>
      </c>
      <c r="T66" t="s">
        <v>10</v>
      </c>
      <c r="U66" t="s">
        <v>11</v>
      </c>
      <c r="V66" t="s">
        <v>12</v>
      </c>
      <c r="Z66" t="s">
        <v>16</v>
      </c>
      <c r="AA66" t="s">
        <v>17</v>
      </c>
      <c r="AB66" t="s">
        <v>18</v>
      </c>
      <c r="AC66" t="s">
        <v>19</v>
      </c>
      <c r="AD66" t="s">
        <v>20</v>
      </c>
      <c r="AE66" t="s">
        <v>21</v>
      </c>
      <c r="AF66" t="s">
        <v>22</v>
      </c>
      <c r="AG66" t="s">
        <v>23</v>
      </c>
      <c r="AI66" t="s">
        <v>25</v>
      </c>
      <c r="AR66" t="s">
        <v>33</v>
      </c>
      <c r="AX66" t="s">
        <v>87</v>
      </c>
      <c r="AY66" t="s">
        <v>39</v>
      </c>
      <c r="BC66" t="s">
        <v>40</v>
      </c>
      <c r="BD66" t="s">
        <v>41</v>
      </c>
      <c r="BE66" t="s">
        <v>42</v>
      </c>
      <c r="BQ66" t="s">
        <v>90</v>
      </c>
      <c r="BR66" t="s">
        <v>91</v>
      </c>
      <c r="BS66" t="s">
        <v>92</v>
      </c>
      <c r="BT66" t="s">
        <v>93</v>
      </c>
      <c r="BU66" t="s">
        <v>94</v>
      </c>
      <c r="BV66" t="s">
        <v>95</v>
      </c>
      <c r="BW66" t="s">
        <v>96</v>
      </c>
      <c r="BX66" t="s">
        <v>97</v>
      </c>
      <c r="BY66" t="s">
        <v>98</v>
      </c>
      <c r="BZ66" t="s">
        <v>99</v>
      </c>
      <c r="CB66" t="s">
        <v>88</v>
      </c>
      <c r="CC66" t="s">
        <v>89</v>
      </c>
      <c r="CD66" t="s">
        <v>56</v>
      </c>
      <c r="CG66" t="s">
        <v>57</v>
      </c>
      <c r="CT66" t="s">
        <v>66</v>
      </c>
      <c r="CU66" t="s">
        <v>67</v>
      </c>
      <c r="CV66" t="s">
        <v>68</v>
      </c>
      <c r="CW66" t="s">
        <v>69</v>
      </c>
    </row>
    <row r="67" spans="1:101" x14ac:dyDescent="0.25">
      <c r="A67">
        <v>21</v>
      </c>
      <c r="B67">
        <v>15</v>
      </c>
      <c r="D67" t="str">
        <f t="shared" ref="D67:D86" si="21">IF(AND(B67&gt;=0,B67&lt;=10),"Normal",IF(AND(B67&gt;10,B67&lt;90),"SSTens",IF(AND(B67&gt;=90,B67&lt;170),"SSComp",IF(AND(B67&gt;=170,B67&lt;=180),"Reverse"))))</f>
        <v>SSTens</v>
      </c>
      <c r="F67">
        <v>0.75</v>
      </c>
      <c r="K67">
        <v>0.20319999999999999</v>
      </c>
      <c r="L67">
        <f t="shared" ref="L67:L86" si="22">K67*1000</f>
        <v>203.2</v>
      </c>
      <c r="M67">
        <v>5.5599999999999998E-3</v>
      </c>
      <c r="N67">
        <f t="shared" ref="N67:N86" si="23">M67*1000</f>
        <v>5.56</v>
      </c>
      <c r="O67">
        <f t="shared" ref="O67:O86" si="24">K67/M67</f>
        <v>36.546762589928058</v>
      </c>
      <c r="P67">
        <v>15</v>
      </c>
      <c r="Q67" t="s">
        <v>70</v>
      </c>
      <c r="R67">
        <f>IF(Q67="Grade-B",3,IF(Q67="X-42",3,IF(Q67="X-52",8,IF(Q67="X-60",8,IF(Q67="X-70",14,IF(Q67="X-80",15,8))))))</f>
        <v>8</v>
      </c>
      <c r="S67">
        <f>IF(Q67="Grade-B",8,IF(Q67="X-42",9,IF(Q67="X-52",10,IF(Q67="X-60",12,IF(Q67="X-70",15,IF(Q67="X-80",20,10))))))</f>
        <v>10</v>
      </c>
      <c r="T67">
        <f>IF(Q67="Grade-B",241,IF(Q67="X-42",290,IF(Q67="X-52",359,IF(Q67="X-60",414,IF(Q67="X-70",483,IF(Q67="X-80",552,359))))))*1000</f>
        <v>359000</v>
      </c>
      <c r="U67">
        <f>IF(Q67="Grade-B",344,IF(Q67="X-42",414,IF(Q67="X-52",455,IF(Q67="X-60",517,IF(Q67="X-70",565,IF(Q67="X-80",625,T67*1.2/1000))))))*1000</f>
        <v>455000</v>
      </c>
      <c r="V67">
        <f>U67/200000000*(1+R67/(1+S67)*(U67/T67)^S67)*100</f>
        <v>1.9969902892117808</v>
      </c>
      <c r="Z67" t="s">
        <v>78</v>
      </c>
      <c r="AA67" t="s">
        <v>79</v>
      </c>
      <c r="AB67">
        <f>IF(AA67="medium dense",18,IF(AA67="dense",18.5,IF(AA67="very dense",19,IF(AA67="soft",17.5,IF(AA67="medium stiff",18,IF(AA67="stiff",18.5,0))))))</f>
        <v>18</v>
      </c>
      <c r="AC67">
        <f>IF(AA67="medium dense",37,IF(AA67="dense",40,IF(AA67="very dense",43,0)))</f>
        <v>37</v>
      </c>
      <c r="AD67">
        <f>IF(AA67="soft",37.5,IF(AA67="medium stiff",75,IF(AA67="stiff",125,0)))</f>
        <v>0</v>
      </c>
      <c r="AE67">
        <f>IF(AA67="soft",1.1,IF(AA67="medium stiff",0.72,IF(AA67="stiff",0.4,0)))</f>
        <v>0</v>
      </c>
      <c r="AF67">
        <v>0.9</v>
      </c>
      <c r="AG67">
        <v>1</v>
      </c>
      <c r="AI67">
        <f t="shared" ref="AI67:AI86" si="25">IF(Z67="clay",AE67*AD67,IF(Z67="sand",AG67*AB67*TAN(RADIANS(AF67*AC67))))*PI()*K67</f>
        <v>7.5479720641402661</v>
      </c>
      <c r="AR67">
        <f t="shared" ref="AR67:AR86" si="26">0.00081*AI67+0.00314*LN(V67)</f>
        <v>8.2856107139974745E-3</v>
      </c>
      <c r="AX67">
        <f t="shared" ref="AX67:AX86" si="27">-0.15507+AR67*LN(O67)+0.05203*LN(P67)</f>
        <v>1.5646389426880153E-2</v>
      </c>
      <c r="AY67">
        <f t="shared" ref="AY67:AY86" si="28">IF(P67&lt;15,AX67+0.75,IF(P67&gt;50,AX67+1.5,AX67+1))</f>
        <v>1.0156463894268801</v>
      </c>
      <c r="BC67">
        <v>-2.307229</v>
      </c>
      <c r="BD67">
        <v>0.5852366</v>
      </c>
      <c r="BE67">
        <v>0.201322</v>
      </c>
      <c r="BQ67">
        <v>1.4274935</v>
      </c>
      <c r="BR67">
        <v>-7.1050000000000002E-3</v>
      </c>
      <c r="BS67">
        <v>5.1415999999999996E-3</v>
      </c>
      <c r="BT67">
        <v>-1.4290590000000001</v>
      </c>
      <c r="BU67">
        <v>4.9200300000000002E-2</v>
      </c>
      <c r="BV67">
        <v>0.14513599999999999</v>
      </c>
      <c r="BW67">
        <v>2.0170299999999999E-2</v>
      </c>
      <c r="BX67">
        <v>-1.032025</v>
      </c>
      <c r="BY67">
        <f t="shared" ref="BY67:BY86" si="29">CB67*(LN(F67)-AX67)*(BQ67+BR67*AI67+BS67*O67)</f>
        <v>-0.47373050310383741</v>
      </c>
      <c r="BZ67">
        <f t="shared" ref="BZ67:BZ86" si="30">CC67*(LN(F67)-AY67)*(BT67+BU67*AI67+BV67*P67+BW67*O67+BX67*LN(V67))</f>
        <v>0</v>
      </c>
      <c r="CB67">
        <f t="shared" ref="CB67:CB86" si="31">IF(F67&lt;EXP(AX67),1,0)</f>
        <v>1</v>
      </c>
      <c r="CC67">
        <f t="shared" ref="CC67:CC86" si="32">IF(F67&gt;EXP(AY67),1,0)</f>
        <v>0</v>
      </c>
      <c r="CD67">
        <f t="shared" ref="CD67:CD86" si="33">IF(Z67="sand",1,0)</f>
        <v>1</v>
      </c>
      <c r="CG67">
        <f t="shared" ref="CG67:CG86" si="34">BY67+BZ67</f>
        <v>-0.47373050310383741</v>
      </c>
      <c r="CT67">
        <f t="shared" ref="CT67:CT86" si="35">BC67+CG67*F67+BD67*LN(O67)+CD67*BE67*LN(AI67)</f>
        <v>-0.14957085894174343</v>
      </c>
      <c r="CU67">
        <f>MIN(EXP(CT67),40)</f>
        <v>0.86107742082312089</v>
      </c>
      <c r="CV67">
        <v>0.72299999999999998</v>
      </c>
      <c r="CW67">
        <v>0.3</v>
      </c>
    </row>
    <row r="68" spans="1:101" x14ac:dyDescent="0.25">
      <c r="A68">
        <v>22</v>
      </c>
      <c r="B68">
        <v>15</v>
      </c>
      <c r="D68" t="str">
        <f t="shared" si="21"/>
        <v>SSTens</v>
      </c>
      <c r="F68">
        <v>0.75</v>
      </c>
      <c r="K68">
        <v>0.30480000000000002</v>
      </c>
      <c r="L68">
        <f t="shared" si="22"/>
        <v>304.8</v>
      </c>
      <c r="M68">
        <v>7.1399999999999996E-3</v>
      </c>
      <c r="N68">
        <f t="shared" si="23"/>
        <v>7.14</v>
      </c>
      <c r="O68">
        <f t="shared" si="24"/>
        <v>42.689075630252105</v>
      </c>
      <c r="P68">
        <v>30</v>
      </c>
      <c r="Q68" t="s">
        <v>73</v>
      </c>
      <c r="R68">
        <f t="shared" ref="R68:R86" si="36">IF(Q68="Grade-B",3,IF(Q68="X-42",3,IF(Q68="X-52",8,IF(Q68="X-60",8,IF(Q68="X-70",14,IF(Q68="X-80",15,8))))))</f>
        <v>8</v>
      </c>
      <c r="S68">
        <f t="shared" ref="S68:S86" si="37">IF(Q68="Grade-B",8,IF(Q68="X-42",9,IF(Q68="X-52",10,IF(Q68="X-60",12,IF(Q68="X-70",15,IF(Q68="X-80",20,10))))))</f>
        <v>12</v>
      </c>
      <c r="T68">
        <f t="shared" ref="T68:T86" si="38">IF(Q68="Grade-B",241,IF(Q68="X-42",290,IF(Q68="X-52",359,IF(Q68="X-60",414,IF(Q68="X-70",483,IF(Q68="X-80",552,359))))))*1000</f>
        <v>414000</v>
      </c>
      <c r="U68">
        <f t="shared" ref="U68:U86" si="39">IF(Q68="Grade-B",344,IF(Q68="X-42",414,IF(Q68="X-52",455,IF(Q68="X-60",517,IF(Q68="X-70",565,IF(Q68="X-80",625,T68*1.2/1000))))))*1000</f>
        <v>517000</v>
      </c>
      <c r="V68">
        <f t="shared" ref="V68:V86" si="40">U68/200000000*(1+R68/(1+S68)*(U68/T68)^S68)*100</f>
        <v>2.5466769467238102</v>
      </c>
      <c r="Z68" t="s">
        <v>78</v>
      </c>
      <c r="AA68" t="s">
        <v>79</v>
      </c>
      <c r="AB68">
        <f t="shared" ref="AB68:AB86" si="41">IF(AA68="medium dense",18,IF(AA68="dense",18.5,IF(AA68="very dense",19,IF(AA68="soft",17.5,IF(AA68="medium stiff",18,IF(AA68="stiff",18.5,0))))))</f>
        <v>18</v>
      </c>
      <c r="AC68">
        <f t="shared" ref="AC68:AC86" si="42">IF(AA68="medium dense",37,IF(AA68="dense",40,IF(AA68="very dense",43,0)))</f>
        <v>37</v>
      </c>
      <c r="AD68">
        <f t="shared" ref="AD68:AD86" si="43">IF(AA68="soft",37.5,IF(AA68="medium stiff",75,IF(AA68="stiff",125,0)))</f>
        <v>0</v>
      </c>
      <c r="AE68">
        <f t="shared" ref="AE68:AE86" si="44">IF(AA68="soft",1.1,IF(AA68="medium stiff",0.72,IF(AA68="stiff",0.4,0)))</f>
        <v>0</v>
      </c>
      <c r="AF68">
        <v>0.9</v>
      </c>
      <c r="AG68">
        <v>2</v>
      </c>
      <c r="AI68">
        <f t="shared" si="25"/>
        <v>22.6439161924208</v>
      </c>
      <c r="AR68">
        <f t="shared" si="26"/>
        <v>2.1276810678546657E-2</v>
      </c>
      <c r="AX68">
        <f t="shared" si="27"/>
        <v>0.10176623528675607</v>
      </c>
      <c r="AY68">
        <f t="shared" si="28"/>
        <v>1.1017662352867561</v>
      </c>
      <c r="BC68">
        <v>-2.307229</v>
      </c>
      <c r="BD68">
        <v>0.5852366</v>
      </c>
      <c r="BE68">
        <v>0.201322</v>
      </c>
      <c r="BQ68">
        <v>1.4274935</v>
      </c>
      <c r="BR68">
        <v>-7.1050000000000002E-3</v>
      </c>
      <c r="BS68">
        <v>5.1415999999999996E-3</v>
      </c>
      <c r="BT68">
        <v>-1.4290590000000001</v>
      </c>
      <c r="BU68">
        <v>4.9200300000000002E-2</v>
      </c>
      <c r="BV68">
        <v>0.14513599999999999</v>
      </c>
      <c r="BW68">
        <v>2.0170299999999999E-2</v>
      </c>
      <c r="BX68">
        <v>-1.032025</v>
      </c>
      <c r="BY68">
        <f t="shared" si="29"/>
        <v>-0.57875859530607965</v>
      </c>
      <c r="BZ68">
        <f t="shared" si="30"/>
        <v>0</v>
      </c>
      <c r="CB68">
        <f t="shared" si="31"/>
        <v>1</v>
      </c>
      <c r="CC68">
        <f t="shared" si="32"/>
        <v>0</v>
      </c>
      <c r="CD68">
        <f t="shared" si="33"/>
        <v>1</v>
      </c>
      <c r="CG68">
        <f t="shared" si="34"/>
        <v>-0.57875859530607965</v>
      </c>
      <c r="CT68">
        <f t="shared" si="35"/>
        <v>8.374965841113402E-2</v>
      </c>
      <c r="CU68">
        <f t="shared" ref="CU68:CU86" si="45">MIN(EXP(CT68),40)</f>
        <v>1.0873566491419566</v>
      </c>
      <c r="CV68">
        <v>0.72299999999999998</v>
      </c>
      <c r="CW68">
        <v>0.3</v>
      </c>
    </row>
    <row r="69" spans="1:101" x14ac:dyDescent="0.25">
      <c r="A69">
        <v>23</v>
      </c>
      <c r="B69">
        <v>15</v>
      </c>
      <c r="D69" t="str">
        <f t="shared" si="21"/>
        <v>SSTens</v>
      </c>
      <c r="F69">
        <v>0.75</v>
      </c>
      <c r="K69">
        <v>0.40639999999999998</v>
      </c>
      <c r="L69">
        <f t="shared" si="22"/>
        <v>406.4</v>
      </c>
      <c r="M69">
        <v>9.5299999999999985E-3</v>
      </c>
      <c r="N69">
        <f t="shared" si="23"/>
        <v>9.5299999999999994</v>
      </c>
      <c r="O69">
        <f t="shared" si="24"/>
        <v>42.644281217208821</v>
      </c>
      <c r="P69">
        <v>50</v>
      </c>
      <c r="Q69" t="s">
        <v>75</v>
      </c>
      <c r="R69">
        <f t="shared" si="36"/>
        <v>14</v>
      </c>
      <c r="S69">
        <f t="shared" si="37"/>
        <v>15</v>
      </c>
      <c r="T69">
        <f t="shared" si="38"/>
        <v>483000</v>
      </c>
      <c r="U69">
        <f t="shared" si="39"/>
        <v>565000</v>
      </c>
      <c r="V69">
        <f t="shared" si="40"/>
        <v>2.8799444073326219</v>
      </c>
      <c r="Z69" t="s">
        <v>78</v>
      </c>
      <c r="AA69" t="s">
        <v>79</v>
      </c>
      <c r="AB69">
        <f t="shared" si="41"/>
        <v>18</v>
      </c>
      <c r="AC69">
        <f t="shared" si="42"/>
        <v>37</v>
      </c>
      <c r="AD69">
        <f t="shared" si="43"/>
        <v>0</v>
      </c>
      <c r="AE69">
        <f t="shared" si="44"/>
        <v>0</v>
      </c>
      <c r="AF69">
        <v>0.9</v>
      </c>
      <c r="AG69">
        <v>1</v>
      </c>
      <c r="AI69">
        <f t="shared" si="25"/>
        <v>15.095944128280532</v>
      </c>
      <c r="AR69">
        <f t="shared" si="26"/>
        <v>1.5549115655496644E-2</v>
      </c>
      <c r="AX69">
        <f t="shared" si="27"/>
        <v>0.10682672704917365</v>
      </c>
      <c r="AY69">
        <f t="shared" si="28"/>
        <v>1.1068267270491736</v>
      </c>
      <c r="BC69">
        <v>-2.307229</v>
      </c>
      <c r="BD69">
        <v>0.5852366</v>
      </c>
      <c r="BE69">
        <v>0.201322</v>
      </c>
      <c r="BQ69">
        <v>1.4274935</v>
      </c>
      <c r="BR69">
        <v>-7.1050000000000002E-3</v>
      </c>
      <c r="BS69">
        <v>5.1415999999999996E-3</v>
      </c>
      <c r="BT69">
        <v>-1.4290590000000001</v>
      </c>
      <c r="BU69">
        <v>4.9200300000000002E-2</v>
      </c>
      <c r="BV69">
        <v>0.14513599999999999</v>
      </c>
      <c r="BW69">
        <v>2.0170299999999999E-2</v>
      </c>
      <c r="BX69">
        <v>-1.032025</v>
      </c>
      <c r="BY69">
        <f t="shared" si="29"/>
        <v>-0.60734497651924468</v>
      </c>
      <c r="BZ69">
        <f t="shared" si="30"/>
        <v>0</v>
      </c>
      <c r="CB69">
        <f t="shared" si="31"/>
        <v>1</v>
      </c>
      <c r="CC69">
        <f t="shared" si="32"/>
        <v>0</v>
      </c>
      <c r="CD69">
        <f t="shared" si="33"/>
        <v>1</v>
      </c>
      <c r="CG69">
        <f t="shared" si="34"/>
        <v>-0.60734497651924468</v>
      </c>
      <c r="CT69">
        <f t="shared" si="35"/>
        <v>-1.9933595677024019E-2</v>
      </c>
      <c r="CU69">
        <f t="shared" si="45"/>
        <v>0.9802637648971958</v>
      </c>
      <c r="CV69">
        <v>0.72299999999999998</v>
      </c>
      <c r="CW69">
        <v>0.3</v>
      </c>
    </row>
    <row r="70" spans="1:101" x14ac:dyDescent="0.25">
      <c r="A70">
        <v>24</v>
      </c>
      <c r="B70">
        <v>30</v>
      </c>
      <c r="D70" t="str">
        <f t="shared" si="21"/>
        <v>SSTens</v>
      </c>
      <c r="F70">
        <v>0.75</v>
      </c>
      <c r="K70">
        <v>0.50800000000000001</v>
      </c>
      <c r="L70">
        <f t="shared" si="22"/>
        <v>508</v>
      </c>
      <c r="M70">
        <v>1.1130000000000001E-2</v>
      </c>
      <c r="N70">
        <f t="shared" si="23"/>
        <v>11.13</v>
      </c>
      <c r="O70">
        <f t="shared" si="24"/>
        <v>45.642407906558844</v>
      </c>
      <c r="P70">
        <v>100</v>
      </c>
      <c r="Q70" t="s">
        <v>77</v>
      </c>
      <c r="R70">
        <f t="shared" si="36"/>
        <v>15</v>
      </c>
      <c r="S70">
        <f t="shared" si="37"/>
        <v>20</v>
      </c>
      <c r="T70">
        <f t="shared" si="38"/>
        <v>552000</v>
      </c>
      <c r="U70">
        <f t="shared" si="39"/>
        <v>625000</v>
      </c>
      <c r="V70">
        <f t="shared" si="40"/>
        <v>2.9888368774026359</v>
      </c>
      <c r="Z70" t="s">
        <v>78</v>
      </c>
      <c r="AA70" t="s">
        <v>79</v>
      </c>
      <c r="AB70">
        <f t="shared" si="41"/>
        <v>18</v>
      </c>
      <c r="AC70">
        <f t="shared" si="42"/>
        <v>37</v>
      </c>
      <c r="AD70">
        <f t="shared" si="43"/>
        <v>0</v>
      </c>
      <c r="AE70">
        <f t="shared" si="44"/>
        <v>0</v>
      </c>
      <c r="AF70">
        <v>0.9</v>
      </c>
      <c r="AG70">
        <v>2</v>
      </c>
      <c r="AI70">
        <f t="shared" si="25"/>
        <v>37.739860320701332</v>
      </c>
      <c r="AR70">
        <f t="shared" si="26"/>
        <v>3.4007223585342139E-2</v>
      </c>
      <c r="AX70">
        <f t="shared" si="27"/>
        <v>0.21447307251904243</v>
      </c>
      <c r="AY70">
        <f t="shared" si="28"/>
        <v>1.7144730725190425</v>
      </c>
      <c r="BC70">
        <v>-2.307229</v>
      </c>
      <c r="BD70">
        <v>0.5852366</v>
      </c>
      <c r="BE70">
        <v>0.201322</v>
      </c>
      <c r="BQ70">
        <v>1.4274935</v>
      </c>
      <c r="BR70">
        <v>-7.1050000000000002E-3</v>
      </c>
      <c r="BS70">
        <v>5.1415999999999996E-3</v>
      </c>
      <c r="BT70">
        <v>-1.4290590000000001</v>
      </c>
      <c r="BU70">
        <v>4.9200300000000002E-2</v>
      </c>
      <c r="BV70">
        <v>0.14513599999999999</v>
      </c>
      <c r="BW70">
        <v>2.0170299999999999E-2</v>
      </c>
      <c r="BX70">
        <v>-1.032025</v>
      </c>
      <c r="BY70">
        <f t="shared" si="29"/>
        <v>-0.70001772829745168</v>
      </c>
      <c r="BZ70">
        <f t="shared" si="30"/>
        <v>0</v>
      </c>
      <c r="CB70">
        <f t="shared" si="31"/>
        <v>1</v>
      </c>
      <c r="CC70">
        <f t="shared" si="32"/>
        <v>0</v>
      </c>
      <c r="CD70">
        <f t="shared" si="33"/>
        <v>1</v>
      </c>
      <c r="CG70">
        <f t="shared" si="34"/>
        <v>-0.70001772829745168</v>
      </c>
      <c r="CT70">
        <f t="shared" si="35"/>
        <v>0.13479469944695044</v>
      </c>
      <c r="CU70">
        <f t="shared" si="45"/>
        <v>1.1443018344350007</v>
      </c>
      <c r="CV70">
        <v>0.72299999999999998</v>
      </c>
      <c r="CW70">
        <v>0.3</v>
      </c>
    </row>
    <row r="71" spans="1:101" x14ac:dyDescent="0.25">
      <c r="A71">
        <v>25</v>
      </c>
      <c r="B71">
        <v>30</v>
      </c>
      <c r="D71" t="str">
        <f t="shared" si="21"/>
        <v>SSTens</v>
      </c>
      <c r="F71">
        <v>2.75</v>
      </c>
      <c r="K71">
        <v>0.60960000000000003</v>
      </c>
      <c r="L71">
        <f t="shared" si="22"/>
        <v>609.6</v>
      </c>
      <c r="M71">
        <v>9.5299999999999985E-3</v>
      </c>
      <c r="N71">
        <f t="shared" si="23"/>
        <v>9.5299999999999994</v>
      </c>
      <c r="O71">
        <f t="shared" si="24"/>
        <v>63.966421825813235</v>
      </c>
      <c r="P71">
        <v>15</v>
      </c>
      <c r="Q71" t="s">
        <v>70</v>
      </c>
      <c r="R71">
        <f t="shared" si="36"/>
        <v>8</v>
      </c>
      <c r="S71">
        <f t="shared" si="37"/>
        <v>10</v>
      </c>
      <c r="T71">
        <f t="shared" si="38"/>
        <v>359000</v>
      </c>
      <c r="U71">
        <f t="shared" si="39"/>
        <v>455000</v>
      </c>
      <c r="V71">
        <f t="shared" si="40"/>
        <v>1.9969902892117808</v>
      </c>
      <c r="Z71" t="s">
        <v>78</v>
      </c>
      <c r="AA71" t="s">
        <v>80</v>
      </c>
      <c r="AB71">
        <f t="shared" si="41"/>
        <v>18.5</v>
      </c>
      <c r="AC71">
        <f t="shared" si="42"/>
        <v>40</v>
      </c>
      <c r="AD71">
        <f t="shared" si="43"/>
        <v>0</v>
      </c>
      <c r="AE71">
        <f t="shared" si="44"/>
        <v>0</v>
      </c>
      <c r="AF71">
        <v>0.9</v>
      </c>
      <c r="AG71">
        <v>1</v>
      </c>
      <c r="AI71">
        <f t="shared" si="25"/>
        <v>25.741129539100392</v>
      </c>
      <c r="AR71">
        <f t="shared" si="26"/>
        <v>2.3022068268715178E-2</v>
      </c>
      <c r="AX71">
        <f t="shared" si="27"/>
        <v>8.1563860325678486E-2</v>
      </c>
      <c r="AY71">
        <f t="shared" si="28"/>
        <v>1.0815638603256785</v>
      </c>
      <c r="BC71">
        <v>-2.307229</v>
      </c>
      <c r="BD71">
        <v>0.5852366</v>
      </c>
      <c r="BE71">
        <v>0.201322</v>
      </c>
      <c r="BQ71">
        <v>1.4274935</v>
      </c>
      <c r="BR71">
        <v>-7.1050000000000002E-3</v>
      </c>
      <c r="BS71">
        <v>5.1415999999999996E-3</v>
      </c>
      <c r="BT71">
        <v>-1.4290590000000001</v>
      </c>
      <c r="BU71">
        <v>4.9200300000000002E-2</v>
      </c>
      <c r="BV71">
        <v>0.14513599999999999</v>
      </c>
      <c r="BW71">
        <v>2.0170299999999999E-2</v>
      </c>
      <c r="BX71">
        <v>-1.032025</v>
      </c>
      <c r="BY71">
        <f t="shared" si="29"/>
        <v>0</v>
      </c>
      <c r="BZ71">
        <f t="shared" si="30"/>
        <v>0</v>
      </c>
      <c r="CB71">
        <f t="shared" si="31"/>
        <v>0</v>
      </c>
      <c r="CC71">
        <f t="shared" si="32"/>
        <v>0</v>
      </c>
      <c r="CD71">
        <f t="shared" si="33"/>
        <v>1</v>
      </c>
      <c r="CG71">
        <f t="shared" si="34"/>
        <v>0</v>
      </c>
      <c r="CT71">
        <f t="shared" si="35"/>
        <v>0.78030645715329561</v>
      </c>
      <c r="CU71">
        <f t="shared" si="45"/>
        <v>2.1821408957267043</v>
      </c>
      <c r="CV71">
        <v>0.72299999999999998</v>
      </c>
      <c r="CW71">
        <v>0.3</v>
      </c>
    </row>
    <row r="72" spans="1:101" x14ac:dyDescent="0.25">
      <c r="A72">
        <v>26</v>
      </c>
      <c r="B72">
        <v>30</v>
      </c>
      <c r="D72" t="str">
        <f t="shared" si="21"/>
        <v>SSTens</v>
      </c>
      <c r="F72">
        <v>3.5</v>
      </c>
      <c r="K72">
        <v>0.76200000000000001</v>
      </c>
      <c r="L72">
        <f t="shared" si="22"/>
        <v>762</v>
      </c>
      <c r="M72">
        <v>1.2699999999999999E-2</v>
      </c>
      <c r="N72">
        <f t="shared" si="23"/>
        <v>12.7</v>
      </c>
      <c r="O72">
        <f t="shared" si="24"/>
        <v>60</v>
      </c>
      <c r="P72">
        <v>30</v>
      </c>
      <c r="Q72" t="s">
        <v>73</v>
      </c>
      <c r="R72">
        <f t="shared" si="36"/>
        <v>8</v>
      </c>
      <c r="S72">
        <f t="shared" si="37"/>
        <v>12</v>
      </c>
      <c r="T72">
        <f t="shared" si="38"/>
        <v>414000</v>
      </c>
      <c r="U72">
        <f t="shared" si="39"/>
        <v>517000</v>
      </c>
      <c r="V72">
        <f t="shared" si="40"/>
        <v>2.5466769467238102</v>
      </c>
      <c r="Z72" t="s">
        <v>78</v>
      </c>
      <c r="AA72" t="s">
        <v>80</v>
      </c>
      <c r="AB72">
        <f t="shared" si="41"/>
        <v>18.5</v>
      </c>
      <c r="AC72">
        <f t="shared" si="42"/>
        <v>40</v>
      </c>
      <c r="AD72">
        <f t="shared" si="43"/>
        <v>0</v>
      </c>
      <c r="AE72">
        <f t="shared" si="44"/>
        <v>0</v>
      </c>
      <c r="AF72">
        <v>0.9</v>
      </c>
      <c r="AG72">
        <v>2</v>
      </c>
      <c r="AI72">
        <f t="shared" si="25"/>
        <v>64.352823847750969</v>
      </c>
      <c r="AR72">
        <f t="shared" si="26"/>
        <v>5.5061025879364095E-2</v>
      </c>
      <c r="AX72">
        <f t="shared" si="27"/>
        <v>0.24733311166742666</v>
      </c>
      <c r="AY72">
        <f t="shared" si="28"/>
        <v>1.2473331116674267</v>
      </c>
      <c r="BC72">
        <v>-2.307229</v>
      </c>
      <c r="BD72">
        <v>0.5852366</v>
      </c>
      <c r="BE72">
        <v>0.201322</v>
      </c>
      <c r="BQ72">
        <v>1.4274935</v>
      </c>
      <c r="BR72">
        <v>-7.1050000000000002E-3</v>
      </c>
      <c r="BS72">
        <v>5.1415999999999996E-3</v>
      </c>
      <c r="BT72">
        <v>-1.4290590000000001</v>
      </c>
      <c r="BU72">
        <v>4.9200300000000002E-2</v>
      </c>
      <c r="BV72">
        <v>0.14513599999999999</v>
      </c>
      <c r="BW72">
        <v>2.0170299999999999E-2</v>
      </c>
      <c r="BX72">
        <v>-1.032025</v>
      </c>
      <c r="BY72">
        <f t="shared" si="29"/>
        <v>0</v>
      </c>
      <c r="BZ72">
        <f t="shared" si="30"/>
        <v>3.440732629929924E-2</v>
      </c>
      <c r="CB72">
        <f t="shared" si="31"/>
        <v>0</v>
      </c>
      <c r="CC72">
        <f t="shared" si="32"/>
        <v>1</v>
      </c>
      <c r="CD72">
        <f t="shared" si="33"/>
        <v>1</v>
      </c>
      <c r="CG72">
        <f t="shared" si="34"/>
        <v>3.440732629929924E-2</v>
      </c>
      <c r="CT72">
        <f t="shared" si="35"/>
        <v>1.0477384074527265</v>
      </c>
      <c r="CU72">
        <f t="shared" si="45"/>
        <v>2.8511955782437828</v>
      </c>
      <c r="CV72">
        <v>0.72299999999999998</v>
      </c>
      <c r="CW72">
        <v>0.3</v>
      </c>
    </row>
    <row r="73" spans="1:101" x14ac:dyDescent="0.25">
      <c r="A73">
        <v>27</v>
      </c>
      <c r="B73">
        <v>45</v>
      </c>
      <c r="D73" t="str">
        <f t="shared" si="21"/>
        <v>SSTens</v>
      </c>
      <c r="F73">
        <v>1.5</v>
      </c>
      <c r="K73">
        <v>0.86360000000000003</v>
      </c>
      <c r="L73">
        <f t="shared" si="22"/>
        <v>863.6</v>
      </c>
      <c r="M73">
        <v>1.1130000000000001E-2</v>
      </c>
      <c r="N73">
        <f t="shared" si="23"/>
        <v>11.13</v>
      </c>
      <c r="O73">
        <f t="shared" si="24"/>
        <v>77.592093441150041</v>
      </c>
      <c r="P73">
        <v>50</v>
      </c>
      <c r="Q73" t="s">
        <v>75</v>
      </c>
      <c r="R73">
        <f t="shared" si="36"/>
        <v>14</v>
      </c>
      <c r="S73">
        <f t="shared" si="37"/>
        <v>15</v>
      </c>
      <c r="T73">
        <f t="shared" si="38"/>
        <v>483000</v>
      </c>
      <c r="U73">
        <f t="shared" si="39"/>
        <v>565000</v>
      </c>
      <c r="V73">
        <f t="shared" si="40"/>
        <v>2.8799444073326219</v>
      </c>
      <c r="Z73" t="s">
        <v>78</v>
      </c>
      <c r="AA73" t="s">
        <v>80</v>
      </c>
      <c r="AB73">
        <f t="shared" si="41"/>
        <v>18.5</v>
      </c>
      <c r="AC73">
        <f t="shared" si="42"/>
        <v>40</v>
      </c>
      <c r="AD73">
        <f t="shared" si="43"/>
        <v>0</v>
      </c>
      <c r="AE73">
        <f t="shared" si="44"/>
        <v>0</v>
      </c>
      <c r="AF73">
        <v>0.9</v>
      </c>
      <c r="AG73">
        <v>1</v>
      </c>
      <c r="AI73">
        <f t="shared" si="25"/>
        <v>36.46660018039222</v>
      </c>
      <c r="AR73">
        <f t="shared" si="26"/>
        <v>3.2859347057707114E-2</v>
      </c>
      <c r="AX73">
        <f t="shared" si="27"/>
        <v>0.19145887314252977</v>
      </c>
      <c r="AY73">
        <f t="shared" si="28"/>
        <v>1.1914588731425297</v>
      </c>
      <c r="BC73">
        <v>-2.307229</v>
      </c>
      <c r="BD73">
        <v>0.5852366</v>
      </c>
      <c r="BE73">
        <v>0.201322</v>
      </c>
      <c r="BQ73">
        <v>1.4274935</v>
      </c>
      <c r="BR73">
        <v>-7.1050000000000002E-3</v>
      </c>
      <c r="BS73">
        <v>5.1415999999999996E-3</v>
      </c>
      <c r="BT73">
        <v>-1.4290590000000001</v>
      </c>
      <c r="BU73">
        <v>4.9200300000000002E-2</v>
      </c>
      <c r="BV73">
        <v>0.14513599999999999</v>
      </c>
      <c r="BW73">
        <v>2.0170299999999999E-2</v>
      </c>
      <c r="BX73">
        <v>-1.032025</v>
      </c>
      <c r="BY73">
        <f t="shared" si="29"/>
        <v>0</v>
      </c>
      <c r="BZ73">
        <f t="shared" si="30"/>
        <v>0</v>
      </c>
      <c r="CB73">
        <f t="shared" si="31"/>
        <v>0</v>
      </c>
      <c r="CC73">
        <f t="shared" si="32"/>
        <v>0</v>
      </c>
      <c r="CD73">
        <f t="shared" si="33"/>
        <v>1</v>
      </c>
      <c r="CG73">
        <f t="shared" si="34"/>
        <v>0</v>
      </c>
      <c r="CT73">
        <f t="shared" si="35"/>
        <v>0.963441685919739</v>
      </c>
      <c r="CU73">
        <f t="shared" si="45"/>
        <v>2.6207005981990892</v>
      </c>
      <c r="CV73">
        <v>0.72299999999999998</v>
      </c>
      <c r="CW73">
        <v>0.3</v>
      </c>
    </row>
    <row r="74" spans="1:101" x14ac:dyDescent="0.25">
      <c r="A74">
        <v>28</v>
      </c>
      <c r="B74">
        <v>45</v>
      </c>
      <c r="D74" t="str">
        <f t="shared" si="21"/>
        <v>SSTens</v>
      </c>
      <c r="F74">
        <v>1.5</v>
      </c>
      <c r="K74">
        <v>1.0668</v>
      </c>
      <c r="L74">
        <f t="shared" si="22"/>
        <v>1066.8</v>
      </c>
      <c r="M74">
        <v>1.2699999999999999E-2</v>
      </c>
      <c r="N74">
        <f t="shared" si="23"/>
        <v>12.7</v>
      </c>
      <c r="O74">
        <f t="shared" si="24"/>
        <v>84</v>
      </c>
      <c r="P74">
        <v>100</v>
      </c>
      <c r="Q74" t="s">
        <v>77</v>
      </c>
      <c r="R74">
        <f t="shared" si="36"/>
        <v>15</v>
      </c>
      <c r="S74">
        <f t="shared" si="37"/>
        <v>20</v>
      </c>
      <c r="T74">
        <f t="shared" si="38"/>
        <v>552000</v>
      </c>
      <c r="U74">
        <f t="shared" si="39"/>
        <v>625000</v>
      </c>
      <c r="V74">
        <f t="shared" si="40"/>
        <v>2.9888368774026359</v>
      </c>
      <c r="Z74" t="s">
        <v>78</v>
      </c>
      <c r="AA74" t="s">
        <v>81</v>
      </c>
      <c r="AB74">
        <f t="shared" si="41"/>
        <v>19</v>
      </c>
      <c r="AC74">
        <f t="shared" si="42"/>
        <v>43</v>
      </c>
      <c r="AD74">
        <f t="shared" si="43"/>
        <v>0</v>
      </c>
      <c r="AE74">
        <f t="shared" si="44"/>
        <v>0</v>
      </c>
      <c r="AF74">
        <v>0.9</v>
      </c>
      <c r="AG74">
        <v>2</v>
      </c>
      <c r="AI74">
        <f t="shared" si="25"/>
        <v>102.03070645435936</v>
      </c>
      <c r="AR74">
        <f t="shared" si="26"/>
        <v>8.6082808953605136E-2</v>
      </c>
      <c r="AX74">
        <f t="shared" si="27"/>
        <v>0.46595416078021362</v>
      </c>
      <c r="AY74">
        <f t="shared" si="28"/>
        <v>1.9659541607802136</v>
      </c>
      <c r="BC74">
        <v>-2.307229</v>
      </c>
      <c r="BD74">
        <v>0.5852366</v>
      </c>
      <c r="BE74">
        <v>0.201322</v>
      </c>
      <c r="BQ74">
        <v>1.4274935</v>
      </c>
      <c r="BR74">
        <v>-7.1050000000000002E-3</v>
      </c>
      <c r="BS74">
        <v>5.1415999999999996E-3</v>
      </c>
      <c r="BT74">
        <v>-1.4290590000000001</v>
      </c>
      <c r="BU74">
        <v>4.9200300000000002E-2</v>
      </c>
      <c r="BV74">
        <v>0.14513599999999999</v>
      </c>
      <c r="BW74">
        <v>2.0170299999999999E-2</v>
      </c>
      <c r="BX74">
        <v>-1.032025</v>
      </c>
      <c r="BY74">
        <f t="shared" si="29"/>
        <v>-6.8622394401109219E-2</v>
      </c>
      <c r="BZ74">
        <f t="shared" si="30"/>
        <v>0</v>
      </c>
      <c r="CB74">
        <f t="shared" si="31"/>
        <v>1</v>
      </c>
      <c r="CC74">
        <f t="shared" si="32"/>
        <v>0</v>
      </c>
      <c r="CD74">
        <f t="shared" si="33"/>
        <v>1</v>
      </c>
      <c r="CG74">
        <f t="shared" si="34"/>
        <v>-6.8622394401109219E-2</v>
      </c>
      <c r="CT74">
        <f t="shared" si="35"/>
        <v>1.1140829412852633</v>
      </c>
      <c r="CU74">
        <f t="shared" si="45"/>
        <v>3.0467728280542432</v>
      </c>
      <c r="CV74">
        <v>0.72299999999999998</v>
      </c>
      <c r="CW74">
        <v>0.3</v>
      </c>
    </row>
    <row r="75" spans="1:101" x14ac:dyDescent="0.25">
      <c r="A75">
        <v>29</v>
      </c>
      <c r="B75">
        <v>45</v>
      </c>
      <c r="D75" t="str">
        <f t="shared" si="21"/>
        <v>SSTens</v>
      </c>
      <c r="F75">
        <v>1.5</v>
      </c>
      <c r="K75">
        <v>0.60960000000000003</v>
      </c>
      <c r="L75">
        <f t="shared" si="22"/>
        <v>609.6</v>
      </c>
      <c r="M75">
        <v>1.1130000000000001E-2</v>
      </c>
      <c r="N75">
        <f t="shared" si="23"/>
        <v>11.13</v>
      </c>
      <c r="O75">
        <f t="shared" si="24"/>
        <v>54.770889487870619</v>
      </c>
      <c r="P75">
        <v>150</v>
      </c>
      <c r="Q75" t="s">
        <v>100</v>
      </c>
      <c r="R75">
        <f t="shared" si="36"/>
        <v>3</v>
      </c>
      <c r="S75">
        <f t="shared" si="37"/>
        <v>9</v>
      </c>
      <c r="T75">
        <f t="shared" si="38"/>
        <v>290000</v>
      </c>
      <c r="U75">
        <f t="shared" si="39"/>
        <v>414000</v>
      </c>
      <c r="V75">
        <f t="shared" si="40"/>
        <v>1.7363704307629526</v>
      </c>
      <c r="Z75" t="s">
        <v>78</v>
      </c>
      <c r="AA75" t="s">
        <v>81</v>
      </c>
      <c r="AB75">
        <f t="shared" si="41"/>
        <v>19</v>
      </c>
      <c r="AC75">
        <f t="shared" si="42"/>
        <v>43</v>
      </c>
      <c r="AD75">
        <f t="shared" si="43"/>
        <v>0</v>
      </c>
      <c r="AE75">
        <f t="shared" si="44"/>
        <v>0</v>
      </c>
      <c r="AF75">
        <v>0.9</v>
      </c>
      <c r="AG75">
        <v>1</v>
      </c>
      <c r="AI75">
        <f t="shared" si="25"/>
        <v>29.151630415531248</v>
      </c>
      <c r="AR75">
        <f t="shared" si="26"/>
        <v>2.5345463138869703E-2</v>
      </c>
      <c r="AX75">
        <f t="shared" si="27"/>
        <v>0.20709526914689702</v>
      </c>
      <c r="AY75">
        <f t="shared" si="28"/>
        <v>1.707095269146897</v>
      </c>
      <c r="BC75">
        <v>-2.307229</v>
      </c>
      <c r="BD75">
        <v>0.5852366</v>
      </c>
      <c r="BE75">
        <v>0.201322</v>
      </c>
      <c r="BQ75">
        <v>1.4274935</v>
      </c>
      <c r="BR75">
        <v>-7.1050000000000002E-3</v>
      </c>
      <c r="BS75">
        <v>5.1415999999999996E-3</v>
      </c>
      <c r="BT75">
        <v>-1.4290590000000001</v>
      </c>
      <c r="BU75">
        <v>4.9200300000000002E-2</v>
      </c>
      <c r="BV75">
        <v>0.14513599999999999</v>
      </c>
      <c r="BW75">
        <v>2.0170299999999999E-2</v>
      </c>
      <c r="BX75">
        <v>-1.032025</v>
      </c>
      <c r="BY75">
        <f t="shared" si="29"/>
        <v>0</v>
      </c>
      <c r="BZ75">
        <f t="shared" si="30"/>
        <v>0</v>
      </c>
      <c r="CB75">
        <f t="shared" si="31"/>
        <v>0</v>
      </c>
      <c r="CC75">
        <f t="shared" si="32"/>
        <v>0</v>
      </c>
      <c r="CD75">
        <f t="shared" si="33"/>
        <v>1</v>
      </c>
      <c r="CG75">
        <f t="shared" si="34"/>
        <v>0</v>
      </c>
      <c r="CT75">
        <f t="shared" si="35"/>
        <v>0.71452669621160059</v>
      </c>
      <c r="CU75">
        <f t="shared" si="45"/>
        <v>2.0432193898872777</v>
      </c>
      <c r="CV75">
        <v>0.72299999999999998</v>
      </c>
      <c r="CW75">
        <v>0.3</v>
      </c>
    </row>
    <row r="76" spans="1:101" x14ac:dyDescent="0.25">
      <c r="A76">
        <v>30</v>
      </c>
      <c r="B76">
        <v>60</v>
      </c>
      <c r="D76" t="str">
        <f t="shared" si="21"/>
        <v>SSTens</v>
      </c>
      <c r="F76">
        <v>2.75</v>
      </c>
      <c r="K76">
        <v>0.60960000000000003</v>
      </c>
      <c r="L76">
        <f t="shared" si="22"/>
        <v>609.6</v>
      </c>
      <c r="M76">
        <v>1.1130000000000001E-2</v>
      </c>
      <c r="N76">
        <f t="shared" si="23"/>
        <v>11.13</v>
      </c>
      <c r="O76">
        <f t="shared" si="24"/>
        <v>54.770889487870619</v>
      </c>
      <c r="P76">
        <v>200</v>
      </c>
      <c r="Q76" t="s">
        <v>101</v>
      </c>
      <c r="R76">
        <f t="shared" si="36"/>
        <v>3</v>
      </c>
      <c r="S76">
        <f t="shared" si="37"/>
        <v>8</v>
      </c>
      <c r="T76">
        <f t="shared" si="38"/>
        <v>241000</v>
      </c>
      <c r="U76">
        <f t="shared" si="39"/>
        <v>344000</v>
      </c>
      <c r="V76">
        <f t="shared" si="40"/>
        <v>1.1599577949833839</v>
      </c>
      <c r="Z76" t="s">
        <v>78</v>
      </c>
      <c r="AA76" t="s">
        <v>81</v>
      </c>
      <c r="AB76">
        <f t="shared" si="41"/>
        <v>19</v>
      </c>
      <c r="AC76">
        <f t="shared" si="42"/>
        <v>43</v>
      </c>
      <c r="AD76">
        <f t="shared" si="43"/>
        <v>0</v>
      </c>
      <c r="AE76">
        <f t="shared" si="44"/>
        <v>0</v>
      </c>
      <c r="AF76">
        <v>0.9</v>
      </c>
      <c r="AG76">
        <v>2</v>
      </c>
      <c r="AI76">
        <f t="shared" si="25"/>
        <v>58.303260831062495</v>
      </c>
      <c r="AR76">
        <f t="shared" si="26"/>
        <v>4.7691565842539682E-2</v>
      </c>
      <c r="AX76">
        <f t="shared" si="27"/>
        <v>0.31151836593386051</v>
      </c>
      <c r="AY76">
        <f t="shared" si="28"/>
        <v>1.8115183659338605</v>
      </c>
      <c r="BC76">
        <v>-2.307229</v>
      </c>
      <c r="BD76">
        <v>0.5852366</v>
      </c>
      <c r="BE76">
        <v>0.201322</v>
      </c>
      <c r="BQ76">
        <v>1.4274935</v>
      </c>
      <c r="BR76">
        <v>-7.1050000000000002E-3</v>
      </c>
      <c r="BS76">
        <v>5.1415999999999996E-3</v>
      </c>
      <c r="BT76">
        <v>-1.4290590000000001</v>
      </c>
      <c r="BU76">
        <v>4.9200300000000002E-2</v>
      </c>
      <c r="BV76">
        <v>0.14513599999999999</v>
      </c>
      <c r="BW76">
        <v>2.0170299999999999E-2</v>
      </c>
      <c r="BX76">
        <v>-1.032025</v>
      </c>
      <c r="BY76">
        <f t="shared" si="29"/>
        <v>0</v>
      </c>
      <c r="BZ76">
        <f t="shared" si="30"/>
        <v>0</v>
      </c>
      <c r="CB76">
        <f t="shared" si="31"/>
        <v>0</v>
      </c>
      <c r="CC76">
        <f t="shared" si="32"/>
        <v>0</v>
      </c>
      <c r="CD76">
        <f t="shared" si="33"/>
        <v>1</v>
      </c>
      <c r="CG76">
        <f t="shared" si="34"/>
        <v>0</v>
      </c>
      <c r="CT76">
        <f t="shared" si="35"/>
        <v>0.85407247289628985</v>
      </c>
      <c r="CU76">
        <f t="shared" si="45"/>
        <v>2.3491944282446702</v>
      </c>
      <c r="CV76">
        <v>0.72299999999999998</v>
      </c>
      <c r="CW76">
        <v>0.3</v>
      </c>
    </row>
    <row r="77" spans="1:101" x14ac:dyDescent="0.25">
      <c r="A77">
        <v>31</v>
      </c>
      <c r="B77">
        <v>60</v>
      </c>
      <c r="D77" t="str">
        <f t="shared" si="21"/>
        <v>SSTens</v>
      </c>
      <c r="F77">
        <v>0.75</v>
      </c>
      <c r="K77">
        <v>0.20319999999999999</v>
      </c>
      <c r="L77">
        <f t="shared" si="22"/>
        <v>203.2</v>
      </c>
      <c r="M77">
        <v>5.5599999999999998E-3</v>
      </c>
      <c r="N77">
        <f t="shared" si="23"/>
        <v>5.56</v>
      </c>
      <c r="O77">
        <f t="shared" si="24"/>
        <v>36.546762589928058</v>
      </c>
      <c r="P77">
        <v>15</v>
      </c>
      <c r="Q77" t="s">
        <v>70</v>
      </c>
      <c r="R77">
        <f t="shared" si="36"/>
        <v>8</v>
      </c>
      <c r="S77">
        <f t="shared" si="37"/>
        <v>10</v>
      </c>
      <c r="T77">
        <f t="shared" si="38"/>
        <v>359000</v>
      </c>
      <c r="U77">
        <f t="shared" si="39"/>
        <v>455000</v>
      </c>
      <c r="V77">
        <f t="shared" si="40"/>
        <v>1.9969902892117808</v>
      </c>
      <c r="Z77" t="s">
        <v>71</v>
      </c>
      <c r="AA77" t="s">
        <v>72</v>
      </c>
      <c r="AB77">
        <f t="shared" si="41"/>
        <v>17.5</v>
      </c>
      <c r="AC77">
        <f t="shared" si="42"/>
        <v>0</v>
      </c>
      <c r="AD77">
        <f t="shared" si="43"/>
        <v>37.5</v>
      </c>
      <c r="AE77">
        <f t="shared" si="44"/>
        <v>1.1000000000000001</v>
      </c>
      <c r="AF77">
        <v>0.9</v>
      </c>
      <c r="AG77">
        <v>0</v>
      </c>
      <c r="AI77">
        <f t="shared" si="25"/>
        <v>26.332829622389642</v>
      </c>
      <c r="AR77">
        <f t="shared" si="26"/>
        <v>2.350134533617947E-2</v>
      </c>
      <c r="AX77">
        <f t="shared" si="27"/>
        <v>7.0401619555061065E-2</v>
      </c>
      <c r="AY77">
        <f t="shared" si="28"/>
        <v>1.070401619555061</v>
      </c>
      <c r="BC77">
        <v>-2.307229</v>
      </c>
      <c r="BD77">
        <v>0.5852366</v>
      </c>
      <c r="BE77">
        <v>0.201322</v>
      </c>
      <c r="BQ77">
        <v>1.4274935</v>
      </c>
      <c r="BR77">
        <v>-7.1050000000000002E-3</v>
      </c>
      <c r="BS77">
        <v>5.1415999999999996E-3</v>
      </c>
      <c r="BT77">
        <v>-1.4290590000000001</v>
      </c>
      <c r="BU77">
        <v>4.9200300000000002E-2</v>
      </c>
      <c r="BV77">
        <v>0.14513599999999999</v>
      </c>
      <c r="BW77">
        <v>2.0170299999999999E-2</v>
      </c>
      <c r="BX77">
        <v>-1.032025</v>
      </c>
      <c r="BY77">
        <f t="shared" si="29"/>
        <v>-0.51145365159113909</v>
      </c>
      <c r="BZ77">
        <f t="shared" si="30"/>
        <v>0</v>
      </c>
      <c r="CB77">
        <f t="shared" si="31"/>
        <v>1</v>
      </c>
      <c r="CC77">
        <f t="shared" si="32"/>
        <v>0</v>
      </c>
      <c r="CD77">
        <f t="shared" si="33"/>
        <v>0</v>
      </c>
      <c r="CG77">
        <f t="shared" si="34"/>
        <v>-0.51145365159113909</v>
      </c>
      <c r="CT77">
        <f t="shared" si="35"/>
        <v>-0.58479113632895929</v>
      </c>
      <c r="CU77">
        <f t="shared" si="45"/>
        <v>0.55722223314007857</v>
      </c>
      <c r="CV77">
        <v>0.72299999999999998</v>
      </c>
      <c r="CW77">
        <v>0.3</v>
      </c>
    </row>
    <row r="78" spans="1:101" x14ac:dyDescent="0.25">
      <c r="A78">
        <v>32</v>
      </c>
      <c r="B78">
        <v>60</v>
      </c>
      <c r="D78" t="str">
        <f t="shared" si="21"/>
        <v>SSTens</v>
      </c>
      <c r="F78">
        <v>0.75</v>
      </c>
      <c r="K78">
        <v>0.30480000000000002</v>
      </c>
      <c r="L78">
        <f t="shared" si="22"/>
        <v>304.8</v>
      </c>
      <c r="M78">
        <v>7.1399999999999996E-3</v>
      </c>
      <c r="N78">
        <f t="shared" si="23"/>
        <v>7.14</v>
      </c>
      <c r="O78">
        <f t="shared" si="24"/>
        <v>42.689075630252105</v>
      </c>
      <c r="P78">
        <v>30</v>
      </c>
      <c r="Q78" t="s">
        <v>73</v>
      </c>
      <c r="R78">
        <f t="shared" si="36"/>
        <v>8</v>
      </c>
      <c r="S78">
        <f t="shared" si="37"/>
        <v>12</v>
      </c>
      <c r="T78">
        <f t="shared" si="38"/>
        <v>414000</v>
      </c>
      <c r="U78">
        <f t="shared" si="39"/>
        <v>517000</v>
      </c>
      <c r="V78">
        <f t="shared" si="40"/>
        <v>2.5466769467238102</v>
      </c>
      <c r="Z78" t="s">
        <v>71</v>
      </c>
      <c r="AA78" t="s">
        <v>72</v>
      </c>
      <c r="AB78">
        <f t="shared" si="41"/>
        <v>17.5</v>
      </c>
      <c r="AC78">
        <f t="shared" si="42"/>
        <v>0</v>
      </c>
      <c r="AD78">
        <f t="shared" si="43"/>
        <v>37.5</v>
      </c>
      <c r="AE78">
        <f t="shared" si="44"/>
        <v>1.1000000000000001</v>
      </c>
      <c r="AF78">
        <v>0.9</v>
      </c>
      <c r="AG78">
        <v>0</v>
      </c>
      <c r="AI78">
        <f t="shared" si="25"/>
        <v>39.499244433584465</v>
      </c>
      <c r="AR78">
        <f t="shared" si="26"/>
        <v>3.4929626553889231E-2</v>
      </c>
      <c r="AX78">
        <f t="shared" si="27"/>
        <v>0.15301812852026347</v>
      </c>
      <c r="AY78">
        <f t="shared" si="28"/>
        <v>1.1530181285202634</v>
      </c>
      <c r="BC78">
        <v>-2.307229</v>
      </c>
      <c r="BD78">
        <v>0.5852366</v>
      </c>
      <c r="BE78">
        <v>0.201322</v>
      </c>
      <c r="BQ78">
        <v>1.4274935</v>
      </c>
      <c r="BR78">
        <v>-7.1050000000000002E-3</v>
      </c>
      <c r="BS78">
        <v>5.1415999999999996E-3</v>
      </c>
      <c r="BT78">
        <v>-1.4290590000000001</v>
      </c>
      <c r="BU78">
        <v>4.9200300000000002E-2</v>
      </c>
      <c r="BV78">
        <v>0.14513599999999999</v>
      </c>
      <c r="BW78">
        <v>2.0170299999999999E-2</v>
      </c>
      <c r="BX78">
        <v>-1.032025</v>
      </c>
      <c r="BY78">
        <f t="shared" si="29"/>
        <v>-0.60214698226649055</v>
      </c>
      <c r="BZ78">
        <f t="shared" si="30"/>
        <v>0</v>
      </c>
      <c r="CB78">
        <f t="shared" si="31"/>
        <v>1</v>
      </c>
      <c r="CC78">
        <f t="shared" si="32"/>
        <v>0</v>
      </c>
      <c r="CD78">
        <f t="shared" si="33"/>
        <v>0</v>
      </c>
      <c r="CG78">
        <f t="shared" si="34"/>
        <v>-0.60214698226649055</v>
      </c>
      <c r="CT78">
        <f t="shared" si="35"/>
        <v>-0.56189437101015471</v>
      </c>
      <c r="CU78">
        <f t="shared" si="45"/>
        <v>0.57012800624291049</v>
      </c>
      <c r="CV78">
        <v>0.72299999999999998</v>
      </c>
      <c r="CW78">
        <v>0.3</v>
      </c>
    </row>
    <row r="79" spans="1:101" x14ac:dyDescent="0.25">
      <c r="A79">
        <v>33</v>
      </c>
      <c r="B79">
        <v>75</v>
      </c>
      <c r="D79" t="str">
        <f t="shared" si="21"/>
        <v>SSTens</v>
      </c>
      <c r="F79">
        <v>0.75</v>
      </c>
      <c r="K79">
        <v>0.40639999999999998</v>
      </c>
      <c r="L79">
        <f t="shared" si="22"/>
        <v>406.4</v>
      </c>
      <c r="M79">
        <v>9.5299999999999985E-3</v>
      </c>
      <c r="N79">
        <f t="shared" si="23"/>
        <v>9.5299999999999994</v>
      </c>
      <c r="O79">
        <f t="shared" si="24"/>
        <v>42.644281217208821</v>
      </c>
      <c r="P79">
        <v>50</v>
      </c>
      <c r="Q79" t="s">
        <v>75</v>
      </c>
      <c r="R79">
        <f t="shared" si="36"/>
        <v>14</v>
      </c>
      <c r="S79">
        <f t="shared" si="37"/>
        <v>15</v>
      </c>
      <c r="T79">
        <f t="shared" si="38"/>
        <v>483000</v>
      </c>
      <c r="U79">
        <f t="shared" si="39"/>
        <v>565000</v>
      </c>
      <c r="V79">
        <f t="shared" si="40"/>
        <v>2.8799444073326219</v>
      </c>
      <c r="Z79" t="s">
        <v>71</v>
      </c>
      <c r="AA79" t="s">
        <v>72</v>
      </c>
      <c r="AB79">
        <f t="shared" si="41"/>
        <v>17.5</v>
      </c>
      <c r="AC79">
        <f t="shared" si="42"/>
        <v>0</v>
      </c>
      <c r="AD79">
        <f t="shared" si="43"/>
        <v>37.5</v>
      </c>
      <c r="AE79">
        <f t="shared" si="44"/>
        <v>1.1000000000000001</v>
      </c>
      <c r="AF79">
        <v>0.9</v>
      </c>
      <c r="AG79">
        <v>0</v>
      </c>
      <c r="AI79">
        <f t="shared" si="25"/>
        <v>52.665659244779285</v>
      </c>
      <c r="AR79">
        <f t="shared" si="26"/>
        <v>4.5980584899860635E-2</v>
      </c>
      <c r="AX79">
        <f t="shared" si="27"/>
        <v>0.22103278039106702</v>
      </c>
      <c r="AY79">
        <f t="shared" si="28"/>
        <v>1.221032780391067</v>
      </c>
      <c r="BC79">
        <v>-2.307229</v>
      </c>
      <c r="BD79">
        <v>0.5852366</v>
      </c>
      <c r="BE79">
        <v>0.201322</v>
      </c>
      <c r="BQ79">
        <v>1.4274935</v>
      </c>
      <c r="BR79">
        <v>-7.1050000000000002E-3</v>
      </c>
      <c r="BS79">
        <v>5.1415999999999996E-3</v>
      </c>
      <c r="BT79">
        <v>-1.4290590000000001</v>
      </c>
      <c r="BU79">
        <v>4.9200300000000002E-2</v>
      </c>
      <c r="BV79">
        <v>0.14513599999999999</v>
      </c>
      <c r="BW79">
        <v>2.0170299999999999E-2</v>
      </c>
      <c r="BX79">
        <v>-1.032025</v>
      </c>
      <c r="BY79">
        <f t="shared" si="29"/>
        <v>-0.6473721201748025</v>
      </c>
      <c r="BZ79">
        <f t="shared" si="30"/>
        <v>0</v>
      </c>
      <c r="CB79">
        <f t="shared" si="31"/>
        <v>1</v>
      </c>
      <c r="CC79">
        <f t="shared" si="32"/>
        <v>0</v>
      </c>
      <c r="CD79">
        <f t="shared" si="33"/>
        <v>0</v>
      </c>
      <c r="CG79">
        <f t="shared" si="34"/>
        <v>-0.6473721201748025</v>
      </c>
      <c r="CT79">
        <f t="shared" si="35"/>
        <v>-0.59642764612512122</v>
      </c>
      <c r="CU79">
        <f t="shared" si="45"/>
        <v>0.55077569153060479</v>
      </c>
      <c r="CV79">
        <v>0.72299999999999998</v>
      </c>
      <c r="CW79">
        <v>0.3</v>
      </c>
    </row>
    <row r="80" spans="1:101" x14ac:dyDescent="0.25">
      <c r="A80">
        <v>34</v>
      </c>
      <c r="B80">
        <v>75</v>
      </c>
      <c r="D80" t="str">
        <f t="shared" si="21"/>
        <v>SSTens</v>
      </c>
      <c r="F80">
        <v>0.75</v>
      </c>
      <c r="K80">
        <v>0.50800000000000001</v>
      </c>
      <c r="L80">
        <f t="shared" si="22"/>
        <v>508</v>
      </c>
      <c r="M80">
        <v>1.1130000000000001E-2</v>
      </c>
      <c r="N80">
        <f t="shared" si="23"/>
        <v>11.13</v>
      </c>
      <c r="O80">
        <f t="shared" si="24"/>
        <v>45.642407906558844</v>
      </c>
      <c r="P80">
        <v>100</v>
      </c>
      <c r="Q80" t="s">
        <v>77</v>
      </c>
      <c r="R80">
        <f t="shared" si="36"/>
        <v>15</v>
      </c>
      <c r="S80">
        <f t="shared" si="37"/>
        <v>20</v>
      </c>
      <c r="T80">
        <f t="shared" si="38"/>
        <v>552000</v>
      </c>
      <c r="U80">
        <f t="shared" si="39"/>
        <v>625000</v>
      </c>
      <c r="V80">
        <f t="shared" si="40"/>
        <v>2.9888368774026359</v>
      </c>
      <c r="Z80" t="s">
        <v>71</v>
      </c>
      <c r="AA80" t="s">
        <v>72</v>
      </c>
      <c r="AB80">
        <f t="shared" si="41"/>
        <v>17.5</v>
      </c>
      <c r="AC80">
        <f t="shared" si="42"/>
        <v>0</v>
      </c>
      <c r="AD80">
        <f t="shared" si="43"/>
        <v>37.5</v>
      </c>
      <c r="AE80">
        <f t="shared" si="44"/>
        <v>1.1000000000000001</v>
      </c>
      <c r="AF80">
        <v>0.9</v>
      </c>
      <c r="AG80">
        <v>0</v>
      </c>
      <c r="AI80">
        <f t="shared" si="25"/>
        <v>65.832074055974104</v>
      </c>
      <c r="AR80">
        <f t="shared" si="26"/>
        <v>5.6761916710913081E-2</v>
      </c>
      <c r="AX80">
        <f t="shared" si="27"/>
        <v>0.30141505236031529</v>
      </c>
      <c r="AY80">
        <f t="shared" si="28"/>
        <v>1.8014150523603152</v>
      </c>
      <c r="BC80">
        <v>-2.307229</v>
      </c>
      <c r="BD80">
        <v>0.5852366</v>
      </c>
      <c r="BE80">
        <v>0.201322</v>
      </c>
      <c r="BQ80">
        <v>1.4274935</v>
      </c>
      <c r="BR80">
        <v>-7.1050000000000002E-3</v>
      </c>
      <c r="BS80">
        <v>5.1415999999999996E-3</v>
      </c>
      <c r="BT80">
        <v>-1.4290590000000001</v>
      </c>
      <c r="BU80">
        <v>4.9200300000000002E-2</v>
      </c>
      <c r="BV80">
        <v>0.14513599999999999</v>
      </c>
      <c r="BW80">
        <v>2.0170299999999999E-2</v>
      </c>
      <c r="BX80">
        <v>-1.032025</v>
      </c>
      <c r="BY80">
        <f t="shared" si="29"/>
        <v>-0.70363623213972026</v>
      </c>
      <c r="BZ80">
        <f t="shared" si="30"/>
        <v>0</v>
      </c>
      <c r="CB80">
        <f t="shared" si="31"/>
        <v>1</v>
      </c>
      <c r="CC80">
        <f t="shared" si="32"/>
        <v>0</v>
      </c>
      <c r="CD80">
        <f t="shared" si="33"/>
        <v>0</v>
      </c>
      <c r="CG80">
        <f t="shared" si="34"/>
        <v>-0.70363623213972026</v>
      </c>
      <c r="CT80">
        <f t="shared" si="35"/>
        <v>-0.59886235386354869</v>
      </c>
      <c r="CU80">
        <f t="shared" si="45"/>
        <v>0.54943634481282166</v>
      </c>
      <c r="CV80">
        <v>0.72299999999999998</v>
      </c>
      <c r="CW80">
        <v>0.3</v>
      </c>
    </row>
    <row r="81" spans="1:114" x14ac:dyDescent="0.25">
      <c r="A81">
        <v>35</v>
      </c>
      <c r="B81">
        <v>75</v>
      </c>
      <c r="D81" t="str">
        <f t="shared" si="21"/>
        <v>SSTens</v>
      </c>
      <c r="F81">
        <v>0.75</v>
      </c>
      <c r="K81">
        <v>0.60960000000000003</v>
      </c>
      <c r="L81">
        <f t="shared" si="22"/>
        <v>609.6</v>
      </c>
      <c r="M81">
        <v>9.5299999999999985E-3</v>
      </c>
      <c r="N81">
        <f t="shared" si="23"/>
        <v>9.5299999999999994</v>
      </c>
      <c r="O81">
        <f t="shared" si="24"/>
        <v>63.966421825813235</v>
      </c>
      <c r="P81">
        <v>15</v>
      </c>
      <c r="Q81" t="s">
        <v>70</v>
      </c>
      <c r="R81">
        <f t="shared" si="36"/>
        <v>8</v>
      </c>
      <c r="S81">
        <f t="shared" si="37"/>
        <v>10</v>
      </c>
      <c r="T81">
        <f t="shared" si="38"/>
        <v>359000</v>
      </c>
      <c r="U81">
        <f t="shared" si="39"/>
        <v>455000</v>
      </c>
      <c r="V81">
        <f t="shared" si="40"/>
        <v>1.9969902892117808</v>
      </c>
      <c r="Z81" t="s">
        <v>71</v>
      </c>
      <c r="AA81" t="s">
        <v>74</v>
      </c>
      <c r="AB81">
        <f t="shared" si="41"/>
        <v>18</v>
      </c>
      <c r="AC81">
        <f t="shared" si="42"/>
        <v>0</v>
      </c>
      <c r="AD81">
        <f t="shared" si="43"/>
        <v>75</v>
      </c>
      <c r="AE81">
        <f t="shared" si="44"/>
        <v>0.72</v>
      </c>
      <c r="AF81">
        <v>0.9</v>
      </c>
      <c r="AG81">
        <v>0</v>
      </c>
      <c r="AI81">
        <f t="shared" si="25"/>
        <v>103.41620360793024</v>
      </c>
      <c r="AR81">
        <f t="shared" si="26"/>
        <v>8.5938878264467361E-2</v>
      </c>
      <c r="AX81">
        <f t="shared" si="27"/>
        <v>0.34319449854464201</v>
      </c>
      <c r="AY81">
        <f t="shared" si="28"/>
        <v>1.343194498544642</v>
      </c>
      <c r="BC81">
        <v>-2.307229</v>
      </c>
      <c r="BD81">
        <v>0.5852366</v>
      </c>
      <c r="BE81">
        <v>0.201322</v>
      </c>
      <c r="BQ81">
        <v>1.4274935</v>
      </c>
      <c r="BR81">
        <v>-7.1050000000000002E-3</v>
      </c>
      <c r="BS81">
        <v>5.1415999999999996E-3</v>
      </c>
      <c r="BT81">
        <v>-1.4290590000000001</v>
      </c>
      <c r="BU81">
        <v>4.9200300000000002E-2</v>
      </c>
      <c r="BV81">
        <v>0.14513599999999999</v>
      </c>
      <c r="BW81">
        <v>2.0170299999999999E-2</v>
      </c>
      <c r="BX81">
        <v>-1.032025</v>
      </c>
      <c r="BY81">
        <f t="shared" si="29"/>
        <v>-0.64451052521418639</v>
      </c>
      <c r="BZ81">
        <f t="shared" si="30"/>
        <v>0</v>
      </c>
      <c r="CB81">
        <f t="shared" si="31"/>
        <v>1</v>
      </c>
      <c r="CC81">
        <f t="shared" si="32"/>
        <v>0</v>
      </c>
      <c r="CD81">
        <f t="shared" si="33"/>
        <v>0</v>
      </c>
      <c r="CG81">
        <f t="shared" si="34"/>
        <v>-0.64451052521418639</v>
      </c>
      <c r="CT81">
        <f t="shared" si="35"/>
        <v>-0.35698842861680458</v>
      </c>
      <c r="CU81">
        <f t="shared" si="45"/>
        <v>0.69978059511718083</v>
      </c>
      <c r="CV81">
        <v>0.72299999999999998</v>
      </c>
      <c r="CW81">
        <v>0.3</v>
      </c>
    </row>
    <row r="82" spans="1:114" x14ac:dyDescent="0.25">
      <c r="A82">
        <v>36</v>
      </c>
      <c r="B82">
        <v>80</v>
      </c>
      <c r="D82" t="str">
        <f t="shared" si="21"/>
        <v>SSTens</v>
      </c>
      <c r="F82">
        <v>1.5</v>
      </c>
      <c r="K82">
        <v>0.76200000000000001</v>
      </c>
      <c r="L82">
        <f t="shared" si="22"/>
        <v>762</v>
      </c>
      <c r="M82">
        <v>1.2699999999999999E-2</v>
      </c>
      <c r="N82">
        <f t="shared" si="23"/>
        <v>12.7</v>
      </c>
      <c r="O82">
        <f t="shared" si="24"/>
        <v>60</v>
      </c>
      <c r="P82">
        <v>30</v>
      </c>
      <c r="Q82" t="s">
        <v>73</v>
      </c>
      <c r="R82">
        <f t="shared" si="36"/>
        <v>8</v>
      </c>
      <c r="S82">
        <f t="shared" si="37"/>
        <v>12</v>
      </c>
      <c r="T82">
        <f t="shared" si="38"/>
        <v>414000</v>
      </c>
      <c r="U82">
        <f t="shared" si="39"/>
        <v>517000</v>
      </c>
      <c r="V82">
        <f t="shared" si="40"/>
        <v>2.5466769467238102</v>
      </c>
      <c r="Z82" t="s">
        <v>71</v>
      </c>
      <c r="AA82" t="s">
        <v>74</v>
      </c>
      <c r="AB82">
        <f t="shared" si="41"/>
        <v>18</v>
      </c>
      <c r="AC82">
        <f t="shared" si="42"/>
        <v>0</v>
      </c>
      <c r="AD82">
        <f t="shared" si="43"/>
        <v>75</v>
      </c>
      <c r="AE82">
        <f t="shared" si="44"/>
        <v>0.72</v>
      </c>
      <c r="AF82">
        <v>0.9</v>
      </c>
      <c r="AG82">
        <v>0</v>
      </c>
      <c r="AI82">
        <f t="shared" si="25"/>
        <v>129.2702545099128</v>
      </c>
      <c r="AR82">
        <f t="shared" si="26"/>
        <v>0.10764414471571518</v>
      </c>
      <c r="AX82">
        <f t="shared" si="27"/>
        <v>0.46262651833971924</v>
      </c>
      <c r="AY82">
        <f t="shared" si="28"/>
        <v>1.4626265183397194</v>
      </c>
      <c r="BC82">
        <v>-2.307229</v>
      </c>
      <c r="BD82">
        <v>0.5852366</v>
      </c>
      <c r="BE82">
        <v>0.201322</v>
      </c>
      <c r="BQ82">
        <v>1.4274935</v>
      </c>
      <c r="BR82">
        <v>-7.1050000000000002E-3</v>
      </c>
      <c r="BS82">
        <v>5.1415999999999996E-3</v>
      </c>
      <c r="BT82">
        <v>-1.4290590000000001</v>
      </c>
      <c r="BU82">
        <v>4.9200300000000002E-2</v>
      </c>
      <c r="BV82">
        <v>0.14513599999999999</v>
      </c>
      <c r="BW82">
        <v>2.0170299999999999E-2</v>
      </c>
      <c r="BX82">
        <v>-1.032025</v>
      </c>
      <c r="BY82">
        <f t="shared" si="29"/>
        <v>-4.6730844270599627E-2</v>
      </c>
      <c r="BZ82">
        <f t="shared" si="30"/>
        <v>0</v>
      </c>
      <c r="CB82">
        <f t="shared" si="31"/>
        <v>1</v>
      </c>
      <c r="CC82">
        <f t="shared" si="32"/>
        <v>0</v>
      </c>
      <c r="CD82">
        <f t="shared" si="33"/>
        <v>0</v>
      </c>
      <c r="CG82">
        <f t="shared" si="34"/>
        <v>-4.6730844270599627E-2</v>
      </c>
      <c r="CT82">
        <f t="shared" si="35"/>
        <v>1.8835024417450885E-2</v>
      </c>
      <c r="CU82">
        <f t="shared" si="45"/>
        <v>1.0190135223999457</v>
      </c>
      <c r="CV82">
        <v>0.72299999999999998</v>
      </c>
      <c r="CW82">
        <v>0.3</v>
      </c>
    </row>
    <row r="83" spans="1:114" x14ac:dyDescent="0.25">
      <c r="A83">
        <v>37</v>
      </c>
      <c r="B83">
        <v>80</v>
      </c>
      <c r="D83" t="str">
        <f t="shared" si="21"/>
        <v>SSTens</v>
      </c>
      <c r="F83">
        <v>1.5</v>
      </c>
      <c r="K83">
        <v>0.86360000000000003</v>
      </c>
      <c r="L83">
        <f t="shared" si="22"/>
        <v>863.6</v>
      </c>
      <c r="M83">
        <v>1.1130000000000001E-2</v>
      </c>
      <c r="N83">
        <f t="shared" si="23"/>
        <v>11.13</v>
      </c>
      <c r="O83">
        <f t="shared" si="24"/>
        <v>77.592093441150041</v>
      </c>
      <c r="P83">
        <v>50</v>
      </c>
      <c r="Q83" t="s">
        <v>75</v>
      </c>
      <c r="R83">
        <f t="shared" si="36"/>
        <v>14</v>
      </c>
      <c r="S83">
        <f t="shared" si="37"/>
        <v>15</v>
      </c>
      <c r="T83">
        <f t="shared" si="38"/>
        <v>483000</v>
      </c>
      <c r="U83">
        <f t="shared" si="39"/>
        <v>565000</v>
      </c>
      <c r="V83">
        <f t="shared" si="40"/>
        <v>2.8799444073326219</v>
      </c>
      <c r="Z83" t="s">
        <v>71</v>
      </c>
      <c r="AA83" t="s">
        <v>74</v>
      </c>
      <c r="AB83">
        <f t="shared" si="41"/>
        <v>18</v>
      </c>
      <c r="AC83">
        <f t="shared" si="42"/>
        <v>0</v>
      </c>
      <c r="AD83">
        <f t="shared" si="43"/>
        <v>75</v>
      </c>
      <c r="AE83">
        <f t="shared" si="44"/>
        <v>0.72</v>
      </c>
      <c r="AF83">
        <v>0.9</v>
      </c>
      <c r="AG83">
        <v>0</v>
      </c>
      <c r="AI83">
        <f t="shared" si="25"/>
        <v>146.50628844456784</v>
      </c>
      <c r="AR83">
        <f t="shared" si="26"/>
        <v>0.12199149455168937</v>
      </c>
      <c r="AX83">
        <f t="shared" si="27"/>
        <v>0.57931434087634726</v>
      </c>
      <c r="AY83">
        <f t="shared" si="28"/>
        <v>1.5793143408763473</v>
      </c>
      <c r="BC83">
        <v>-2.307229</v>
      </c>
      <c r="BD83">
        <v>0.5852366</v>
      </c>
      <c r="BE83">
        <v>0.201322</v>
      </c>
      <c r="BQ83">
        <v>1.4274935</v>
      </c>
      <c r="BR83">
        <v>-7.1050000000000002E-3</v>
      </c>
      <c r="BS83">
        <v>5.1415999999999996E-3</v>
      </c>
      <c r="BT83">
        <v>-1.4290590000000001</v>
      </c>
      <c r="BU83">
        <v>4.9200300000000002E-2</v>
      </c>
      <c r="BV83">
        <v>0.14513599999999999</v>
      </c>
      <c r="BW83">
        <v>2.0170299999999999E-2</v>
      </c>
      <c r="BX83">
        <v>-1.032025</v>
      </c>
      <c r="BY83">
        <f t="shared" si="29"/>
        <v>-0.13656097636803749</v>
      </c>
      <c r="BZ83">
        <f t="shared" si="30"/>
        <v>0</v>
      </c>
      <c r="CB83">
        <f t="shared" si="31"/>
        <v>1</v>
      </c>
      <c r="CC83">
        <f t="shared" si="32"/>
        <v>0</v>
      </c>
      <c r="CD83">
        <f t="shared" si="33"/>
        <v>0</v>
      </c>
      <c r="CG83">
        <f t="shared" si="34"/>
        <v>-0.13656097636803749</v>
      </c>
      <c r="CT83">
        <f t="shared" si="35"/>
        <v>3.4566429204756499E-2</v>
      </c>
      <c r="CU83">
        <f t="shared" si="45"/>
        <v>1.0351707916646211</v>
      </c>
      <c r="CV83">
        <v>0.72299999999999998</v>
      </c>
      <c r="CW83">
        <v>0.3</v>
      </c>
    </row>
    <row r="84" spans="1:114" x14ac:dyDescent="0.25">
      <c r="A84">
        <v>38</v>
      </c>
      <c r="B84">
        <v>85</v>
      </c>
      <c r="D84" t="str">
        <f t="shared" si="21"/>
        <v>SSTens</v>
      </c>
      <c r="F84">
        <v>1.5</v>
      </c>
      <c r="K84">
        <v>1.0668</v>
      </c>
      <c r="L84">
        <f t="shared" si="22"/>
        <v>1066.8</v>
      </c>
      <c r="M84">
        <v>1.2699999999999999E-2</v>
      </c>
      <c r="N84">
        <f t="shared" si="23"/>
        <v>12.7</v>
      </c>
      <c r="O84">
        <f t="shared" si="24"/>
        <v>84</v>
      </c>
      <c r="P84">
        <v>100</v>
      </c>
      <c r="Q84" t="s">
        <v>77</v>
      </c>
      <c r="R84">
        <f t="shared" si="36"/>
        <v>15</v>
      </c>
      <c r="S84">
        <f t="shared" si="37"/>
        <v>20</v>
      </c>
      <c r="T84">
        <f t="shared" si="38"/>
        <v>552000</v>
      </c>
      <c r="U84">
        <f t="shared" si="39"/>
        <v>625000</v>
      </c>
      <c r="V84">
        <f t="shared" si="40"/>
        <v>2.9888368774026359</v>
      </c>
      <c r="Z84" t="s">
        <v>71</v>
      </c>
      <c r="AA84" t="s">
        <v>76</v>
      </c>
      <c r="AB84">
        <f t="shared" si="41"/>
        <v>18.5</v>
      </c>
      <c r="AC84">
        <f t="shared" si="42"/>
        <v>0</v>
      </c>
      <c r="AD84">
        <f t="shared" si="43"/>
        <v>125</v>
      </c>
      <c r="AE84">
        <f t="shared" si="44"/>
        <v>0.4</v>
      </c>
      <c r="AF84">
        <v>0.9</v>
      </c>
      <c r="AG84">
        <v>0</v>
      </c>
      <c r="AI84">
        <f t="shared" si="25"/>
        <v>167.57255214247957</v>
      </c>
      <c r="AR84">
        <f t="shared" si="26"/>
        <v>0.13917170396098252</v>
      </c>
      <c r="AX84">
        <f t="shared" si="27"/>
        <v>0.70118132861093019</v>
      </c>
      <c r="AY84">
        <f t="shared" si="28"/>
        <v>2.2011813286109301</v>
      </c>
      <c r="BC84">
        <v>-2.307229</v>
      </c>
      <c r="BD84">
        <v>0.5852366</v>
      </c>
      <c r="BE84">
        <v>0.201322</v>
      </c>
      <c r="BQ84">
        <v>1.4274935</v>
      </c>
      <c r="BR84">
        <v>-7.1050000000000002E-3</v>
      </c>
      <c r="BS84">
        <v>5.1415999999999996E-3</v>
      </c>
      <c r="BT84">
        <v>-1.4290590000000001</v>
      </c>
      <c r="BU84">
        <v>4.9200300000000002E-2</v>
      </c>
      <c r="BV84">
        <v>0.14513599999999999</v>
      </c>
      <c r="BW84">
        <v>2.0170299999999999E-2</v>
      </c>
      <c r="BX84">
        <v>-1.032025</v>
      </c>
      <c r="BY84">
        <f t="shared" si="29"/>
        <v>-0.19777054799268215</v>
      </c>
      <c r="BZ84">
        <f t="shared" si="30"/>
        <v>0</v>
      </c>
      <c r="CB84">
        <f t="shared" si="31"/>
        <v>1</v>
      </c>
      <c r="CC84">
        <f t="shared" si="32"/>
        <v>0</v>
      </c>
      <c r="CD84">
        <f t="shared" si="33"/>
        <v>0</v>
      </c>
      <c r="CG84">
        <f t="shared" si="34"/>
        <v>-0.19777054799268215</v>
      </c>
      <c r="CT84">
        <f t="shared" si="35"/>
        <v>-1.0808663411078889E-2</v>
      </c>
      <c r="CU84">
        <f t="shared" si="45"/>
        <v>0.98924954030109691</v>
      </c>
      <c r="CV84">
        <v>0.72299999999999998</v>
      </c>
      <c r="CW84">
        <v>0.3</v>
      </c>
    </row>
    <row r="85" spans="1:114" x14ac:dyDescent="0.25">
      <c r="A85">
        <v>39</v>
      </c>
      <c r="B85">
        <v>85</v>
      </c>
      <c r="D85" t="str">
        <f t="shared" si="21"/>
        <v>SSTens</v>
      </c>
      <c r="F85">
        <v>7.5</v>
      </c>
      <c r="K85">
        <v>0.60960000000000003</v>
      </c>
      <c r="L85">
        <f t="shared" si="22"/>
        <v>609.6</v>
      </c>
      <c r="M85">
        <v>1.1130000000000001E-2</v>
      </c>
      <c r="N85">
        <f t="shared" si="23"/>
        <v>11.13</v>
      </c>
      <c r="O85">
        <f t="shared" si="24"/>
        <v>54.770889487870619</v>
      </c>
      <c r="P85">
        <v>150</v>
      </c>
      <c r="Q85" t="s">
        <v>100</v>
      </c>
      <c r="R85">
        <f t="shared" si="36"/>
        <v>3</v>
      </c>
      <c r="S85">
        <f t="shared" si="37"/>
        <v>9</v>
      </c>
      <c r="T85">
        <f t="shared" si="38"/>
        <v>290000</v>
      </c>
      <c r="U85">
        <f t="shared" si="39"/>
        <v>414000</v>
      </c>
      <c r="V85">
        <f t="shared" si="40"/>
        <v>1.7363704307629526</v>
      </c>
      <c r="Z85" t="s">
        <v>71</v>
      </c>
      <c r="AA85" t="s">
        <v>76</v>
      </c>
      <c r="AB85">
        <f t="shared" si="41"/>
        <v>18.5</v>
      </c>
      <c r="AC85">
        <f t="shared" si="42"/>
        <v>0</v>
      </c>
      <c r="AD85">
        <f t="shared" si="43"/>
        <v>125</v>
      </c>
      <c r="AE85">
        <f t="shared" si="44"/>
        <v>0.4</v>
      </c>
      <c r="AF85">
        <v>0.9</v>
      </c>
      <c r="AG85">
        <v>0</v>
      </c>
      <c r="AI85">
        <f t="shared" si="25"/>
        <v>95.755744081416907</v>
      </c>
      <c r="AR85">
        <f t="shared" si="26"/>
        <v>7.9294795208237082E-2</v>
      </c>
      <c r="AX85">
        <f t="shared" si="27"/>
        <v>0.42306301468311602</v>
      </c>
      <c r="AY85">
        <f t="shared" si="28"/>
        <v>1.923063014683116</v>
      </c>
      <c r="BC85">
        <v>-2.307229</v>
      </c>
      <c r="BD85">
        <v>0.5852366</v>
      </c>
      <c r="BE85">
        <v>0.201322</v>
      </c>
      <c r="BQ85">
        <v>1.4274935</v>
      </c>
      <c r="BR85">
        <v>-7.1050000000000002E-3</v>
      </c>
      <c r="BS85">
        <v>5.1415999999999996E-3</v>
      </c>
      <c r="BT85">
        <v>-1.4290590000000001</v>
      </c>
      <c r="BU85">
        <v>4.9200300000000002E-2</v>
      </c>
      <c r="BV85">
        <v>0.14513599999999999</v>
      </c>
      <c r="BW85">
        <v>2.0170299999999999E-2</v>
      </c>
      <c r="BX85">
        <v>-1.032025</v>
      </c>
      <c r="BY85">
        <f t="shared" si="29"/>
        <v>0</v>
      </c>
      <c r="BZ85">
        <f t="shared" si="30"/>
        <v>2.3499863959925666</v>
      </c>
      <c r="CB85">
        <f t="shared" si="31"/>
        <v>0</v>
      </c>
      <c r="CC85">
        <f t="shared" si="32"/>
        <v>1</v>
      </c>
      <c r="CD85">
        <f t="shared" si="33"/>
        <v>0</v>
      </c>
      <c r="CG85">
        <f t="shared" si="34"/>
        <v>2.3499863959925666</v>
      </c>
      <c r="CT85">
        <f t="shared" si="35"/>
        <v>17.660464038190291</v>
      </c>
      <c r="CU85">
        <f t="shared" si="45"/>
        <v>40</v>
      </c>
      <c r="CV85">
        <v>0.72299999999999998</v>
      </c>
      <c r="CW85">
        <v>0.3</v>
      </c>
    </row>
    <row r="86" spans="1:114" x14ac:dyDescent="0.25">
      <c r="A86">
        <v>40</v>
      </c>
      <c r="B86">
        <v>85</v>
      </c>
      <c r="D86" t="str">
        <f t="shared" si="21"/>
        <v>SSTens</v>
      </c>
      <c r="F86">
        <v>3.5</v>
      </c>
      <c r="K86">
        <v>0.60960000000000003</v>
      </c>
      <c r="L86">
        <f t="shared" si="22"/>
        <v>609.6</v>
      </c>
      <c r="M86">
        <v>1.1130000000000001E-2</v>
      </c>
      <c r="N86">
        <f t="shared" si="23"/>
        <v>11.13</v>
      </c>
      <c r="O86">
        <f t="shared" si="24"/>
        <v>54.770889487870619</v>
      </c>
      <c r="P86">
        <v>200</v>
      </c>
      <c r="Q86" t="s">
        <v>101</v>
      </c>
      <c r="R86">
        <f t="shared" si="36"/>
        <v>3</v>
      </c>
      <c r="S86">
        <f t="shared" si="37"/>
        <v>8</v>
      </c>
      <c r="T86">
        <f t="shared" si="38"/>
        <v>241000</v>
      </c>
      <c r="U86">
        <f t="shared" si="39"/>
        <v>344000</v>
      </c>
      <c r="V86">
        <f t="shared" si="40"/>
        <v>1.1599577949833839</v>
      </c>
      <c r="Z86" t="s">
        <v>71</v>
      </c>
      <c r="AA86" t="s">
        <v>76</v>
      </c>
      <c r="AB86">
        <f t="shared" si="41"/>
        <v>18.5</v>
      </c>
      <c r="AC86">
        <f t="shared" si="42"/>
        <v>0</v>
      </c>
      <c r="AD86">
        <f t="shared" si="43"/>
        <v>125</v>
      </c>
      <c r="AE86">
        <f t="shared" si="44"/>
        <v>0.4</v>
      </c>
      <c r="AF86">
        <v>0.9</v>
      </c>
      <c r="AG86">
        <v>0</v>
      </c>
      <c r="AI86">
        <f t="shared" si="25"/>
        <v>95.755744081416907</v>
      </c>
      <c r="AR86">
        <f t="shared" si="26"/>
        <v>7.8028077275326749E-2</v>
      </c>
      <c r="AX86">
        <f t="shared" si="27"/>
        <v>0.43296023982302467</v>
      </c>
      <c r="AY86">
        <f t="shared" si="28"/>
        <v>1.9329602398230246</v>
      </c>
      <c r="BC86">
        <v>-2.307229</v>
      </c>
      <c r="BD86">
        <v>0.5852366</v>
      </c>
      <c r="BE86">
        <v>0.201322</v>
      </c>
      <c r="BQ86">
        <v>1.4274935</v>
      </c>
      <c r="BR86">
        <v>-7.1050000000000002E-3</v>
      </c>
      <c r="BS86">
        <v>5.1415999999999996E-3</v>
      </c>
      <c r="BT86">
        <v>-1.4290590000000001</v>
      </c>
      <c r="BU86">
        <v>4.9200300000000002E-2</v>
      </c>
      <c r="BV86">
        <v>0.14513599999999999</v>
      </c>
      <c r="BW86">
        <v>2.0170299999999999E-2</v>
      </c>
      <c r="BX86">
        <v>-1.032025</v>
      </c>
      <c r="BY86">
        <f t="shared" si="29"/>
        <v>0</v>
      </c>
      <c r="BZ86">
        <f t="shared" si="30"/>
        <v>0</v>
      </c>
      <c r="CB86">
        <f t="shared" si="31"/>
        <v>0</v>
      </c>
      <c r="CC86">
        <f t="shared" si="32"/>
        <v>0</v>
      </c>
      <c r="CD86">
        <f t="shared" si="33"/>
        <v>0</v>
      </c>
      <c r="CG86">
        <f t="shared" si="34"/>
        <v>0</v>
      </c>
      <c r="CT86">
        <f t="shared" si="35"/>
        <v>3.5566068246042359E-2</v>
      </c>
      <c r="CU86">
        <f t="shared" si="45"/>
        <v>1.0362061061865622</v>
      </c>
      <c r="CV86">
        <v>0.72299999999999998</v>
      </c>
      <c r="CW86">
        <v>0.3</v>
      </c>
    </row>
    <row r="88" spans="1:114" x14ac:dyDescent="0.25">
      <c r="F88" t="s">
        <v>58</v>
      </c>
      <c r="K88" t="s">
        <v>1</v>
      </c>
      <c r="L88" t="s">
        <v>2</v>
      </c>
      <c r="M88" t="s">
        <v>3</v>
      </c>
      <c r="N88" t="s">
        <v>4</v>
      </c>
      <c r="O88" t="s">
        <v>5</v>
      </c>
      <c r="P88" t="s">
        <v>6</v>
      </c>
      <c r="Y88" t="s">
        <v>15</v>
      </c>
      <c r="Z88" t="s">
        <v>16</v>
      </c>
      <c r="AA88" t="s">
        <v>17</v>
      </c>
      <c r="AB88" t="s">
        <v>18</v>
      </c>
      <c r="AC88" t="s">
        <v>19</v>
      </c>
      <c r="AD88" t="s">
        <v>20</v>
      </c>
      <c r="AE88" t="s">
        <v>21</v>
      </c>
      <c r="AF88" t="s">
        <v>22</v>
      </c>
      <c r="AG88" t="s">
        <v>23</v>
      </c>
      <c r="AI88" t="s">
        <v>25</v>
      </c>
      <c r="AO88" t="s">
        <v>31</v>
      </c>
      <c r="AZ88" t="s">
        <v>102</v>
      </c>
      <c r="BA88" t="s">
        <v>103</v>
      </c>
      <c r="BB88" t="s">
        <v>104</v>
      </c>
      <c r="BC88" t="s">
        <v>40</v>
      </c>
      <c r="BD88" t="s">
        <v>41</v>
      </c>
      <c r="BE88" t="s">
        <v>42</v>
      </c>
      <c r="BF88" t="s">
        <v>43</v>
      </c>
      <c r="CG88" t="s">
        <v>57</v>
      </c>
      <c r="CI88" t="s">
        <v>59</v>
      </c>
      <c r="CJ88" t="s">
        <v>105</v>
      </c>
      <c r="CK88" t="s">
        <v>106</v>
      </c>
      <c r="CL88" t="s">
        <v>86</v>
      </c>
      <c r="CM88" t="s">
        <v>107</v>
      </c>
      <c r="CT88" t="s">
        <v>66</v>
      </c>
      <c r="CU88" t="s">
        <v>67</v>
      </c>
      <c r="CV88" t="s">
        <v>68</v>
      </c>
      <c r="CW88" t="s">
        <v>69</v>
      </c>
    </row>
    <row r="89" spans="1:114" x14ac:dyDescent="0.25">
      <c r="A89">
        <v>41</v>
      </c>
      <c r="B89">
        <v>170</v>
      </c>
      <c r="D89" t="str">
        <f t="shared" ref="D89:D108" si="46">IF(AND(B89&gt;=0,B89&lt;=10),"Normal",IF(AND(B89&gt;10,B89&lt;90),"SSTens",IF(AND(B89&gt;=90,B89&lt;170),"SSComp",IF(AND(B89&gt;=170,B89&lt;=180),"Reverse"))))</f>
        <v>Reverse</v>
      </c>
      <c r="F89">
        <v>0.1</v>
      </c>
      <c r="K89">
        <v>0.20319999999999999</v>
      </c>
      <c r="L89">
        <f>K89*1000</f>
        <v>203.2</v>
      </c>
      <c r="M89">
        <v>1.11252E-2</v>
      </c>
      <c r="N89">
        <f>M89*1000</f>
        <v>11.1252</v>
      </c>
      <c r="O89">
        <f>K89/M89</f>
        <v>18.264840182648403</v>
      </c>
      <c r="P89">
        <v>30</v>
      </c>
      <c r="Y89">
        <v>75</v>
      </c>
      <c r="Z89" t="s">
        <v>78</v>
      </c>
      <c r="AA89" t="s">
        <v>79</v>
      </c>
      <c r="AB89">
        <f t="shared" ref="AB89:AB108" si="47">IF(AA89="medium dense",18,IF(AA89="dense",18.5,IF(AA89="very dense",19,IF(AA89="soft",17.5,IF(AA89="medium stiff",18,IF(AA89="stiff",18.5,0))))))</f>
        <v>18</v>
      </c>
      <c r="AC89">
        <f t="shared" ref="AC89:AC108" si="48">IF(AA89="medium dense",37,IF(AA89="dense",40,IF(AA89="very dense",43,0)))</f>
        <v>37</v>
      </c>
      <c r="AD89">
        <f t="shared" ref="AD89:AD108" si="49">IF(AA89="soft",37.5,IF(AA89="medium stiff",75,IF(AA89="stiff",125,0)))</f>
        <v>0</v>
      </c>
      <c r="AE89">
        <f t="shared" ref="AE89:AE108" si="50">IF(AA89="soft",1.1,IF(AA89="medium stiff",0.72,IF(AA89="stiff",0.4,0)))</f>
        <v>0</v>
      </c>
      <c r="AF89">
        <v>0.9</v>
      </c>
      <c r="AG89">
        <v>1</v>
      </c>
      <c r="AI89">
        <f t="shared" ref="AI89:AI108" si="51">IF(Z89="sand", PI() * K89 * AG89*AB89 * TAN(RADIANS(AF89*AC89)), PI() * K89 * AE89 * AD89)</f>
        <v>7.5479720641402661</v>
      </c>
      <c r="AO89">
        <f t="shared" ref="AO89:AO108" si="52">LN(AI89)</f>
        <v>2.0212789264051603</v>
      </c>
      <c r="AZ89">
        <f t="shared" ref="AZ89:AZ108" si="53">IF(AND(Y89&lt;=90,Y89&gt;60),60-Y89,0)</f>
        <v>-15</v>
      </c>
      <c r="BA89">
        <f t="shared" ref="BA89:BA108" si="54">IF(K89&lt;0.5,1,0)</f>
        <v>1</v>
      </c>
      <c r="BB89">
        <f t="shared" ref="BB89:BB108" si="55">LN(O89)</f>
        <v>2.9049779102855271</v>
      </c>
      <c r="BC89">
        <f t="shared" ref="BC89:BC108" si="56">-4.11127 + 0.6064 * K89 + 0.002805 * P89 + 0.038944*AZ89</f>
        <v>-4.4880595200000002</v>
      </c>
      <c r="BD89">
        <f t="shared" ref="BD89:BD108" si="57">0.42882 + 0.09845 * K89 + 0.0006 * P89 + 0.01203*AZ89</f>
        <v>0.28637503999999997</v>
      </c>
      <c r="BE89">
        <f t="shared" ref="BE89:BE108" si="58">2.64335 + (-0.36353*K89) + 0.00086 * P89 + (-0.05422*AZ89)</f>
        <v>3.4085807039999998</v>
      </c>
      <c r="BF89">
        <f t="shared" ref="BF89:BF108" si="59">-4.57877 + (-0.04142 * (BB89*BB89)) + (0.9346 * BB89) + (0.4714 * AO89) + (0.00007*(180-Y89)) + (-5.2467 * BA89 * (K89-0.5)) + (-0.28986 * (1-BA89))</f>
        <v>0.30408470123424092</v>
      </c>
      <c r="CG89">
        <f t="shared" ref="CG89:CG108" si="60">2.29445 + (-0.04675*K89) + (-0.00104 * P89) + (-0.09201 * AZ89)</f>
        <v>3.6339003999999999</v>
      </c>
      <c r="CI89">
        <f t="shared" ref="CI89:CI108" si="61">LN(F89)</f>
        <v>-2.3025850929940455</v>
      </c>
      <c r="CJ89">
        <f t="shared" ref="CJ89:CJ108" si="62">CI89-BC89</f>
        <v>2.1854744270059547</v>
      </c>
      <c r="CK89">
        <f t="shared" ref="CK89:CK108" si="63">CJ89/CG89</f>
        <v>0.60141285848284531</v>
      </c>
      <c r="CL89">
        <f t="shared" ref="CL89:CL96" si="64">IF(ISNUMBER(ATANH(CK89)),ATANH(CK89),100)</f>
        <v>0.69535770349394732</v>
      </c>
      <c r="CM89">
        <f t="shared" ref="CM89:CM108" si="65">CL89/BD89</f>
        <v>2.4281365565027855</v>
      </c>
      <c r="CT89">
        <f t="shared" ref="CT89:CT108" si="66">CM89-BE89+BF89</f>
        <v>-0.6763594462629734</v>
      </c>
      <c r="CU89">
        <f>(MIN(5,EXP(CT89)))</f>
        <v>0.50846472008565746</v>
      </c>
      <c r="CV89">
        <f t="shared" ref="CV89:CV108" si="67">$DE$99</f>
        <v>0.57229738456854751</v>
      </c>
      <c r="CW89">
        <v>0.3</v>
      </c>
      <c r="CZ89" t="s">
        <v>108</v>
      </c>
    </row>
    <row r="90" spans="1:114" x14ac:dyDescent="0.25">
      <c r="A90">
        <v>42</v>
      </c>
      <c r="B90">
        <v>180</v>
      </c>
      <c r="D90" t="str">
        <f t="shared" si="46"/>
        <v>Reverse</v>
      </c>
      <c r="F90">
        <v>0.1</v>
      </c>
      <c r="K90">
        <v>0.30480000000000002</v>
      </c>
      <c r="L90">
        <f t="shared" ref="L90:N108" si="68">K90*1000</f>
        <v>304.8</v>
      </c>
      <c r="M90">
        <v>7.1399999999999996E-3</v>
      </c>
      <c r="N90">
        <f t="shared" si="68"/>
        <v>7.14</v>
      </c>
      <c r="O90">
        <f t="shared" ref="O90:O108" si="69">K90/M90</f>
        <v>42.689075630252105</v>
      </c>
      <c r="P90">
        <v>30</v>
      </c>
      <c r="Y90">
        <v>65</v>
      </c>
      <c r="Z90" t="s">
        <v>78</v>
      </c>
      <c r="AA90" t="s">
        <v>80</v>
      </c>
      <c r="AB90">
        <f t="shared" si="47"/>
        <v>18.5</v>
      </c>
      <c r="AC90">
        <f t="shared" si="48"/>
        <v>40</v>
      </c>
      <c r="AD90">
        <f t="shared" si="49"/>
        <v>0</v>
      </c>
      <c r="AE90">
        <f t="shared" si="50"/>
        <v>0</v>
      </c>
      <c r="AF90">
        <v>0.9</v>
      </c>
      <c r="AG90">
        <v>1.2</v>
      </c>
      <c r="AI90">
        <f t="shared" si="51"/>
        <v>15.444677723460234</v>
      </c>
      <c r="AO90">
        <f t="shared" si="52"/>
        <v>2.7372644600771081</v>
      </c>
      <c r="AZ90">
        <f t="shared" si="53"/>
        <v>-5</v>
      </c>
      <c r="BA90">
        <f t="shared" si="54"/>
        <v>1</v>
      </c>
      <c r="BB90">
        <f t="shared" si="55"/>
        <v>3.7539430474609983</v>
      </c>
      <c r="BC90">
        <f t="shared" si="56"/>
        <v>-4.0370092800000004</v>
      </c>
      <c r="BD90">
        <f t="shared" si="57"/>
        <v>0.41667756</v>
      </c>
      <c r="BE90">
        <f t="shared" si="58"/>
        <v>2.8294460559999997</v>
      </c>
      <c r="BF90">
        <f t="shared" si="59"/>
        <v>0.66852317696108277</v>
      </c>
      <c r="CG90">
        <f t="shared" si="60"/>
        <v>2.7090505999999994</v>
      </c>
      <c r="CI90">
        <f t="shared" si="61"/>
        <v>-2.3025850929940455</v>
      </c>
      <c r="CJ90">
        <f t="shared" si="62"/>
        <v>1.7344241870059549</v>
      </c>
      <c r="CK90">
        <f t="shared" si="63"/>
        <v>0.64023321934479749</v>
      </c>
      <c r="CL90">
        <f t="shared" si="64"/>
        <v>0.75856886381101818</v>
      </c>
      <c r="CM90">
        <f t="shared" si="65"/>
        <v>1.8205176775322822</v>
      </c>
      <c r="CT90">
        <f t="shared" si="66"/>
        <v>-0.34040520150663467</v>
      </c>
      <c r="CU90">
        <f t="shared" ref="CU90:CU108" si="70">EXP(CT90)</f>
        <v>0.71148197077972275</v>
      </c>
      <c r="CV90">
        <f t="shared" si="67"/>
        <v>0.57229738456854751</v>
      </c>
      <c r="CW90">
        <v>0.3</v>
      </c>
    </row>
    <row r="91" spans="1:114" x14ac:dyDescent="0.25">
      <c r="A91">
        <v>43</v>
      </c>
      <c r="B91">
        <v>175</v>
      </c>
      <c r="D91" t="str">
        <f t="shared" si="46"/>
        <v>Reverse</v>
      </c>
      <c r="F91">
        <v>0.15</v>
      </c>
      <c r="K91">
        <v>0.40639999999999998</v>
      </c>
      <c r="L91">
        <f t="shared" si="68"/>
        <v>406.4</v>
      </c>
      <c r="M91">
        <v>9.5299999999999985E-3</v>
      </c>
      <c r="N91">
        <f t="shared" si="68"/>
        <v>9.5299999999999994</v>
      </c>
      <c r="O91">
        <f t="shared" si="69"/>
        <v>42.644281217208821</v>
      </c>
      <c r="P91">
        <v>50</v>
      </c>
      <c r="Y91">
        <v>58</v>
      </c>
      <c r="Z91" t="s">
        <v>78</v>
      </c>
      <c r="AA91" t="s">
        <v>81</v>
      </c>
      <c r="AB91">
        <f t="shared" si="47"/>
        <v>19</v>
      </c>
      <c r="AC91">
        <f t="shared" si="48"/>
        <v>43</v>
      </c>
      <c r="AD91">
        <f t="shared" si="49"/>
        <v>0</v>
      </c>
      <c r="AE91">
        <f t="shared" si="50"/>
        <v>0</v>
      </c>
      <c r="AF91">
        <v>0.9</v>
      </c>
      <c r="AG91">
        <v>1.5</v>
      </c>
      <c r="AI91">
        <f t="shared" si="51"/>
        <v>29.151630415531248</v>
      </c>
      <c r="AO91">
        <f t="shared" si="52"/>
        <v>3.3725108431545396</v>
      </c>
      <c r="AZ91">
        <f t="shared" si="53"/>
        <v>0</v>
      </c>
      <c r="BA91">
        <f t="shared" si="54"/>
        <v>1</v>
      </c>
      <c r="BB91">
        <f t="shared" si="55"/>
        <v>3.7528931785981614</v>
      </c>
      <c r="BC91">
        <f t="shared" si="56"/>
        <v>-3.7245790400000001</v>
      </c>
      <c r="BD91">
        <f t="shared" si="57"/>
        <v>0.49883007999999995</v>
      </c>
      <c r="BE91">
        <f t="shared" si="58"/>
        <v>2.538611408</v>
      </c>
      <c r="BF91">
        <f t="shared" si="59"/>
        <v>0.43474883354399235</v>
      </c>
      <c r="CG91">
        <f t="shared" si="60"/>
        <v>2.2234507999999997</v>
      </c>
      <c r="CI91">
        <f t="shared" si="61"/>
        <v>-1.8971199848858813</v>
      </c>
      <c r="CJ91">
        <f t="shared" si="62"/>
        <v>1.8274590551141188</v>
      </c>
      <c r="CK91">
        <f t="shared" si="63"/>
        <v>0.82190217796324483</v>
      </c>
      <c r="CL91">
        <f t="shared" si="64"/>
        <v>1.1626517128318059</v>
      </c>
      <c r="CM91">
        <f t="shared" si="65"/>
        <v>2.3307570241790674</v>
      </c>
      <c r="CT91">
        <f t="shared" si="66"/>
        <v>0.22689444972305978</v>
      </c>
      <c r="CU91">
        <f t="shared" si="70"/>
        <v>1.2546974272899019</v>
      </c>
      <c r="CV91">
        <f t="shared" si="67"/>
        <v>0.57229738456854751</v>
      </c>
      <c r="CW91">
        <v>0.3</v>
      </c>
    </row>
    <row r="92" spans="1:114" x14ac:dyDescent="0.25">
      <c r="A92">
        <v>44</v>
      </c>
      <c r="B92">
        <v>172</v>
      </c>
      <c r="D92" t="str">
        <f t="shared" si="46"/>
        <v>Reverse</v>
      </c>
      <c r="F92">
        <v>0.2</v>
      </c>
      <c r="K92">
        <v>0.50800000000000001</v>
      </c>
      <c r="L92">
        <f t="shared" si="68"/>
        <v>508</v>
      </c>
      <c r="M92">
        <v>1.1130000000000001E-2</v>
      </c>
      <c r="N92">
        <f t="shared" si="68"/>
        <v>11.13</v>
      </c>
      <c r="O92">
        <f t="shared" si="69"/>
        <v>45.642407906558844</v>
      </c>
      <c r="P92">
        <v>100</v>
      </c>
      <c r="Y92">
        <v>51</v>
      </c>
      <c r="Z92" t="s">
        <v>78</v>
      </c>
      <c r="AA92" t="s">
        <v>79</v>
      </c>
      <c r="AB92">
        <f t="shared" si="47"/>
        <v>18</v>
      </c>
      <c r="AC92">
        <f t="shared" si="48"/>
        <v>37</v>
      </c>
      <c r="AD92">
        <f t="shared" si="49"/>
        <v>0</v>
      </c>
      <c r="AE92">
        <f t="shared" si="50"/>
        <v>0</v>
      </c>
      <c r="AF92">
        <v>0.9</v>
      </c>
      <c r="AG92">
        <v>1</v>
      </c>
      <c r="AI92">
        <f t="shared" si="51"/>
        <v>18.869930160350666</v>
      </c>
      <c r="AO92">
        <f t="shared" si="52"/>
        <v>2.9375696582793154</v>
      </c>
      <c r="AZ92">
        <f t="shared" si="53"/>
        <v>0</v>
      </c>
      <c r="BA92">
        <f t="shared" si="54"/>
        <v>0</v>
      </c>
      <c r="BB92">
        <f t="shared" si="55"/>
        <v>3.8208372822910284</v>
      </c>
      <c r="BC92">
        <f t="shared" si="56"/>
        <v>-3.5227188000000003</v>
      </c>
      <c r="BD92">
        <f t="shared" si="57"/>
        <v>0.53883259999999999</v>
      </c>
      <c r="BE92">
        <f t="shared" si="58"/>
        <v>2.5446767599999998</v>
      </c>
      <c r="BF92">
        <f t="shared" si="59"/>
        <v>-0.50855733307133744</v>
      </c>
      <c r="CG92">
        <f t="shared" si="60"/>
        <v>2.1667009999999998</v>
      </c>
      <c r="CI92">
        <f t="shared" si="61"/>
        <v>-1.6094379124341003</v>
      </c>
      <c r="CJ92">
        <f t="shared" si="62"/>
        <v>1.9132808875659</v>
      </c>
      <c r="CK92">
        <f t="shared" si="63"/>
        <v>0.88303872457062615</v>
      </c>
      <c r="CL92">
        <f t="shared" si="64"/>
        <v>1.3893995965142862</v>
      </c>
      <c r="CM92">
        <f t="shared" si="65"/>
        <v>2.5785366299557344</v>
      </c>
      <c r="CT92">
        <f t="shared" si="66"/>
        <v>-0.47469746311560279</v>
      </c>
      <c r="CU92">
        <f t="shared" si="70"/>
        <v>0.62207322809545029</v>
      </c>
      <c r="CV92">
        <f t="shared" si="67"/>
        <v>0.57229738456854751</v>
      </c>
      <c r="CW92">
        <v>0.3</v>
      </c>
    </row>
    <row r="93" spans="1:114" x14ac:dyDescent="0.25">
      <c r="A93">
        <v>45</v>
      </c>
      <c r="B93">
        <v>172</v>
      </c>
      <c r="D93" t="str">
        <f t="shared" si="46"/>
        <v>Reverse</v>
      </c>
      <c r="F93">
        <v>0.2</v>
      </c>
      <c r="K93">
        <v>0.60960000000000003</v>
      </c>
      <c r="L93">
        <f t="shared" si="68"/>
        <v>609.6</v>
      </c>
      <c r="M93">
        <v>9.5299999999999985E-3</v>
      </c>
      <c r="N93">
        <f t="shared" si="68"/>
        <v>9.5299999999999994</v>
      </c>
      <c r="O93">
        <f t="shared" si="69"/>
        <v>63.966421825813235</v>
      </c>
      <c r="P93">
        <v>15</v>
      </c>
      <c r="Y93">
        <v>44</v>
      </c>
      <c r="Z93" t="s">
        <v>78</v>
      </c>
      <c r="AA93" t="s">
        <v>80</v>
      </c>
      <c r="AB93">
        <f t="shared" si="47"/>
        <v>18.5</v>
      </c>
      <c r="AC93">
        <f t="shared" si="48"/>
        <v>40</v>
      </c>
      <c r="AD93">
        <f t="shared" si="49"/>
        <v>0</v>
      </c>
      <c r="AE93">
        <f t="shared" si="50"/>
        <v>0</v>
      </c>
      <c r="AF93">
        <v>0.9</v>
      </c>
      <c r="AG93">
        <v>1.2</v>
      </c>
      <c r="AI93">
        <f t="shared" si="51"/>
        <v>30.889355446920469</v>
      </c>
      <c r="AO93">
        <f t="shared" si="52"/>
        <v>3.4304116406370531</v>
      </c>
      <c r="AZ93">
        <f t="shared" si="53"/>
        <v>0</v>
      </c>
      <c r="BA93">
        <f t="shared" si="54"/>
        <v>0</v>
      </c>
      <c r="BB93">
        <f t="shared" si="55"/>
        <v>4.158358286706326</v>
      </c>
      <c r="BC93">
        <f t="shared" si="56"/>
        <v>-3.6995335599999999</v>
      </c>
      <c r="BD93">
        <f t="shared" si="57"/>
        <v>0.49783511999999996</v>
      </c>
      <c r="BE93">
        <f t="shared" si="58"/>
        <v>2.4346421120000001</v>
      </c>
      <c r="BF93">
        <f t="shared" si="59"/>
        <v>-7.1844603442407146E-2</v>
      </c>
      <c r="CG93">
        <f t="shared" si="60"/>
        <v>2.2503511999999999</v>
      </c>
      <c r="CI93">
        <f t="shared" si="61"/>
        <v>-1.6094379124341003</v>
      </c>
      <c r="CJ93">
        <f t="shared" si="62"/>
        <v>2.0900956475658994</v>
      </c>
      <c r="CK93">
        <f t="shared" si="63"/>
        <v>0.92878642567697856</v>
      </c>
      <c r="CL93">
        <f t="shared" si="64"/>
        <v>1.6494814191438925</v>
      </c>
      <c r="CM93">
        <f t="shared" si="65"/>
        <v>3.3133086696332161</v>
      </c>
      <c r="CT93">
        <f t="shared" si="66"/>
        <v>0.80682195419080882</v>
      </c>
      <c r="CU93">
        <f t="shared" si="70"/>
        <v>2.2407753720113077</v>
      </c>
      <c r="CV93">
        <f t="shared" si="67"/>
        <v>0.57229738456854751</v>
      </c>
      <c r="CW93">
        <v>0.3</v>
      </c>
    </row>
    <row r="94" spans="1:114" x14ac:dyDescent="0.25">
      <c r="A94">
        <v>46</v>
      </c>
      <c r="B94">
        <v>170</v>
      </c>
      <c r="D94" t="str">
        <f t="shared" si="46"/>
        <v>Reverse</v>
      </c>
      <c r="F94">
        <v>0.25</v>
      </c>
      <c r="K94">
        <v>0.76200000000000001</v>
      </c>
      <c r="L94">
        <f t="shared" si="68"/>
        <v>762</v>
      </c>
      <c r="M94">
        <v>1.2699999999999999E-2</v>
      </c>
      <c r="N94">
        <f t="shared" si="68"/>
        <v>12.7</v>
      </c>
      <c r="O94">
        <f t="shared" si="69"/>
        <v>60</v>
      </c>
      <c r="P94">
        <v>30</v>
      </c>
      <c r="Y94">
        <v>37</v>
      </c>
      <c r="Z94" t="s">
        <v>78</v>
      </c>
      <c r="AA94" t="s">
        <v>81</v>
      </c>
      <c r="AB94">
        <f t="shared" si="47"/>
        <v>19</v>
      </c>
      <c r="AC94">
        <f t="shared" si="48"/>
        <v>43</v>
      </c>
      <c r="AD94">
        <f t="shared" si="49"/>
        <v>0</v>
      </c>
      <c r="AE94">
        <f t="shared" si="50"/>
        <v>0</v>
      </c>
      <c r="AF94">
        <v>0.9</v>
      </c>
      <c r="AG94">
        <v>1.5</v>
      </c>
      <c r="AI94">
        <f t="shared" si="51"/>
        <v>54.659307029121074</v>
      </c>
      <c r="AO94">
        <f t="shared" si="52"/>
        <v>4.0011195025769135</v>
      </c>
      <c r="AZ94">
        <f t="shared" si="53"/>
        <v>0</v>
      </c>
      <c r="BA94">
        <f t="shared" si="54"/>
        <v>0</v>
      </c>
      <c r="BB94">
        <f t="shared" si="55"/>
        <v>4.0943445622221004</v>
      </c>
      <c r="BC94">
        <f t="shared" si="56"/>
        <v>-3.5650431999999999</v>
      </c>
      <c r="BD94">
        <f t="shared" si="57"/>
        <v>0.52183889999999999</v>
      </c>
      <c r="BE94">
        <f t="shared" si="58"/>
        <v>2.3921401399999995</v>
      </c>
      <c r="BF94">
        <f t="shared" si="59"/>
        <v>0.15973147209986455</v>
      </c>
      <c r="CG94">
        <f t="shared" si="60"/>
        <v>2.2276265</v>
      </c>
      <c r="CI94">
        <f t="shared" si="61"/>
        <v>-1.3862943611198906</v>
      </c>
      <c r="CJ94">
        <f t="shared" si="62"/>
        <v>2.1787488388801091</v>
      </c>
      <c r="CK94">
        <f t="shared" si="63"/>
        <v>0.97805841279052352</v>
      </c>
      <c r="CL94">
        <f t="shared" si="64"/>
        <v>2.2507436237850884</v>
      </c>
      <c r="CM94">
        <f t="shared" si="65"/>
        <v>4.3131005062771068</v>
      </c>
      <c r="CT94">
        <f t="shared" si="66"/>
        <v>2.0806918383769717</v>
      </c>
      <c r="CU94">
        <f t="shared" si="70"/>
        <v>8.0100086291512458</v>
      </c>
      <c r="CV94">
        <f t="shared" si="67"/>
        <v>0.57229738456854751</v>
      </c>
      <c r="CW94">
        <v>0.3</v>
      </c>
    </row>
    <row r="95" spans="1:114" x14ac:dyDescent="0.25">
      <c r="A95">
        <v>47</v>
      </c>
      <c r="B95">
        <v>175</v>
      </c>
      <c r="D95" t="str">
        <f t="shared" si="46"/>
        <v>Reverse</v>
      </c>
      <c r="F95">
        <v>0.28000000000000003</v>
      </c>
      <c r="K95">
        <v>0.86360000000000003</v>
      </c>
      <c r="L95">
        <f t="shared" si="68"/>
        <v>863.6</v>
      </c>
      <c r="M95">
        <v>1.1130000000000001E-2</v>
      </c>
      <c r="N95">
        <f t="shared" si="68"/>
        <v>11.13</v>
      </c>
      <c r="O95">
        <f t="shared" si="69"/>
        <v>77.592093441150041</v>
      </c>
      <c r="P95">
        <v>50</v>
      </c>
      <c r="Y95">
        <v>30</v>
      </c>
      <c r="Z95" t="s">
        <v>78</v>
      </c>
      <c r="AA95" t="s">
        <v>79</v>
      </c>
      <c r="AB95">
        <f t="shared" si="47"/>
        <v>18</v>
      </c>
      <c r="AC95">
        <f t="shared" si="48"/>
        <v>37</v>
      </c>
      <c r="AD95">
        <f t="shared" si="49"/>
        <v>0</v>
      </c>
      <c r="AE95">
        <f t="shared" si="50"/>
        <v>0</v>
      </c>
      <c r="AF95">
        <v>0.9</v>
      </c>
      <c r="AG95">
        <v>1</v>
      </c>
      <c r="AI95">
        <f t="shared" si="51"/>
        <v>32.078881272596128</v>
      </c>
      <c r="AO95">
        <f t="shared" si="52"/>
        <v>3.4681979093414856</v>
      </c>
      <c r="AZ95">
        <f t="shared" si="53"/>
        <v>0</v>
      </c>
      <c r="BA95">
        <f t="shared" si="54"/>
        <v>0</v>
      </c>
      <c r="BB95">
        <f t="shared" si="55"/>
        <v>4.3514655333531991</v>
      </c>
      <c r="BC95">
        <f t="shared" si="56"/>
        <v>-3.4473329600000002</v>
      </c>
      <c r="BD95">
        <f t="shared" si="57"/>
        <v>0.54384142000000002</v>
      </c>
      <c r="BE95">
        <f t="shared" si="58"/>
        <v>2.3724054919999999</v>
      </c>
      <c r="BF95">
        <f t="shared" si="59"/>
        <v>5.9360032168138954E-2</v>
      </c>
      <c r="CG95">
        <f t="shared" si="60"/>
        <v>2.2020766999999997</v>
      </c>
      <c r="CI95">
        <f t="shared" si="61"/>
        <v>-1.2729656758128873</v>
      </c>
      <c r="CJ95">
        <f t="shared" si="62"/>
        <v>2.1743672841871131</v>
      </c>
      <c r="CK95">
        <f t="shared" si="63"/>
        <v>0.98741668906769386</v>
      </c>
      <c r="CL95">
        <f t="shared" si="64"/>
        <v>2.5311097606942257</v>
      </c>
      <c r="CM95">
        <f t="shared" si="65"/>
        <v>4.6541320090960072</v>
      </c>
      <c r="CT95">
        <f t="shared" si="66"/>
        <v>2.3410865492641464</v>
      </c>
      <c r="CU95">
        <f t="shared" si="70"/>
        <v>10.392522417888488</v>
      </c>
      <c r="CV95">
        <f t="shared" si="67"/>
        <v>0.57229738456854751</v>
      </c>
      <c r="CW95">
        <v>0.3</v>
      </c>
      <c r="DB95" t="s">
        <v>109</v>
      </c>
      <c r="DC95">
        <v>-0.28299999999999997</v>
      </c>
      <c r="DE95" t="s">
        <v>110</v>
      </c>
      <c r="DF95" t="s">
        <v>111</v>
      </c>
      <c r="DG95" t="s">
        <v>112</v>
      </c>
      <c r="DH95" t="s">
        <v>113</v>
      </c>
      <c r="DI95" t="s">
        <v>114</v>
      </c>
      <c r="DJ95" t="s">
        <v>115</v>
      </c>
    </row>
    <row r="96" spans="1:114" x14ac:dyDescent="0.25">
      <c r="A96">
        <v>48</v>
      </c>
      <c r="B96">
        <v>180</v>
      </c>
      <c r="D96" t="str">
        <f t="shared" si="46"/>
        <v>Reverse</v>
      </c>
      <c r="F96">
        <v>0.18</v>
      </c>
      <c r="K96">
        <v>1.0668</v>
      </c>
      <c r="L96">
        <f t="shared" si="68"/>
        <v>1066.8</v>
      </c>
      <c r="M96">
        <v>1.2699999999999999E-2</v>
      </c>
      <c r="N96">
        <f t="shared" si="68"/>
        <v>12.7</v>
      </c>
      <c r="O96">
        <f t="shared" si="69"/>
        <v>84</v>
      </c>
      <c r="P96">
        <v>100</v>
      </c>
      <c r="Y96">
        <v>23</v>
      </c>
      <c r="Z96" t="s">
        <v>78</v>
      </c>
      <c r="AA96" t="s">
        <v>80</v>
      </c>
      <c r="AB96">
        <f t="shared" si="47"/>
        <v>18.5</v>
      </c>
      <c r="AC96">
        <f t="shared" si="48"/>
        <v>40</v>
      </c>
      <c r="AD96">
        <f t="shared" si="49"/>
        <v>0</v>
      </c>
      <c r="AE96">
        <f t="shared" si="50"/>
        <v>0</v>
      </c>
      <c r="AF96">
        <v>0.9</v>
      </c>
      <c r="AG96">
        <v>1.2</v>
      </c>
      <c r="AI96">
        <f t="shared" si="51"/>
        <v>54.056372032110822</v>
      </c>
      <c r="AO96">
        <f t="shared" si="52"/>
        <v>3.9900274285724762</v>
      </c>
      <c r="AZ96">
        <f t="shared" si="53"/>
        <v>0</v>
      </c>
      <c r="BA96">
        <f t="shared" si="54"/>
        <v>0</v>
      </c>
      <c r="BB96">
        <f t="shared" si="55"/>
        <v>4.4308167988433134</v>
      </c>
      <c r="BC96">
        <f t="shared" si="56"/>
        <v>-3.1838624800000002</v>
      </c>
      <c r="BD96">
        <f t="shared" si="57"/>
        <v>0.59384645999999996</v>
      </c>
      <c r="BE96">
        <f t="shared" si="58"/>
        <v>2.3415361959999998</v>
      </c>
      <c r="BF96">
        <f t="shared" si="59"/>
        <v>0.35113717457456706</v>
      </c>
      <c r="CG96">
        <f t="shared" si="60"/>
        <v>2.1405770999999998</v>
      </c>
      <c r="CI96">
        <f t="shared" si="61"/>
        <v>-1.7147984280919266</v>
      </c>
      <c r="CJ96">
        <f t="shared" si="62"/>
        <v>1.4690640519080735</v>
      </c>
      <c r="CK96">
        <f t="shared" si="63"/>
        <v>0.68629345418488952</v>
      </c>
      <c r="CL96">
        <f t="shared" si="64"/>
        <v>0.8409150977233486</v>
      </c>
      <c r="CM96">
        <f t="shared" si="65"/>
        <v>1.416048009654463</v>
      </c>
      <c r="CT96">
        <f t="shared" si="66"/>
        <v>-0.57435101177096981</v>
      </c>
      <c r="CU96">
        <f t="shared" si="70"/>
        <v>0.56307017617049704</v>
      </c>
      <c r="CV96">
        <f t="shared" si="67"/>
        <v>0.57229738456854751</v>
      </c>
      <c r="CW96">
        <v>0.3</v>
      </c>
      <c r="DB96" t="s">
        <v>116</v>
      </c>
      <c r="DC96">
        <v>-0.625</v>
      </c>
      <c r="DE96">
        <v>-0.28299999999999997</v>
      </c>
      <c r="DF96">
        <v>-0.625</v>
      </c>
      <c r="DG96">
        <v>0.46</v>
      </c>
      <c r="DH96">
        <v>0.70899999999999996</v>
      </c>
      <c r="DI96">
        <v>0.68799999999999994</v>
      </c>
      <c r="DJ96">
        <v>0.312</v>
      </c>
    </row>
    <row r="97" spans="1:109" x14ac:dyDescent="0.25">
      <c r="A97">
        <v>49</v>
      </c>
      <c r="B97">
        <v>180</v>
      </c>
      <c r="D97" t="str">
        <f t="shared" si="46"/>
        <v>Reverse</v>
      </c>
      <c r="F97">
        <v>0.4</v>
      </c>
      <c r="K97">
        <v>0.60960000000000003</v>
      </c>
      <c r="L97">
        <f t="shared" si="68"/>
        <v>609.6</v>
      </c>
      <c r="M97">
        <v>1.1130000000000001E-2</v>
      </c>
      <c r="N97">
        <f t="shared" si="68"/>
        <v>11.13</v>
      </c>
      <c r="O97">
        <f t="shared" si="69"/>
        <v>54.770889487870619</v>
      </c>
      <c r="P97">
        <v>150</v>
      </c>
      <c r="Y97">
        <v>16</v>
      </c>
      <c r="Z97" t="s">
        <v>78</v>
      </c>
      <c r="AA97" t="s">
        <v>81</v>
      </c>
      <c r="AB97">
        <f t="shared" si="47"/>
        <v>19</v>
      </c>
      <c r="AC97">
        <f t="shared" si="48"/>
        <v>43</v>
      </c>
      <c r="AD97">
        <f t="shared" si="49"/>
        <v>0</v>
      </c>
      <c r="AE97">
        <f t="shared" si="50"/>
        <v>0</v>
      </c>
      <c r="AF97">
        <v>0.9</v>
      </c>
      <c r="AG97">
        <v>1.5</v>
      </c>
      <c r="AI97">
        <f t="shared" si="51"/>
        <v>43.727445623296873</v>
      </c>
      <c r="AO97">
        <f t="shared" si="52"/>
        <v>3.7779759512627038</v>
      </c>
      <c r="AZ97">
        <f t="shared" si="53"/>
        <v>0</v>
      </c>
      <c r="BA97">
        <f t="shared" si="54"/>
        <v>0</v>
      </c>
      <c r="BB97">
        <f t="shared" si="55"/>
        <v>4.0031588390849828</v>
      </c>
      <c r="BC97">
        <f t="shared" si="56"/>
        <v>-3.32085856</v>
      </c>
      <c r="BD97">
        <f t="shared" si="57"/>
        <v>0.57883511999999993</v>
      </c>
      <c r="BE97">
        <f t="shared" si="58"/>
        <v>2.550742112</v>
      </c>
      <c r="BF97">
        <f t="shared" si="59"/>
        <v>1.3729882151536921E-3</v>
      </c>
      <c r="CG97">
        <f t="shared" si="60"/>
        <v>2.1099511999999998</v>
      </c>
      <c r="CI97">
        <f t="shared" si="61"/>
        <v>-0.916290731874155</v>
      </c>
      <c r="CJ97">
        <f t="shared" si="62"/>
        <v>2.4045678281258449</v>
      </c>
      <c r="CK97">
        <f t="shared" si="63"/>
        <v>1.13963196311168</v>
      </c>
      <c r="CL97">
        <f>IF(CK97&gt;=1,5,ATANH(CK97))</f>
        <v>5</v>
      </c>
      <c r="CM97">
        <f t="shared" si="65"/>
        <v>8.6380384106617445</v>
      </c>
      <c r="CT97">
        <f t="shared" si="66"/>
        <v>6.0886692868768986</v>
      </c>
      <c r="CU97">
        <f t="shared" si="70"/>
        <v>440.83439654198293</v>
      </c>
      <c r="CV97">
        <f t="shared" si="67"/>
        <v>0.57229738456854751</v>
      </c>
      <c r="CW97">
        <v>0.3</v>
      </c>
      <c r="DB97" t="s">
        <v>117</v>
      </c>
      <c r="DC97">
        <v>0.46</v>
      </c>
      <c r="DE97">
        <f>DE96*DI96+DF96*DJ96</f>
        <v>-0.38970399999999994</v>
      </c>
    </row>
    <row r="98" spans="1:109" x14ac:dyDescent="0.25">
      <c r="A98">
        <v>50</v>
      </c>
      <c r="B98">
        <v>179</v>
      </c>
      <c r="D98" t="str">
        <f t="shared" si="46"/>
        <v>Reverse</v>
      </c>
      <c r="F98">
        <v>1.2</v>
      </c>
      <c r="K98">
        <v>0.60960000000000003</v>
      </c>
      <c r="L98">
        <f t="shared" si="68"/>
        <v>609.6</v>
      </c>
      <c r="M98">
        <v>1.1130000000000001E-2</v>
      </c>
      <c r="N98">
        <f t="shared" si="68"/>
        <v>11.13</v>
      </c>
      <c r="O98">
        <f t="shared" si="69"/>
        <v>54.770889487870619</v>
      </c>
      <c r="P98">
        <v>200</v>
      </c>
      <c r="Y98">
        <v>15</v>
      </c>
      <c r="Z98" t="s">
        <v>78</v>
      </c>
      <c r="AA98" t="s">
        <v>79</v>
      </c>
      <c r="AB98">
        <f t="shared" si="47"/>
        <v>18</v>
      </c>
      <c r="AC98">
        <f t="shared" si="48"/>
        <v>37</v>
      </c>
      <c r="AD98">
        <f t="shared" si="49"/>
        <v>0</v>
      </c>
      <c r="AE98">
        <f t="shared" si="50"/>
        <v>0</v>
      </c>
      <c r="AF98">
        <v>0.9</v>
      </c>
      <c r="AG98">
        <v>1.2</v>
      </c>
      <c r="AI98">
        <f t="shared" si="51"/>
        <v>27.172699430904952</v>
      </c>
      <c r="AO98">
        <f t="shared" si="52"/>
        <v>3.3022127718672243</v>
      </c>
      <c r="AZ98">
        <f t="shared" si="53"/>
        <v>0</v>
      </c>
      <c r="BA98">
        <f t="shared" si="54"/>
        <v>0</v>
      </c>
      <c r="BB98">
        <f t="shared" si="55"/>
        <v>4.0031588390849828</v>
      </c>
      <c r="BC98">
        <f t="shared" si="56"/>
        <v>-3.18060856</v>
      </c>
      <c r="BD98">
        <f t="shared" si="57"/>
        <v>0.60883511999999995</v>
      </c>
      <c r="BE98">
        <f t="shared" si="58"/>
        <v>2.5937421120000002</v>
      </c>
      <c r="BF98">
        <f t="shared" si="59"/>
        <v>-0.22283177455187525</v>
      </c>
      <c r="CG98">
        <f t="shared" si="60"/>
        <v>2.0579511999999998</v>
      </c>
      <c r="CI98">
        <f t="shared" si="61"/>
        <v>0.18232155679395459</v>
      </c>
      <c r="CJ98">
        <f t="shared" si="62"/>
        <v>3.3629301167939545</v>
      </c>
      <c r="CK98">
        <f t="shared" si="63"/>
        <v>1.6341155790253699</v>
      </c>
      <c r="CL98">
        <f>IF(CK98&gt;=1,5,ATANH(CK98))</f>
        <v>5</v>
      </c>
      <c r="CM98">
        <f t="shared" si="65"/>
        <v>8.2124040413437385</v>
      </c>
      <c r="CT98">
        <f t="shared" si="66"/>
        <v>5.395830154791863</v>
      </c>
      <c r="CU98">
        <f t="shared" si="70"/>
        <v>220.48510791195636</v>
      </c>
      <c r="CV98">
        <f t="shared" si="67"/>
        <v>0.57229738456854751</v>
      </c>
      <c r="CW98">
        <v>0.3</v>
      </c>
      <c r="DB98" t="s">
        <v>118</v>
      </c>
      <c r="DC98">
        <v>0.70899999999999996</v>
      </c>
      <c r="DE98">
        <f>DI96*DG96^2+DJ96*DH96^2+DI96*DJ96*(DE96-DF96)^2</f>
        <v>0.32752429638399994</v>
      </c>
    </row>
    <row r="99" spans="1:109" x14ac:dyDescent="0.25">
      <c r="A99">
        <v>51</v>
      </c>
      <c r="B99">
        <v>170</v>
      </c>
      <c r="D99" t="str">
        <f t="shared" si="46"/>
        <v>Reverse</v>
      </c>
      <c r="F99">
        <v>0.05</v>
      </c>
      <c r="K99">
        <v>0.20319999999999999</v>
      </c>
      <c r="L99">
        <f t="shared" si="68"/>
        <v>203.2</v>
      </c>
      <c r="M99">
        <v>5.5599999999999998E-3</v>
      </c>
      <c r="N99">
        <f t="shared" si="68"/>
        <v>5.56</v>
      </c>
      <c r="O99">
        <f t="shared" si="69"/>
        <v>36.546762589928058</v>
      </c>
      <c r="P99">
        <v>15</v>
      </c>
      <c r="Y99">
        <v>72</v>
      </c>
      <c r="Z99" t="s">
        <v>71</v>
      </c>
      <c r="AA99" t="s">
        <v>72</v>
      </c>
      <c r="AB99">
        <f t="shared" si="47"/>
        <v>17.5</v>
      </c>
      <c r="AC99">
        <f t="shared" si="48"/>
        <v>0</v>
      </c>
      <c r="AD99">
        <f t="shared" si="49"/>
        <v>37.5</v>
      </c>
      <c r="AE99">
        <f t="shared" si="50"/>
        <v>1.1000000000000001</v>
      </c>
      <c r="AF99">
        <v>0.9</v>
      </c>
      <c r="AG99">
        <v>0</v>
      </c>
      <c r="AI99">
        <f t="shared" si="51"/>
        <v>26.332829622389646</v>
      </c>
      <c r="AO99">
        <f t="shared" si="52"/>
        <v>3.2708164353522799</v>
      </c>
      <c r="AZ99">
        <f t="shared" si="53"/>
        <v>-12</v>
      </c>
      <c r="BA99">
        <f t="shared" si="54"/>
        <v>1</v>
      </c>
      <c r="BB99">
        <f t="shared" si="55"/>
        <v>3.598592607441836</v>
      </c>
      <c r="BC99">
        <f t="shared" si="56"/>
        <v>-4.4133025200000002</v>
      </c>
      <c r="BD99">
        <f t="shared" si="57"/>
        <v>0.31346503999999997</v>
      </c>
      <c r="BE99">
        <f t="shared" si="58"/>
        <v>3.2330207040000003</v>
      </c>
      <c r="BF99">
        <f t="shared" si="59"/>
        <v>1.3547345147356484</v>
      </c>
      <c r="CG99">
        <f t="shared" si="60"/>
        <v>3.3734704</v>
      </c>
      <c r="CI99">
        <f t="shared" si="61"/>
        <v>-2.9957322735539909</v>
      </c>
      <c r="CJ99">
        <f t="shared" si="62"/>
        <v>1.4175702464460094</v>
      </c>
      <c r="CK99">
        <f t="shared" si="63"/>
        <v>0.4202112597300422</v>
      </c>
      <c r="CL99">
        <f t="shared" ref="CL99:CL106" si="71">IF(ISNUMBER(ATANH(CK99)),ATANH(CK99),100)</f>
        <v>0.44794855885624785</v>
      </c>
      <c r="CM99">
        <f t="shared" si="65"/>
        <v>1.4290223843024021</v>
      </c>
      <c r="CT99">
        <f t="shared" si="66"/>
        <v>-0.44926380496194973</v>
      </c>
      <c r="CU99">
        <f t="shared" si="70"/>
        <v>0.63809774313738099</v>
      </c>
      <c r="CV99">
        <f t="shared" si="67"/>
        <v>0.57229738456854751</v>
      </c>
      <c r="CW99">
        <v>0.3</v>
      </c>
      <c r="DB99" t="s">
        <v>119</v>
      </c>
      <c r="DC99">
        <v>0.68799999999999994</v>
      </c>
      <c r="DE99">
        <f>SQRT(DE98)</f>
        <v>0.57229738456854751</v>
      </c>
    </row>
    <row r="100" spans="1:109" x14ac:dyDescent="0.25">
      <c r="A100">
        <v>52</v>
      </c>
      <c r="B100">
        <v>180</v>
      </c>
      <c r="D100" t="str">
        <f t="shared" si="46"/>
        <v>Reverse</v>
      </c>
      <c r="F100">
        <v>0.1</v>
      </c>
      <c r="K100">
        <v>0.30480000000000002</v>
      </c>
      <c r="L100">
        <f t="shared" si="68"/>
        <v>304.8</v>
      </c>
      <c r="M100">
        <v>7.1399999999999996E-3</v>
      </c>
      <c r="N100">
        <f t="shared" si="68"/>
        <v>7.14</v>
      </c>
      <c r="O100">
        <f t="shared" si="69"/>
        <v>42.689075630252105</v>
      </c>
      <c r="P100">
        <v>30</v>
      </c>
      <c r="Y100">
        <v>65</v>
      </c>
      <c r="Z100" t="s">
        <v>71</v>
      </c>
      <c r="AA100" t="s">
        <v>74</v>
      </c>
      <c r="AB100">
        <f t="shared" si="47"/>
        <v>18</v>
      </c>
      <c r="AC100">
        <f t="shared" si="48"/>
        <v>0</v>
      </c>
      <c r="AD100">
        <f t="shared" si="49"/>
        <v>75</v>
      </c>
      <c r="AE100">
        <f t="shared" si="50"/>
        <v>0.72</v>
      </c>
      <c r="AF100">
        <v>0.9</v>
      </c>
      <c r="AG100">
        <v>0</v>
      </c>
      <c r="AI100">
        <f t="shared" si="51"/>
        <v>51.708101803965121</v>
      </c>
      <c r="AO100">
        <f t="shared" si="52"/>
        <v>3.9456144772440287</v>
      </c>
      <c r="AZ100">
        <f t="shared" si="53"/>
        <v>-5</v>
      </c>
      <c r="BA100">
        <f t="shared" si="54"/>
        <v>1</v>
      </c>
      <c r="BB100">
        <f t="shared" si="55"/>
        <v>3.7539430474609983</v>
      </c>
      <c r="BC100">
        <f t="shared" si="56"/>
        <v>-4.0370092800000004</v>
      </c>
      <c r="BD100">
        <f t="shared" si="57"/>
        <v>0.41667756</v>
      </c>
      <c r="BE100">
        <f t="shared" si="58"/>
        <v>2.8294460559999997</v>
      </c>
      <c r="BF100">
        <f t="shared" si="59"/>
        <v>1.238139375053569</v>
      </c>
      <c r="CG100">
        <f t="shared" si="60"/>
        <v>2.7090505999999994</v>
      </c>
      <c r="CI100">
        <f t="shared" si="61"/>
        <v>-2.3025850929940455</v>
      </c>
      <c r="CJ100">
        <f t="shared" si="62"/>
        <v>1.7344241870059549</v>
      </c>
      <c r="CK100">
        <f t="shared" si="63"/>
        <v>0.64023321934479749</v>
      </c>
      <c r="CL100">
        <f t="shared" si="71"/>
        <v>0.75856886381101818</v>
      </c>
      <c r="CM100">
        <f t="shared" si="65"/>
        <v>1.8205176775322822</v>
      </c>
      <c r="CT100">
        <f t="shared" si="66"/>
        <v>0.22921099658585153</v>
      </c>
      <c r="CU100">
        <f t="shared" si="70"/>
        <v>1.257607361877443</v>
      </c>
      <c r="CV100">
        <f t="shared" si="67"/>
        <v>0.57229738456854751</v>
      </c>
      <c r="CW100">
        <v>0.3</v>
      </c>
      <c r="DB100" t="s">
        <v>120</v>
      </c>
      <c r="DC100">
        <v>0.312</v>
      </c>
    </row>
    <row r="101" spans="1:109" x14ac:dyDescent="0.25">
      <c r="A101">
        <v>53</v>
      </c>
      <c r="B101">
        <v>175</v>
      </c>
      <c r="D101" t="str">
        <f t="shared" si="46"/>
        <v>Reverse</v>
      </c>
      <c r="F101">
        <v>0.15</v>
      </c>
      <c r="K101">
        <v>0.40639999999999998</v>
      </c>
      <c r="L101">
        <f t="shared" si="68"/>
        <v>406.4</v>
      </c>
      <c r="M101">
        <v>9.5299999999999985E-3</v>
      </c>
      <c r="N101">
        <f t="shared" si="68"/>
        <v>9.5299999999999994</v>
      </c>
      <c r="O101">
        <f t="shared" si="69"/>
        <v>42.644281217208821</v>
      </c>
      <c r="P101">
        <v>50</v>
      </c>
      <c r="Y101">
        <v>58</v>
      </c>
      <c r="Z101" t="s">
        <v>71</v>
      </c>
      <c r="AA101" t="s">
        <v>76</v>
      </c>
      <c r="AB101">
        <f t="shared" si="47"/>
        <v>18.5</v>
      </c>
      <c r="AC101">
        <f t="shared" si="48"/>
        <v>0</v>
      </c>
      <c r="AD101">
        <f t="shared" si="49"/>
        <v>125</v>
      </c>
      <c r="AE101">
        <f t="shared" si="50"/>
        <v>0.4</v>
      </c>
      <c r="AF101">
        <v>0.9</v>
      </c>
      <c r="AG101">
        <v>0</v>
      </c>
      <c r="AI101">
        <f t="shared" si="51"/>
        <v>63.837162720944598</v>
      </c>
      <c r="AO101">
        <f t="shared" si="52"/>
        <v>4.1563355085596809</v>
      </c>
      <c r="AZ101">
        <f t="shared" si="53"/>
        <v>0</v>
      </c>
      <c r="BA101">
        <f t="shared" si="54"/>
        <v>1</v>
      </c>
      <c r="BB101">
        <f t="shared" si="55"/>
        <v>3.7528931785981614</v>
      </c>
      <c r="BC101">
        <f t="shared" si="56"/>
        <v>-3.7245790400000001</v>
      </c>
      <c r="BD101">
        <f t="shared" si="57"/>
        <v>0.49883007999999995</v>
      </c>
      <c r="BE101">
        <f t="shared" si="58"/>
        <v>2.538611408</v>
      </c>
      <c r="BF101">
        <f t="shared" si="59"/>
        <v>0.80424378081597592</v>
      </c>
      <c r="CG101">
        <f t="shared" si="60"/>
        <v>2.2234507999999997</v>
      </c>
      <c r="CI101">
        <f t="shared" si="61"/>
        <v>-1.8971199848858813</v>
      </c>
      <c r="CJ101">
        <f t="shared" si="62"/>
        <v>1.8274590551141188</v>
      </c>
      <c r="CK101">
        <f t="shared" si="63"/>
        <v>0.82190217796324483</v>
      </c>
      <c r="CL101">
        <f t="shared" si="71"/>
        <v>1.1626517128318059</v>
      </c>
      <c r="CM101">
        <f t="shared" si="65"/>
        <v>2.3307570241790674</v>
      </c>
      <c r="CT101">
        <f t="shared" si="66"/>
        <v>0.59638939699504334</v>
      </c>
      <c r="CU101">
        <f t="shared" si="70"/>
        <v>1.8155517154769825</v>
      </c>
      <c r="CV101">
        <f t="shared" si="67"/>
        <v>0.57229738456854751</v>
      </c>
      <c r="CW101">
        <v>0.3</v>
      </c>
    </row>
    <row r="102" spans="1:109" x14ac:dyDescent="0.25">
      <c r="A102">
        <v>54</v>
      </c>
      <c r="B102">
        <v>172</v>
      </c>
      <c r="D102" t="str">
        <f t="shared" si="46"/>
        <v>Reverse</v>
      </c>
      <c r="F102">
        <v>0.2</v>
      </c>
      <c r="K102">
        <v>0.50800000000000001</v>
      </c>
      <c r="L102">
        <f t="shared" si="68"/>
        <v>508</v>
      </c>
      <c r="M102">
        <v>1.1130000000000001E-2</v>
      </c>
      <c r="N102">
        <f t="shared" si="68"/>
        <v>11.13</v>
      </c>
      <c r="O102">
        <f t="shared" si="69"/>
        <v>45.642407906558844</v>
      </c>
      <c r="P102">
        <v>100</v>
      </c>
      <c r="Y102">
        <v>51</v>
      </c>
      <c r="Z102" t="s">
        <v>71</v>
      </c>
      <c r="AA102" t="s">
        <v>72</v>
      </c>
      <c r="AB102">
        <f t="shared" si="47"/>
        <v>17.5</v>
      </c>
      <c r="AC102">
        <f t="shared" si="48"/>
        <v>0</v>
      </c>
      <c r="AD102">
        <f t="shared" si="49"/>
        <v>37.5</v>
      </c>
      <c r="AE102">
        <f t="shared" si="50"/>
        <v>1.1000000000000001</v>
      </c>
      <c r="AF102">
        <v>0.9</v>
      </c>
      <c r="AG102">
        <v>0</v>
      </c>
      <c r="AI102">
        <f t="shared" si="51"/>
        <v>65.832074055974118</v>
      </c>
      <c r="AO102">
        <f t="shared" si="52"/>
        <v>4.1871071672264346</v>
      </c>
      <c r="AZ102">
        <f t="shared" si="53"/>
        <v>0</v>
      </c>
      <c r="BA102">
        <f t="shared" si="54"/>
        <v>0</v>
      </c>
      <c r="BB102">
        <f t="shared" si="55"/>
        <v>3.8208372822910284</v>
      </c>
      <c r="BC102">
        <f t="shared" si="56"/>
        <v>-3.5227188000000003</v>
      </c>
      <c r="BD102">
        <f t="shared" si="57"/>
        <v>0.53883259999999999</v>
      </c>
      <c r="BE102">
        <f t="shared" si="58"/>
        <v>2.5446767599999998</v>
      </c>
      <c r="BF102">
        <f t="shared" si="59"/>
        <v>8.0474648646334468E-2</v>
      </c>
      <c r="CG102">
        <f t="shared" si="60"/>
        <v>2.1667009999999998</v>
      </c>
      <c r="CI102">
        <f t="shared" si="61"/>
        <v>-1.6094379124341003</v>
      </c>
      <c r="CJ102">
        <f t="shared" si="62"/>
        <v>1.9132808875659</v>
      </c>
      <c r="CK102">
        <f t="shared" si="63"/>
        <v>0.88303872457062615</v>
      </c>
      <c r="CL102">
        <f t="shared" si="71"/>
        <v>1.3893995965142862</v>
      </c>
      <c r="CM102">
        <f t="shared" si="65"/>
        <v>2.5785366299557344</v>
      </c>
      <c r="CT102">
        <f t="shared" si="66"/>
        <v>0.11433451860206911</v>
      </c>
      <c r="CU102">
        <f t="shared" si="70"/>
        <v>1.1211271000328198</v>
      </c>
      <c r="CV102">
        <f t="shared" si="67"/>
        <v>0.57229738456854751</v>
      </c>
      <c r="CW102">
        <v>0.3</v>
      </c>
    </row>
    <row r="103" spans="1:109" x14ac:dyDescent="0.25">
      <c r="A103">
        <v>55</v>
      </c>
      <c r="B103">
        <v>172</v>
      </c>
      <c r="D103" t="str">
        <f t="shared" si="46"/>
        <v>Reverse</v>
      </c>
      <c r="F103">
        <v>0.2</v>
      </c>
      <c r="K103">
        <v>0.60960000000000003</v>
      </c>
      <c r="L103">
        <f t="shared" si="68"/>
        <v>609.6</v>
      </c>
      <c r="M103">
        <v>9.5299999999999985E-3</v>
      </c>
      <c r="N103">
        <f t="shared" si="68"/>
        <v>9.5299999999999994</v>
      </c>
      <c r="O103">
        <f t="shared" si="69"/>
        <v>63.966421825813235</v>
      </c>
      <c r="P103">
        <v>15</v>
      </c>
      <c r="Y103">
        <v>44</v>
      </c>
      <c r="Z103" t="s">
        <v>71</v>
      </c>
      <c r="AA103" t="s">
        <v>74</v>
      </c>
      <c r="AB103">
        <f t="shared" si="47"/>
        <v>18</v>
      </c>
      <c r="AC103">
        <f t="shared" si="48"/>
        <v>0</v>
      </c>
      <c r="AD103">
        <f t="shared" si="49"/>
        <v>75</v>
      </c>
      <c r="AE103">
        <f t="shared" si="50"/>
        <v>0.72</v>
      </c>
      <c r="AF103">
        <v>0.9</v>
      </c>
      <c r="AG103">
        <v>0</v>
      </c>
      <c r="AI103">
        <f t="shared" si="51"/>
        <v>103.41620360793024</v>
      </c>
      <c r="AO103">
        <f t="shared" si="52"/>
        <v>4.6387616578039736</v>
      </c>
      <c r="AZ103">
        <f t="shared" si="53"/>
        <v>0</v>
      </c>
      <c r="BA103">
        <f t="shared" si="54"/>
        <v>0</v>
      </c>
      <c r="BB103">
        <f t="shared" si="55"/>
        <v>4.158358286706326</v>
      </c>
      <c r="BC103">
        <f t="shared" si="56"/>
        <v>-3.6995335599999999</v>
      </c>
      <c r="BD103">
        <f t="shared" si="57"/>
        <v>0.49783511999999996</v>
      </c>
      <c r="BE103">
        <f t="shared" si="58"/>
        <v>2.4346421120000001</v>
      </c>
      <c r="BF103">
        <f t="shared" si="59"/>
        <v>0.49777159465007936</v>
      </c>
      <c r="CG103">
        <f t="shared" si="60"/>
        <v>2.2503511999999999</v>
      </c>
      <c r="CI103">
        <f t="shared" si="61"/>
        <v>-1.6094379124341003</v>
      </c>
      <c r="CJ103">
        <f t="shared" si="62"/>
        <v>2.0900956475658994</v>
      </c>
      <c r="CK103">
        <f t="shared" si="63"/>
        <v>0.92878642567697856</v>
      </c>
      <c r="CL103">
        <f t="shared" si="71"/>
        <v>1.6494814191438925</v>
      </c>
      <c r="CM103">
        <f t="shared" si="65"/>
        <v>3.3133086696332161</v>
      </c>
      <c r="CT103">
        <f t="shared" si="66"/>
        <v>1.3764381522832954</v>
      </c>
      <c r="CU103">
        <f t="shared" si="70"/>
        <v>3.9607688176086686</v>
      </c>
      <c r="CV103">
        <f t="shared" si="67"/>
        <v>0.57229738456854751</v>
      </c>
      <c r="CW103">
        <v>0.3</v>
      </c>
    </row>
    <row r="104" spans="1:109" x14ac:dyDescent="0.25">
      <c r="A104">
        <v>56</v>
      </c>
      <c r="B104">
        <v>170</v>
      </c>
      <c r="D104" t="str">
        <f t="shared" si="46"/>
        <v>Reverse</v>
      </c>
      <c r="F104">
        <v>0.25</v>
      </c>
      <c r="K104">
        <v>0.76200000000000001</v>
      </c>
      <c r="L104">
        <f t="shared" si="68"/>
        <v>762</v>
      </c>
      <c r="M104">
        <v>1.2699999999999999E-2</v>
      </c>
      <c r="N104">
        <f t="shared" si="68"/>
        <v>12.7</v>
      </c>
      <c r="O104">
        <f t="shared" si="69"/>
        <v>60</v>
      </c>
      <c r="P104">
        <v>30</v>
      </c>
      <c r="Y104">
        <v>37</v>
      </c>
      <c r="Z104" t="s">
        <v>71</v>
      </c>
      <c r="AA104" t="s">
        <v>76</v>
      </c>
      <c r="AB104">
        <f t="shared" si="47"/>
        <v>18.5</v>
      </c>
      <c r="AC104">
        <f t="shared" si="48"/>
        <v>0</v>
      </c>
      <c r="AD104">
        <f t="shared" si="49"/>
        <v>125</v>
      </c>
      <c r="AE104">
        <f t="shared" si="50"/>
        <v>0.4</v>
      </c>
      <c r="AF104">
        <v>0.9</v>
      </c>
      <c r="AG104">
        <v>0</v>
      </c>
      <c r="AI104">
        <f t="shared" si="51"/>
        <v>119.69468010177111</v>
      </c>
      <c r="AO104">
        <f t="shared" si="52"/>
        <v>4.7849441679820552</v>
      </c>
      <c r="AZ104">
        <f t="shared" si="53"/>
        <v>0</v>
      </c>
      <c r="BA104">
        <f t="shared" si="54"/>
        <v>0</v>
      </c>
      <c r="BB104">
        <f t="shared" si="55"/>
        <v>4.0943445622221004</v>
      </c>
      <c r="BC104">
        <f t="shared" si="56"/>
        <v>-3.5650431999999999</v>
      </c>
      <c r="BD104">
        <f t="shared" si="57"/>
        <v>0.52183889999999999</v>
      </c>
      <c r="BE104">
        <f t="shared" si="58"/>
        <v>2.3921401399999995</v>
      </c>
      <c r="BF104">
        <f t="shared" si="59"/>
        <v>0.529226419371848</v>
      </c>
      <c r="CG104">
        <f t="shared" si="60"/>
        <v>2.2276265</v>
      </c>
      <c r="CI104">
        <f t="shared" si="61"/>
        <v>-1.3862943611198906</v>
      </c>
      <c r="CJ104">
        <f t="shared" si="62"/>
        <v>2.1787488388801091</v>
      </c>
      <c r="CK104">
        <f t="shared" si="63"/>
        <v>0.97805841279052352</v>
      </c>
      <c r="CL104">
        <f t="shared" si="71"/>
        <v>2.2507436237850884</v>
      </c>
      <c r="CM104">
        <f t="shared" si="65"/>
        <v>4.3131005062771068</v>
      </c>
      <c r="CT104">
        <f t="shared" si="66"/>
        <v>2.4501867856489552</v>
      </c>
      <c r="CU104">
        <f t="shared" si="70"/>
        <v>11.590511458250456</v>
      </c>
      <c r="CV104">
        <f t="shared" si="67"/>
        <v>0.57229738456854751</v>
      </c>
      <c r="CW104">
        <v>0.3</v>
      </c>
    </row>
    <row r="105" spans="1:109" x14ac:dyDescent="0.25">
      <c r="A105">
        <v>57</v>
      </c>
      <c r="B105">
        <v>175</v>
      </c>
      <c r="D105" t="str">
        <f t="shared" si="46"/>
        <v>Reverse</v>
      </c>
      <c r="F105">
        <v>0.28000000000000003</v>
      </c>
      <c r="K105">
        <v>0.86360000000000003</v>
      </c>
      <c r="L105">
        <f t="shared" si="68"/>
        <v>863.6</v>
      </c>
      <c r="M105">
        <v>1.1130000000000001E-2</v>
      </c>
      <c r="N105">
        <f t="shared" si="68"/>
        <v>11.13</v>
      </c>
      <c r="O105">
        <f t="shared" si="69"/>
        <v>77.592093441150041</v>
      </c>
      <c r="P105">
        <v>50</v>
      </c>
      <c r="Y105">
        <v>30</v>
      </c>
      <c r="Z105" t="s">
        <v>71</v>
      </c>
      <c r="AA105" t="s">
        <v>72</v>
      </c>
      <c r="AB105">
        <f t="shared" si="47"/>
        <v>17.5</v>
      </c>
      <c r="AC105">
        <f t="shared" si="48"/>
        <v>0</v>
      </c>
      <c r="AD105">
        <f t="shared" si="49"/>
        <v>37.5</v>
      </c>
      <c r="AE105">
        <f t="shared" si="50"/>
        <v>1.1000000000000001</v>
      </c>
      <c r="AF105">
        <v>0.9</v>
      </c>
      <c r="AG105">
        <v>0</v>
      </c>
      <c r="AI105">
        <f t="shared" si="51"/>
        <v>111.91452589515602</v>
      </c>
      <c r="AO105">
        <f t="shared" si="52"/>
        <v>4.7177354182886058</v>
      </c>
      <c r="AZ105">
        <f t="shared" si="53"/>
        <v>0</v>
      </c>
      <c r="BA105">
        <f t="shared" si="54"/>
        <v>0</v>
      </c>
      <c r="BB105">
        <f t="shared" si="55"/>
        <v>4.3514655333531991</v>
      </c>
      <c r="BC105">
        <f t="shared" si="56"/>
        <v>-3.4473329600000002</v>
      </c>
      <c r="BD105">
        <f t="shared" si="57"/>
        <v>0.54384142000000002</v>
      </c>
      <c r="BE105">
        <f t="shared" si="58"/>
        <v>2.3724054919999999</v>
      </c>
      <c r="BF105">
        <f t="shared" si="59"/>
        <v>0.64839201388581147</v>
      </c>
      <c r="CG105">
        <f t="shared" si="60"/>
        <v>2.2020766999999997</v>
      </c>
      <c r="CI105">
        <f t="shared" si="61"/>
        <v>-1.2729656758128873</v>
      </c>
      <c r="CJ105">
        <f t="shared" si="62"/>
        <v>2.1743672841871131</v>
      </c>
      <c r="CK105">
        <f t="shared" si="63"/>
        <v>0.98741668906769386</v>
      </c>
      <c r="CL105">
        <f t="shared" si="71"/>
        <v>2.5311097606942257</v>
      </c>
      <c r="CM105">
        <f t="shared" si="65"/>
        <v>4.6541320090960072</v>
      </c>
      <c r="CT105">
        <f t="shared" si="66"/>
        <v>2.9301185309818187</v>
      </c>
      <c r="CU105">
        <f t="shared" si="70"/>
        <v>18.729850432665824</v>
      </c>
      <c r="CV105">
        <f t="shared" si="67"/>
        <v>0.57229738456854751</v>
      </c>
      <c r="CW105">
        <v>0.3</v>
      </c>
    </row>
    <row r="106" spans="1:109" x14ac:dyDescent="0.25">
      <c r="A106">
        <v>58</v>
      </c>
      <c r="B106">
        <v>180</v>
      </c>
      <c r="D106" t="str">
        <f t="shared" si="46"/>
        <v>Reverse</v>
      </c>
      <c r="F106">
        <v>0.18</v>
      </c>
      <c r="K106">
        <v>1.0668</v>
      </c>
      <c r="L106">
        <f t="shared" si="68"/>
        <v>1066.8</v>
      </c>
      <c r="M106">
        <v>1.2699999999999999E-2</v>
      </c>
      <c r="N106">
        <f t="shared" si="68"/>
        <v>12.7</v>
      </c>
      <c r="O106">
        <f t="shared" si="69"/>
        <v>84</v>
      </c>
      <c r="P106">
        <v>100</v>
      </c>
      <c r="Y106">
        <v>23</v>
      </c>
      <c r="Z106" t="s">
        <v>71</v>
      </c>
      <c r="AA106" t="s">
        <v>74</v>
      </c>
      <c r="AB106">
        <f t="shared" si="47"/>
        <v>18</v>
      </c>
      <c r="AC106">
        <f t="shared" si="48"/>
        <v>0</v>
      </c>
      <c r="AD106">
        <f t="shared" si="49"/>
        <v>75</v>
      </c>
      <c r="AE106">
        <f t="shared" si="50"/>
        <v>0.72</v>
      </c>
      <c r="AF106">
        <v>0.9</v>
      </c>
      <c r="AG106">
        <v>0</v>
      </c>
      <c r="AI106">
        <f t="shared" si="51"/>
        <v>180.97835631387795</v>
      </c>
      <c r="AO106">
        <f t="shared" si="52"/>
        <v>5.1983774457393972</v>
      </c>
      <c r="AZ106">
        <f t="shared" si="53"/>
        <v>0</v>
      </c>
      <c r="BA106">
        <f t="shared" si="54"/>
        <v>0</v>
      </c>
      <c r="BB106">
        <f t="shared" si="55"/>
        <v>4.4308167988433134</v>
      </c>
      <c r="BC106">
        <f t="shared" si="56"/>
        <v>-3.1838624800000002</v>
      </c>
      <c r="BD106">
        <f t="shared" si="57"/>
        <v>0.59384645999999996</v>
      </c>
      <c r="BE106">
        <f t="shared" si="58"/>
        <v>2.3415361959999998</v>
      </c>
      <c r="BF106">
        <f t="shared" si="59"/>
        <v>0.92075337266705359</v>
      </c>
      <c r="CG106">
        <f t="shared" si="60"/>
        <v>2.1405770999999998</v>
      </c>
      <c r="CI106">
        <f t="shared" si="61"/>
        <v>-1.7147984280919266</v>
      </c>
      <c r="CJ106">
        <f t="shared" si="62"/>
        <v>1.4690640519080735</v>
      </c>
      <c r="CK106">
        <f t="shared" si="63"/>
        <v>0.68629345418488952</v>
      </c>
      <c r="CL106">
        <f t="shared" si="71"/>
        <v>0.8409150977233486</v>
      </c>
      <c r="CM106">
        <f t="shared" si="65"/>
        <v>1.416048009654463</v>
      </c>
      <c r="CT106">
        <f t="shared" si="66"/>
        <v>-4.7348136784832739E-3</v>
      </c>
      <c r="CU106">
        <f t="shared" si="70"/>
        <v>0.99527637788151735</v>
      </c>
      <c r="CV106">
        <f t="shared" si="67"/>
        <v>0.57229738456854751</v>
      </c>
      <c r="CW106">
        <v>0.3</v>
      </c>
    </row>
    <row r="107" spans="1:109" x14ac:dyDescent="0.25">
      <c r="A107">
        <v>59</v>
      </c>
      <c r="B107">
        <v>180</v>
      </c>
      <c r="D107" t="str">
        <f t="shared" si="46"/>
        <v>Reverse</v>
      </c>
      <c r="F107">
        <v>0.4</v>
      </c>
      <c r="K107">
        <v>0.60960000000000003</v>
      </c>
      <c r="L107">
        <f t="shared" si="68"/>
        <v>609.6</v>
      </c>
      <c r="M107">
        <v>1.1130000000000001E-2</v>
      </c>
      <c r="N107">
        <f t="shared" si="68"/>
        <v>11.13</v>
      </c>
      <c r="O107">
        <f t="shared" si="69"/>
        <v>54.770889487870619</v>
      </c>
      <c r="P107">
        <v>150</v>
      </c>
      <c r="Y107">
        <v>16</v>
      </c>
      <c r="Z107" t="s">
        <v>71</v>
      </c>
      <c r="AA107" t="s">
        <v>76</v>
      </c>
      <c r="AB107">
        <f t="shared" si="47"/>
        <v>18.5</v>
      </c>
      <c r="AC107">
        <f t="shared" si="48"/>
        <v>0</v>
      </c>
      <c r="AD107">
        <f t="shared" si="49"/>
        <v>125</v>
      </c>
      <c r="AE107">
        <f t="shared" si="50"/>
        <v>0.4</v>
      </c>
      <c r="AF107">
        <v>0.9</v>
      </c>
      <c r="AG107">
        <v>0</v>
      </c>
      <c r="AI107">
        <f t="shared" si="51"/>
        <v>95.755744081416907</v>
      </c>
      <c r="AO107">
        <f t="shared" si="52"/>
        <v>4.5618006166678455</v>
      </c>
      <c r="AZ107">
        <f t="shared" si="53"/>
        <v>0</v>
      </c>
      <c r="BA107">
        <f t="shared" si="54"/>
        <v>0</v>
      </c>
      <c r="BB107">
        <f t="shared" si="55"/>
        <v>4.0031588390849828</v>
      </c>
      <c r="BC107">
        <f t="shared" si="56"/>
        <v>-3.32085856</v>
      </c>
      <c r="BD107">
        <f t="shared" si="57"/>
        <v>0.57883511999999993</v>
      </c>
      <c r="BE107">
        <f t="shared" si="58"/>
        <v>2.550742112</v>
      </c>
      <c r="BF107">
        <f t="shared" si="59"/>
        <v>0.37086793548713748</v>
      </c>
      <c r="CG107">
        <f t="shared" si="60"/>
        <v>2.1099511999999998</v>
      </c>
      <c r="CI107">
        <f t="shared" si="61"/>
        <v>-0.916290731874155</v>
      </c>
      <c r="CJ107">
        <f t="shared" si="62"/>
        <v>2.4045678281258449</v>
      </c>
      <c r="CK107">
        <f t="shared" si="63"/>
        <v>1.13963196311168</v>
      </c>
      <c r="CL107">
        <f>IF(CK107&gt;=1,5,ATANH(CK107))</f>
        <v>5</v>
      </c>
      <c r="CM107">
        <f t="shared" si="65"/>
        <v>8.6380384106617445</v>
      </c>
      <c r="CT107">
        <f t="shared" si="66"/>
        <v>6.4581642341488816</v>
      </c>
      <c r="CU107">
        <f t="shared" si="70"/>
        <v>637.88896627595602</v>
      </c>
      <c r="CV107">
        <f t="shared" si="67"/>
        <v>0.57229738456854751</v>
      </c>
      <c r="CW107">
        <v>0.3</v>
      </c>
    </row>
    <row r="108" spans="1:109" x14ac:dyDescent="0.25">
      <c r="A108">
        <v>60</v>
      </c>
      <c r="B108">
        <v>179</v>
      </c>
      <c r="D108" t="str">
        <f t="shared" si="46"/>
        <v>Reverse</v>
      </c>
      <c r="F108">
        <v>1.2</v>
      </c>
      <c r="K108">
        <v>0.60960000000000003</v>
      </c>
      <c r="L108">
        <f t="shared" si="68"/>
        <v>609.6</v>
      </c>
      <c r="M108">
        <v>1.1130000000000001E-2</v>
      </c>
      <c r="N108">
        <f t="shared" si="68"/>
        <v>11.13</v>
      </c>
      <c r="O108">
        <f t="shared" si="69"/>
        <v>54.770889487870619</v>
      </c>
      <c r="P108">
        <v>200</v>
      </c>
      <c r="Y108">
        <v>15</v>
      </c>
      <c r="Z108" t="s">
        <v>71</v>
      </c>
      <c r="AA108" t="s">
        <v>72</v>
      </c>
      <c r="AB108">
        <f t="shared" si="47"/>
        <v>17.5</v>
      </c>
      <c r="AC108">
        <f t="shared" si="48"/>
        <v>0</v>
      </c>
      <c r="AD108">
        <f t="shared" si="49"/>
        <v>37.5</v>
      </c>
      <c r="AE108">
        <f t="shared" si="50"/>
        <v>1.1000000000000001</v>
      </c>
      <c r="AF108">
        <v>0.9</v>
      </c>
      <c r="AG108">
        <v>0</v>
      </c>
      <c r="AI108">
        <f t="shared" si="51"/>
        <v>78.998488867168945</v>
      </c>
      <c r="AO108">
        <f t="shared" si="52"/>
        <v>4.3694287240203895</v>
      </c>
      <c r="AZ108">
        <f t="shared" si="53"/>
        <v>0</v>
      </c>
      <c r="BA108">
        <f t="shared" si="54"/>
        <v>0</v>
      </c>
      <c r="BB108">
        <f t="shared" si="55"/>
        <v>4.0031588390849828</v>
      </c>
      <c r="BC108">
        <f t="shared" si="56"/>
        <v>-3.18060856</v>
      </c>
      <c r="BD108">
        <f t="shared" si="57"/>
        <v>0.60883511999999995</v>
      </c>
      <c r="BE108">
        <f t="shared" si="58"/>
        <v>2.5937421120000002</v>
      </c>
      <c r="BF108">
        <f t="shared" si="59"/>
        <v>0.28025382529312659</v>
      </c>
      <c r="CG108">
        <f t="shared" si="60"/>
        <v>2.0579511999999998</v>
      </c>
      <c r="CI108">
        <f t="shared" si="61"/>
        <v>0.18232155679395459</v>
      </c>
      <c r="CJ108">
        <f t="shared" si="62"/>
        <v>3.3629301167939545</v>
      </c>
      <c r="CK108">
        <f t="shared" si="63"/>
        <v>1.6341155790253699</v>
      </c>
      <c r="CL108">
        <f>IF(CK108&gt;=1,5,ATANH(CK108))</f>
        <v>5</v>
      </c>
      <c r="CM108">
        <f t="shared" si="65"/>
        <v>8.2124040413437385</v>
      </c>
      <c r="CT108">
        <f t="shared" si="66"/>
        <v>5.8989157546368647</v>
      </c>
      <c r="CU108">
        <f t="shared" si="70"/>
        <v>364.64189217273321</v>
      </c>
      <c r="CV108">
        <f t="shared" si="67"/>
        <v>0.57229738456854751</v>
      </c>
      <c r="CW108">
        <v>0.3</v>
      </c>
    </row>
    <row r="111" spans="1:109" x14ac:dyDescent="0.25">
      <c r="F111" t="s">
        <v>58</v>
      </c>
      <c r="K111" t="s">
        <v>1</v>
      </c>
      <c r="L111" t="s">
        <v>2</v>
      </c>
      <c r="M111" t="s">
        <v>3</v>
      </c>
      <c r="N111" t="s">
        <v>4</v>
      </c>
      <c r="O111" t="s">
        <v>5</v>
      </c>
      <c r="P111" t="s">
        <v>6</v>
      </c>
      <c r="Q111" t="s">
        <v>7</v>
      </c>
      <c r="R111" s="1" t="s">
        <v>8</v>
      </c>
      <c r="S111" s="1" t="s">
        <v>9</v>
      </c>
      <c r="T111" s="1" t="s">
        <v>10</v>
      </c>
      <c r="U111" s="1" t="s">
        <v>11</v>
      </c>
      <c r="V111" s="2" t="s">
        <v>12</v>
      </c>
      <c r="W111" t="s">
        <v>13</v>
      </c>
      <c r="X111" t="s">
        <v>14</v>
      </c>
      <c r="Y111" t="s">
        <v>15</v>
      </c>
      <c r="Z111" t="s">
        <v>16</v>
      </c>
      <c r="AA111" t="s">
        <v>17</v>
      </c>
      <c r="AB111" t="s">
        <v>18</v>
      </c>
      <c r="AC111" t="s">
        <v>19</v>
      </c>
      <c r="AD111" t="s">
        <v>20</v>
      </c>
      <c r="AE111" t="s">
        <v>21</v>
      </c>
      <c r="AF111" t="s">
        <v>22</v>
      </c>
      <c r="AG111" t="s">
        <v>23</v>
      </c>
      <c r="AH111" t="s">
        <v>24</v>
      </c>
      <c r="AI111" t="s">
        <v>25</v>
      </c>
      <c r="AJ111" t="s">
        <v>26</v>
      </c>
      <c r="AK111" t="s">
        <v>27</v>
      </c>
      <c r="AL111" t="s">
        <v>28</v>
      </c>
      <c r="AM111" t="s">
        <v>29</v>
      </c>
      <c r="AN111" t="s">
        <v>30</v>
      </c>
      <c r="AO111" t="s">
        <v>31</v>
      </c>
      <c r="AQ111" t="s">
        <v>32</v>
      </c>
      <c r="AR111" t="s">
        <v>33</v>
      </c>
      <c r="AS111" t="s">
        <v>34</v>
      </c>
      <c r="AT111" t="s">
        <v>35</v>
      </c>
      <c r="AU111" t="s">
        <v>36</v>
      </c>
      <c r="AV111" t="s">
        <v>37</v>
      </c>
      <c r="AW111" t="s">
        <v>38</v>
      </c>
      <c r="AY111" t="s">
        <v>39</v>
      </c>
      <c r="BC111" t="s">
        <v>40</v>
      </c>
      <c r="BD111" t="s">
        <v>41</v>
      </c>
      <c r="BE111" t="s">
        <v>42</v>
      </c>
      <c r="BF111" t="s">
        <v>43</v>
      </c>
      <c r="BG111" t="s">
        <v>44</v>
      </c>
      <c r="BH111" t="s">
        <v>45</v>
      </c>
      <c r="BI111" t="s">
        <v>46</v>
      </c>
      <c r="BJ111" t="s">
        <v>47</v>
      </c>
      <c r="BK111" t="s">
        <v>48</v>
      </c>
      <c r="BL111" t="s">
        <v>49</v>
      </c>
      <c r="BM111" t="s">
        <v>50</v>
      </c>
      <c r="BN111" t="s">
        <v>51</v>
      </c>
      <c r="BO111" t="s">
        <v>52</v>
      </c>
      <c r="BP111" t="s">
        <v>53</v>
      </c>
      <c r="CD111" t="s">
        <v>56</v>
      </c>
      <c r="CE111" t="s">
        <v>54</v>
      </c>
      <c r="CF111" t="s">
        <v>55</v>
      </c>
      <c r="CG111" t="s">
        <v>57</v>
      </c>
      <c r="CI111" t="s">
        <v>59</v>
      </c>
      <c r="CN111" t="s">
        <v>60</v>
      </c>
      <c r="CO111" t="s">
        <v>61</v>
      </c>
      <c r="CP111" t="s">
        <v>62</v>
      </c>
      <c r="CQ111" t="s">
        <v>63</v>
      </c>
      <c r="CR111" t="s">
        <v>64</v>
      </c>
      <c r="CS111" t="s">
        <v>65</v>
      </c>
      <c r="CT111" t="s">
        <v>66</v>
      </c>
      <c r="CU111" t="s">
        <v>67</v>
      </c>
      <c r="CV111" t="s">
        <v>68</v>
      </c>
      <c r="CW111" t="s">
        <v>69</v>
      </c>
    </row>
    <row r="112" spans="1:109" x14ac:dyDescent="0.25">
      <c r="A112">
        <v>61</v>
      </c>
      <c r="B112">
        <v>0</v>
      </c>
      <c r="D112" t="str">
        <f t="shared" ref="D112:D131" si="72">IF(AND(B112&gt;=0,B112&lt;=10),"Normal",IF(AND(B112&gt;10,B112&lt;90),"SSTens",IF(AND(B112&gt;=90,B112&lt;170),"SSComp",IF(AND(B112&gt;=170,B112&lt;=180),"Reverse"))))</f>
        <v>Normal</v>
      </c>
      <c r="F112" s="1">
        <v>2.2496671510000001</v>
      </c>
      <c r="K112">
        <v>1.0668</v>
      </c>
      <c r="L112">
        <f>K112*1000</f>
        <v>1066.8</v>
      </c>
      <c r="M112">
        <v>9.5250000000000005E-3</v>
      </c>
      <c r="N112">
        <f>M112*1000</f>
        <v>9.5250000000000004</v>
      </c>
      <c r="O112" s="3">
        <f>L112/N112</f>
        <v>111.99999999999999</v>
      </c>
      <c r="P112" s="1">
        <v>30</v>
      </c>
      <c r="Q112" s="4" t="s">
        <v>70</v>
      </c>
      <c r="R112" s="1">
        <f>IF(Q112="Grade-B",3,IF(Q112="X-42",3,IF(Q112="X-52",8,IF(Q112="X-60",8,IF(Q112="X-70",14,IF(Q112="X-80",15,8))))))</f>
        <v>8</v>
      </c>
      <c r="S112" s="1">
        <f>IF(Q112="Grade-B",8,IF(Q112="X-42",9,IF(Q112="X-52",10,IF(Q112="X-60",12,IF(Q112="X-70",15,IF(Q112="X-80",20,10))))))</f>
        <v>10</v>
      </c>
      <c r="T112" s="1">
        <f>IF(Q112="Grade-B",241,IF(Q112="X-42",290,IF(Q112="X-52",359,IF(Q112="X-60",414,IF(Q112="X-70",483,IF(Q112="X-80",552,359))))))*1000</f>
        <v>359000</v>
      </c>
      <c r="U112" s="1">
        <f>IF(Q112="Grade-B",344,IF(Q112="X-42",414,IF(Q112="X-52",455,IF(Q112="X-60",517,IF(Q112="X-70",565,IF(Q112="X-80",625,T112*1.2/1000))))))*1000</f>
        <v>455000</v>
      </c>
      <c r="V112" s="1">
        <f>U112/200000000*(1+R112/(1+S112)*(U112/T112)^S112)*100</f>
        <v>1.9969902892117808</v>
      </c>
      <c r="W112" s="3">
        <f>100*IF(Q112='[1]Estimation Model Normal-Slip'!$J$8,'[1]Estimation Model Normal-Slip'!$O$8,IF(Q112='[1]Estimation Model Normal-Slip'!$J$9,'[1]Estimation Model Normal-Slip'!$O$9,IF(Q112='[1]Estimation Model Normal-Slip'!$J$10,'[1]Estimation Model Normal-Slip'!$O$10,IF(Q112='[1]Estimation Model Normal-Slip'!$J$11,'[1]Estimation Model Normal-Slip'!$O$11,IF(Q112='[1]Estimation Model Normal-Slip'!$J$12,'[1]Estimation Model Normal-Slip'!$O$12,IF(Q112='[1]Estimation Model Normal-Slip'!$J$13,'[1]Estimation Model Normal-Slip'!$O$13,2))))))</f>
        <v>1.9041242414694344</v>
      </c>
      <c r="X112" s="1">
        <f>LN(V112)</f>
        <v>0.69164119173371341</v>
      </c>
      <c r="Y112" s="1">
        <v>45</v>
      </c>
      <c r="Z112" s="1" t="s">
        <v>71</v>
      </c>
      <c r="AA112" t="s">
        <v>72</v>
      </c>
      <c r="AB112">
        <f>IF(AA112="medium dense",18,IF(AA112="dense",18.5,IF(AA112="very dense",19,IF(AA112="soft",17.5,IF(AA112="medium stiff",18,IF(AA112="stiff",18.5,0))))))</f>
        <v>17.5</v>
      </c>
      <c r="AC112" s="1">
        <f>IF(AA112="medium dense",37,IF(AA112="dense",40,IF(AA112="very dense",43,0)))</f>
        <v>0</v>
      </c>
      <c r="AD112">
        <f>IF(AA112="soft",37.5,IF(AA112="medium stiff",75,IF(AA112="stiff",125,0)))</f>
        <v>37.5</v>
      </c>
      <c r="AE112">
        <f>IF(AA112="soft",1.1,IF(AA112="medium stiff",0.72,IF(AA112="stiff",0.4,0)))</f>
        <v>1.1000000000000001</v>
      </c>
      <c r="AF112">
        <v>0.9</v>
      </c>
      <c r="AG112" s="1">
        <v>0.78739999999999999</v>
      </c>
      <c r="AH112" s="1">
        <f t="shared" ref="AH112:AH131" si="73">MIN(11.5,MAX(1.8,AG112/K112))</f>
        <v>1.8</v>
      </c>
      <c r="AI112">
        <f>IF(Z112="sand", PI() * K112 * AG112*AB112* TAN(RADIANS(AF112*AC112)), PI() * K112 * AE112 * AD112)</f>
        <v>138.24735551754566</v>
      </c>
      <c r="AJ112">
        <f>IF(AA112="medium dense",'[1]Coefficient Normal'!$E$18 + ('[1]Coefficient Normal'!$E$19*AH112) + ('[1]Coefficient Normal'!$E$20*(AH112^2)) + ('[1]Coefficient Normal'!$E$21*(AH112^3)) + ('[1]Coefficient Normal'!$E$22*(AH112^4)),IF(AA112="dense",'[1]Coefficient Normal'!$F$18 + ('[1]Coefficient Normal'!$F$19*AH112) + ('[1]Coefficient Normal'!$F$20*(AH112^2)) + ('[1]Coefficient Normal'!$F$21*(AH112^3)) + ('[1]Coefficient Normal'!$F$22*(AH112^4)),IF(AA112="very dense",'[1]Coefficient Normal'!$G$18 + ('[1]Coefficient Normal'!$G$19*AH112) + ('[1]Coefficient Normal'!$G$20*(AH112^2)) + ('[1]Coefficient Normal'!$G$21*(AH112^3)) + ('[1]Coefficient Normal'!$G$22*(AH112^4)),0)))</f>
        <v>0</v>
      </c>
      <c r="AK112">
        <f t="shared" ref="AK112:AK131" si="74">IF(Z112="sand",MIN(80,EXP(0.18*AC112-2.5)),0)</f>
        <v>0</v>
      </c>
      <c r="AL112">
        <f t="shared" ref="AL112:AL131" si="75">IF(Z112="sand",AJ112*AB112*AG112*K112 + 0.5*AB112*(K112^2)*AK112,5.14*AD112*K112)</f>
        <v>205.62569999999999</v>
      </c>
      <c r="AM112">
        <f>LN(AL112)</f>
        <v>5.3260575257691611</v>
      </c>
      <c r="AN112">
        <f t="shared" ref="AN112:AN131" si="76">LN(O112)</f>
        <v>4.7184988712950942</v>
      </c>
      <c r="AO112">
        <f t="shared" ref="AO112:AO131" si="77">LN(AI112)</f>
        <v>4.9290445119558122</v>
      </c>
      <c r="AQ112" s="5">
        <f>VLOOKUP(Y112,'[1]Coefficient Normal'!$A$3:$H$7,2,TRUE)</f>
        <v>3.7532999999999999</v>
      </c>
      <c r="AR112" s="5">
        <f>VLOOKUP(Y112,'[1]Coefficient Normal'!$A$3:$H$7,3,TRUE)</f>
        <v>0.14510000000000001</v>
      </c>
      <c r="AS112" s="5">
        <f>VLOOKUP(Y112,'[1]Coefficient Normal'!$A$3:$H$7,4,TRUE)</f>
        <v>1.2497</v>
      </c>
      <c r="AT112" s="5">
        <f>VLOOKUP(Y112,'[1]Coefficient Normal'!$A$3:$H$7,5,TRUE)</f>
        <v>-0.46100000000000002</v>
      </c>
      <c r="AU112" s="5">
        <f>VLOOKUP(Y112,'[1]Coefficient Normal'!$A$3:$H$7,6,TRUE)</f>
        <v>0.39140000000000003</v>
      </c>
      <c r="AV112" s="5">
        <f>VLOOKUP(Y112,'[1]Coefficient Normal'!$A$3:$H$7,7,TRUE)</f>
        <v>-0.21310000000000001</v>
      </c>
      <c r="AW112" s="5">
        <f>VLOOKUP(Y112,'[1]Coefficient Normal'!$A$3:$H$7,8,TRUE)</f>
        <v>-0.34139999999999998</v>
      </c>
      <c r="AY112" s="5">
        <f t="shared" ref="AY112:AY131" si="78">AQ112+AR112*LN(P112) + AS112*LN(K112) + AT112*AN112 + AU112*X112 + AV112*AM112 + AW112*AO112</f>
        <v>-0.39465453966325215</v>
      </c>
      <c r="BC112" s="5">
        <f>VLOOKUP(Y112,'[1]Coefficient Normal'!$A$10:$P$14,2,TRUE)</f>
        <v>-1.1082000000000001</v>
      </c>
      <c r="BD112" s="5">
        <f>VLOOKUP(Y112,'[1]Coefficient Normal'!$A$10:$P$14,3,TRUE)</f>
        <v>0.10630000000000001</v>
      </c>
      <c r="BE112" s="5">
        <f>VLOOKUP(Y112,'[1]Coefficient Normal'!$A$10:$P$14,4,TRUE)</f>
        <v>-0.1439</v>
      </c>
      <c r="BF112" s="5">
        <f>VLOOKUP(Y112,'[1]Coefficient Normal'!$A$10:$P$14,5,TRUE)</f>
        <v>0.27879999999999999</v>
      </c>
      <c r="BG112" s="5">
        <f>VLOOKUP(Y112,'[1]Coefficient Normal'!$A$10:$P$14,6,TRUE)</f>
        <v>-0.31030000000000002</v>
      </c>
      <c r="BH112" s="5">
        <f>VLOOKUP(Y112,'[1]Coefficient Normal'!$A$10:$P$14,7,TRUE)</f>
        <v>1.2553000000000001</v>
      </c>
      <c r="BI112" s="5">
        <f>VLOOKUP(Y112,'[1]Coefficient Normal'!$A$10:$P$14,8,TRUE)</f>
        <v>2.9999999999999997E-4</v>
      </c>
      <c r="BJ112" s="5">
        <f>VLOOKUP(Y112,'[1]Coefficient Normal'!$A$10:$P$14,9,TRUE)</f>
        <v>5.1999999999999998E-3</v>
      </c>
      <c r="BK112" s="5">
        <f>VLOOKUP(Y112,'[1]Coefficient Normal'!$A$10:$P$14,10,TRUE)</f>
        <v>-8.5900000000000004E-2</v>
      </c>
      <c r="BL112" s="5">
        <f>VLOOKUP(Y112,'[1]Coefficient Normal'!$A$10:$P$14,11,TRUE)</f>
        <v>5.9999999999999995E-4</v>
      </c>
      <c r="BM112" s="5">
        <f>VLOOKUP(Y112,'[1]Coefficient Normal'!$A$10:$P$14,12,TRUE)</f>
        <v>-0.21759999999999999</v>
      </c>
      <c r="BN112" s="5">
        <f>VLOOKUP(Y112,'[1]Coefficient Normal'!$A$10:$P$14,13,TRUE)</f>
        <v>-2.69E-2</v>
      </c>
      <c r="BO112" s="5">
        <f>VLOOKUP(Y112,'[1]Coefficient Normal'!$A$10:$P$14,14,TRUE)</f>
        <v>0.57389999999999997</v>
      </c>
      <c r="BP112" s="5">
        <f>VLOOKUP(Y112,'[1]Coefficient Normal'!$A$10:$P$14,15,TRUE)</f>
        <v>0.34460000000000002</v>
      </c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D112" s="6">
        <f t="shared" ref="CD112:CD131" si="79">IF(Z112="sand",1,0)</f>
        <v>0</v>
      </c>
      <c r="CE112" s="6">
        <f t="shared" ref="CE112:CE131" si="80">IF(CI112&lt;AY112,1,0)</f>
        <v>0</v>
      </c>
      <c r="CF112" s="6">
        <f t="shared" ref="CF112:CF131" si="81">IF(P112&lt;100,1,0)</f>
        <v>1</v>
      </c>
      <c r="CG112" s="5">
        <f t="shared" ref="CG112:CG131" si="82">CE112 * (BH112+BI112*AI112 + BJ112*CF112*(P112-100) + BK112*(1-CF112) + BL112*O112) + (1-CE112) * (BM112 + BN112*CF112*(P112-100) + BO112*(1-CF112) + BP112*X112)</f>
        <v>1.9037395546714377</v>
      </c>
      <c r="CI112">
        <f t="shared" ref="CI112:CI131" si="83">LN(F112)</f>
        <v>0.8107822723842909</v>
      </c>
      <c r="CN112" s="5">
        <f t="shared" ref="CN112:CN131" si="84">CI112-AY112</f>
        <v>1.2054368120475432</v>
      </c>
      <c r="CO112" s="5">
        <f t="shared" ref="CO112:CO131" si="85">CG112*CN112</f>
        <v>2.2948377397519475</v>
      </c>
      <c r="CP112" s="5">
        <f t="shared" ref="CP112:CP131" si="86">BD112*AN112</f>
        <v>0.50157643001866858</v>
      </c>
      <c r="CQ112" s="5">
        <f t="shared" ref="CQ112:CQ131" si="87">BE112*CD112*AO112</f>
        <v>0</v>
      </c>
      <c r="CR112" s="5">
        <f t="shared" ref="CR112:CR131" si="88">BF112*AM112</f>
        <v>1.4849048381844421</v>
      </c>
      <c r="CS112" s="5">
        <f t="shared" ref="CS112:CS131" si="89">BG112* LN(K112)</f>
        <v>-2.0065088184971575E-2</v>
      </c>
      <c r="CT112" s="5">
        <f t="shared" ref="CT112:CT131" si="90">BC112+CO112+CP112+CQ112+CR112+CS112</f>
        <v>3.1530539197700866</v>
      </c>
      <c r="CU112" s="7">
        <f>EXP(CT112)</f>
        <v>23.407439981823291</v>
      </c>
      <c r="CV112">
        <f>VLOOKUP(Y112,'[1]Coefficient Normal'!$A$10:$P$14,16,TRUE)</f>
        <v>0.3997</v>
      </c>
      <c r="CW112">
        <v>0.3</v>
      </c>
    </row>
    <row r="113" spans="1:101" x14ac:dyDescent="0.25">
      <c r="A113">
        <v>62</v>
      </c>
      <c r="B113">
        <v>1</v>
      </c>
      <c r="D113" t="str">
        <f t="shared" si="72"/>
        <v>Normal</v>
      </c>
      <c r="F113" s="1">
        <v>2.3997944580000001</v>
      </c>
      <c r="K113">
        <v>0.60960000000000003</v>
      </c>
      <c r="L113">
        <f t="shared" ref="L113:N131" si="91">K113*1000</f>
        <v>609.6</v>
      </c>
      <c r="M113">
        <v>9.5250000000000005E-3</v>
      </c>
      <c r="N113">
        <f t="shared" si="91"/>
        <v>9.5250000000000004</v>
      </c>
      <c r="O113" s="3">
        <f t="shared" ref="O113:O131" si="92">L113/N113</f>
        <v>64</v>
      </c>
      <c r="P113" s="1">
        <v>50</v>
      </c>
      <c r="Q113" s="4" t="s">
        <v>73</v>
      </c>
      <c r="R113" s="1">
        <f t="shared" ref="R113:R131" si="93">IF(Q113="Grade-B",3,IF(Q113="X-42",3,IF(Q113="X-52",8,IF(Q113="X-60",8,IF(Q113="X-70",14,IF(Q113="X-80",15,8))))))</f>
        <v>8</v>
      </c>
      <c r="S113" s="1">
        <f t="shared" ref="S113:S131" si="94">IF(Q113="Grade-B",8,IF(Q113="X-42",9,IF(Q113="X-52",10,IF(Q113="X-60",12,IF(Q113="X-70",15,IF(Q113="X-80",20,10))))))</f>
        <v>12</v>
      </c>
      <c r="T113" s="1">
        <f t="shared" ref="T113:T131" si="95">IF(Q113="Grade-B",241,IF(Q113="X-42",290,IF(Q113="X-52",359,IF(Q113="X-60",414,IF(Q113="X-70",483,IF(Q113="X-80",552,359))))))*1000</f>
        <v>414000</v>
      </c>
      <c r="U113" s="1">
        <f t="shared" ref="U113:U131" si="96">IF(Q113="Grade-B",344,IF(Q113="X-42",414,IF(Q113="X-52",455,IF(Q113="X-60",517,IF(Q113="X-70",565,IF(Q113="X-80",625,T113*1.2/1000))))))*1000</f>
        <v>517000</v>
      </c>
      <c r="V113" s="1">
        <f t="shared" ref="V113:V131" si="97">U113/200000000*(1+R113/(1+S113)*(U113/T113)^S113)*100</f>
        <v>2.5466769467238102</v>
      </c>
      <c r="W113" s="3">
        <f>100*IF(Q113='[1]Estimation Model Normal-Slip'!$J$8,'[1]Estimation Model Normal-Slip'!$O$8,IF(Q113='[1]Estimation Model Normal-Slip'!$J$9,'[1]Estimation Model Normal-Slip'!$O$9,IF(Q113='[1]Estimation Model Normal-Slip'!$J$10,'[1]Estimation Model Normal-Slip'!$O$10,IF(Q113='[1]Estimation Model Normal-Slip'!$J$11,'[1]Estimation Model Normal-Slip'!$O$11,IF(Q113='[1]Estimation Model Normal-Slip'!$J$12,'[1]Estimation Model Normal-Slip'!$O$12,IF(Q113='[1]Estimation Model Normal-Slip'!$J$13,'[1]Estimation Model Normal-Slip'!$O$13,2))))))</f>
        <v>2.4313344008036557</v>
      </c>
      <c r="X113" s="1">
        <f t="shared" ref="X113:X131" si="98">LN(V113)</f>
        <v>0.93478935117382533</v>
      </c>
      <c r="Y113" s="1">
        <v>60</v>
      </c>
      <c r="Z113" s="1" t="s">
        <v>71</v>
      </c>
      <c r="AA113" t="s">
        <v>74</v>
      </c>
      <c r="AB113">
        <f t="shared" ref="AB113:AB131" si="99">IF(AA113="medium dense",18,IF(AA113="dense",18.5,IF(AA113="very dense",19,IF(AA113="soft",17.5,IF(AA113="medium stiff",18,IF(AA113="stiff",18.5,0))))))</f>
        <v>18</v>
      </c>
      <c r="AC113" s="1">
        <f t="shared" ref="AC113:AC131" si="100">IF(AA113="medium dense",37,IF(AA113="dense",40,IF(AA113="very dense",43,0)))</f>
        <v>0</v>
      </c>
      <c r="AD113">
        <f t="shared" ref="AD113:AD131" si="101">IF(AA113="soft",37.5,IF(AA113="medium stiff",75,IF(AA113="stiff",125,0)))</f>
        <v>75</v>
      </c>
      <c r="AE113">
        <f t="shared" ref="AE113:AE131" si="102">IF(AA113="soft",1.1,IF(AA113="medium stiff",0.72,IF(AA113="stiff",0.4,0)))</f>
        <v>0.72</v>
      </c>
      <c r="AF113">
        <v>0.9</v>
      </c>
      <c r="AG113" s="1">
        <v>1</v>
      </c>
      <c r="AH113" s="1">
        <f t="shared" si="73"/>
        <v>1.8</v>
      </c>
      <c r="AI113">
        <f t="shared" ref="AI113:AI131" si="103">IF(Z113="sand", PI() * K113 * AG113*AB113* TAN(RADIANS(AF113*AC113)), PI() * K113 * AE113 * AD113)</f>
        <v>103.41620360793024</v>
      </c>
      <c r="AJ113">
        <f>IF(AA113="medium dense",'[1]Coefficient Normal'!$E$18 + ('[1]Coefficient Normal'!$E$19*AH113) + ('[1]Coefficient Normal'!$E$20*(AH113^2)) + ('[1]Coefficient Normal'!$E$21*(AH113^3)) + ('[1]Coefficient Normal'!$E$22*(AH113^4)),IF(AA113="dense",'[1]Coefficient Normal'!$F$18 + ('[1]Coefficient Normal'!$F$19*AH113) + ('[1]Coefficient Normal'!$F$20*(AH113^2)) + ('[1]Coefficient Normal'!$F$21*(AH113^3)) + ('[1]Coefficient Normal'!$F$22*(AH113^4)),IF(AA113="very dense",'[1]Coefficient Normal'!$G$18 + ('[1]Coefficient Normal'!$G$19*AH113) + ('[1]Coefficient Normal'!$G$20*(AH113^2)) + ('[1]Coefficient Normal'!$G$21*(AH113^3)) + ('[1]Coefficient Normal'!$G$22*(AH113^4)),0)))</f>
        <v>0</v>
      </c>
      <c r="AK113">
        <f t="shared" si="74"/>
        <v>0</v>
      </c>
      <c r="AL113">
        <f t="shared" si="75"/>
        <v>235.0008</v>
      </c>
      <c r="AM113">
        <f t="shared" ref="AM113:AM131" si="104">LN(AL113)</f>
        <v>5.4595889183936839</v>
      </c>
      <c r="AN113">
        <f t="shared" si="76"/>
        <v>4.1588830833596715</v>
      </c>
      <c r="AO113">
        <f t="shared" si="77"/>
        <v>4.6387616578039736</v>
      </c>
      <c r="AQ113" s="5">
        <f>VLOOKUP(Y113,'[1]Coefficient Normal'!$A$3:$H$7,2,TRUE)</f>
        <v>4.3182999999999998</v>
      </c>
      <c r="AR113" s="5">
        <f>VLOOKUP(Y113,'[1]Coefficient Normal'!$A$3:$H$7,3,TRUE)</f>
        <v>-2.7900000000000001E-2</v>
      </c>
      <c r="AS113" s="5">
        <f>VLOOKUP(Y113,'[1]Coefficient Normal'!$A$3:$H$7,4,TRUE)</f>
        <v>1.0497000000000001</v>
      </c>
      <c r="AT113" s="5">
        <f>VLOOKUP(Y113,'[1]Coefficient Normal'!$A$3:$H$7,5,TRUE)</f>
        <v>-0.46910000000000002</v>
      </c>
      <c r="AU113" s="5">
        <f>VLOOKUP(Y113,'[1]Coefficient Normal'!$A$3:$H$7,6,TRUE)</f>
        <v>0.29149999999999998</v>
      </c>
      <c r="AV113" s="5">
        <f>VLOOKUP(Y113,'[1]Coefficient Normal'!$A$3:$H$7,7,TRUE)</f>
        <v>-0.28610000000000002</v>
      </c>
      <c r="AW113" s="5">
        <f>VLOOKUP(Y113,'[1]Coefficient Normal'!$A$3:$H$7,8,TRUE)</f>
        <v>-0.1348</v>
      </c>
      <c r="AY113" s="5">
        <f t="shared" si="78"/>
        <v>-0.17613126407050839</v>
      </c>
      <c r="BC113" s="5">
        <f>VLOOKUP(Y113,'[1]Coefficient Normal'!$A$10:$P$14,2,TRUE)</f>
        <v>-2.1276999999999999</v>
      </c>
      <c r="BD113" s="5">
        <f>VLOOKUP(Y113,'[1]Coefficient Normal'!$A$10:$P$14,3,TRUE)</f>
        <v>0.14760000000000001</v>
      </c>
      <c r="BE113" s="5">
        <f>VLOOKUP(Y113,'[1]Coefficient Normal'!$A$10:$P$14,4,TRUE)</f>
        <v>-0.21829999999999999</v>
      </c>
      <c r="BF113" s="5">
        <f>VLOOKUP(Y113,'[1]Coefficient Normal'!$A$10:$P$14,5,TRUE)</f>
        <v>0.42270000000000002</v>
      </c>
      <c r="BG113" s="5">
        <f>VLOOKUP(Y113,'[1]Coefficient Normal'!$A$10:$P$14,6,TRUE)</f>
        <v>-0.53720000000000001</v>
      </c>
      <c r="BH113" s="5">
        <f>VLOOKUP(Y113,'[1]Coefficient Normal'!$A$10:$P$14,7,TRUE)</f>
        <v>1.252</v>
      </c>
      <c r="BI113" s="5">
        <f>VLOOKUP(Y113,'[1]Coefficient Normal'!$A$10:$P$14,8,TRUE)</f>
        <v>-5.9999999999999995E-4</v>
      </c>
      <c r="BJ113" s="5">
        <f>VLOOKUP(Y113,'[1]Coefficient Normal'!$A$10:$P$14,9,TRUE)</f>
        <v>5.3E-3</v>
      </c>
      <c r="BK113" s="5">
        <f>VLOOKUP(Y113,'[1]Coefficient Normal'!$A$10:$P$14,10,TRUE)</f>
        <v>-4.8500000000000001E-2</v>
      </c>
      <c r="BL113" s="5">
        <f>VLOOKUP(Y113,'[1]Coefficient Normal'!$A$10:$P$14,11,TRUE)</f>
        <v>1.2999999999999999E-3</v>
      </c>
      <c r="BM113" s="5">
        <f>VLOOKUP(Y113,'[1]Coefficient Normal'!$A$10:$P$14,12,TRUE)</f>
        <v>-0.56599999999999995</v>
      </c>
      <c r="BN113" s="5">
        <f>VLOOKUP(Y113,'[1]Coefficient Normal'!$A$10:$P$14,13,TRUE)</f>
        <v>-3.2099999999999997E-2</v>
      </c>
      <c r="BO113" s="5">
        <f>VLOOKUP(Y113,'[1]Coefficient Normal'!$A$10:$P$14,14,TRUE)</f>
        <v>0.84970000000000001</v>
      </c>
      <c r="BP113" s="5">
        <f>VLOOKUP(Y113,'[1]Coefficient Normal'!$A$10:$P$14,15,TRUE)</f>
        <v>9.01E-2</v>
      </c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D113" s="6">
        <f t="shared" si="79"/>
        <v>0</v>
      </c>
      <c r="CE113" s="6">
        <f t="shared" si="80"/>
        <v>0</v>
      </c>
      <c r="CF113" s="6">
        <f t="shared" si="81"/>
        <v>1</v>
      </c>
      <c r="CG113" s="5">
        <f t="shared" si="82"/>
        <v>1.1232245205407614</v>
      </c>
      <c r="CI113">
        <f t="shared" si="83"/>
        <v>0.8753830911863717</v>
      </c>
      <c r="CN113" s="5">
        <f t="shared" si="84"/>
        <v>1.05151435525688</v>
      </c>
      <c r="CO113" s="5">
        <f t="shared" si="85"/>
        <v>1.1810867075251368</v>
      </c>
      <c r="CP113" s="5">
        <f t="shared" si="86"/>
        <v>0.61385114310388755</v>
      </c>
      <c r="CQ113" s="5">
        <f t="shared" si="87"/>
        <v>0</v>
      </c>
      <c r="CR113" s="5">
        <f t="shared" si="88"/>
        <v>2.3077682358050104</v>
      </c>
      <c r="CS113" s="5">
        <f t="shared" si="89"/>
        <v>0.26588836192033111</v>
      </c>
      <c r="CT113" s="5">
        <f t="shared" si="90"/>
        <v>2.240894448354366</v>
      </c>
      <c r="CU113" s="7">
        <f t="shared" ref="CU113:CU131" si="105">EXP(CT113)</f>
        <v>9.4017368957857244</v>
      </c>
      <c r="CV113">
        <f>VLOOKUP(Y113,'[1]Coefficient Normal'!$A$10:$P$14,16,TRUE)</f>
        <v>0.50170000000000003</v>
      </c>
      <c r="CW113">
        <v>0.3</v>
      </c>
    </row>
    <row r="114" spans="1:101" x14ac:dyDescent="0.25">
      <c r="A114">
        <v>63</v>
      </c>
      <c r="B114">
        <v>2</v>
      </c>
      <c r="D114" t="str">
        <f t="shared" si="72"/>
        <v>Normal</v>
      </c>
      <c r="F114" s="1">
        <v>2.5498958799999998</v>
      </c>
      <c r="K114">
        <v>0.40960000000000002</v>
      </c>
      <c r="L114">
        <f t="shared" si="91"/>
        <v>409.6</v>
      </c>
      <c r="M114">
        <v>9.5250000000000005E-3</v>
      </c>
      <c r="N114">
        <f t="shared" si="91"/>
        <v>9.5250000000000004</v>
      </c>
      <c r="O114" s="3">
        <f t="shared" si="92"/>
        <v>43.00262467191601</v>
      </c>
      <c r="P114" s="1">
        <v>100</v>
      </c>
      <c r="Q114" s="4" t="s">
        <v>75</v>
      </c>
      <c r="R114" s="1">
        <f t="shared" si="93"/>
        <v>14</v>
      </c>
      <c r="S114" s="1">
        <f t="shared" si="94"/>
        <v>15</v>
      </c>
      <c r="T114" s="1">
        <f t="shared" si="95"/>
        <v>483000</v>
      </c>
      <c r="U114" s="1">
        <f t="shared" si="96"/>
        <v>565000</v>
      </c>
      <c r="V114" s="1">
        <f t="shared" si="97"/>
        <v>2.8799444073326219</v>
      </c>
      <c r="W114" s="3">
        <f>100*IF(Q114='[1]Estimation Model Normal-Slip'!$J$8,'[1]Estimation Model Normal-Slip'!$O$8,IF(Q114='[1]Estimation Model Normal-Slip'!$J$9,'[1]Estimation Model Normal-Slip'!$O$9,IF(Q114='[1]Estimation Model Normal-Slip'!$J$10,'[1]Estimation Model Normal-Slip'!$O$10,IF(Q114='[1]Estimation Model Normal-Slip'!$J$11,'[1]Estimation Model Normal-Slip'!$O$11,IF(Q114='[1]Estimation Model Normal-Slip'!$J$12,'[1]Estimation Model Normal-Slip'!$O$12,IF(Q114='[1]Estimation Model Normal-Slip'!$J$13,'[1]Estimation Model Normal-Slip'!$O$13,2))))))</f>
        <v>2.7690517990613435</v>
      </c>
      <c r="X114" s="1">
        <f t="shared" si="98"/>
        <v>1.0577709909520427</v>
      </c>
      <c r="Y114" s="1">
        <v>75</v>
      </c>
      <c r="Z114" s="1" t="s">
        <v>71</v>
      </c>
      <c r="AA114" t="s">
        <v>76</v>
      </c>
      <c r="AB114">
        <f t="shared" si="99"/>
        <v>18.5</v>
      </c>
      <c r="AC114" s="1">
        <f t="shared" si="100"/>
        <v>0</v>
      </c>
      <c r="AD114">
        <f t="shared" si="101"/>
        <v>125</v>
      </c>
      <c r="AE114">
        <f t="shared" si="102"/>
        <v>0.4</v>
      </c>
      <c r="AF114">
        <v>0.9</v>
      </c>
      <c r="AG114" s="1">
        <v>1.2</v>
      </c>
      <c r="AH114" s="1">
        <f t="shared" si="73"/>
        <v>2.9296874999999996</v>
      </c>
      <c r="AI114">
        <f t="shared" si="103"/>
        <v>64.339817545518969</v>
      </c>
      <c r="AJ114">
        <f>IF(AA114="medium dense",'[1]Coefficient Normal'!$E$18 + ('[1]Coefficient Normal'!$E$19*AH114) + ('[1]Coefficient Normal'!$E$20*(AH114^2)) + ('[1]Coefficient Normal'!$E$21*(AH114^3)) + ('[1]Coefficient Normal'!$E$22*(AH114^4)),IF(AA114="dense",'[1]Coefficient Normal'!$F$18 + ('[1]Coefficient Normal'!$F$19*AH114) + ('[1]Coefficient Normal'!$F$20*(AH114^2)) + ('[1]Coefficient Normal'!$F$21*(AH114^3)) + ('[1]Coefficient Normal'!$F$22*(AH114^4)),IF(AA114="very dense",'[1]Coefficient Normal'!$G$18 + ('[1]Coefficient Normal'!$G$19*AH114) + ('[1]Coefficient Normal'!$G$20*(AH114^2)) + ('[1]Coefficient Normal'!$G$21*(AH114^3)) + ('[1]Coefficient Normal'!$G$22*(AH114^4)),0)))</f>
        <v>0</v>
      </c>
      <c r="AK114">
        <f t="shared" si="74"/>
        <v>0</v>
      </c>
      <c r="AL114">
        <f t="shared" si="75"/>
        <v>263.16800000000001</v>
      </c>
      <c r="AM114">
        <f t="shared" si="104"/>
        <v>5.5727926115125355</v>
      </c>
      <c r="AN114">
        <f t="shared" si="76"/>
        <v>3.7612611527125335</v>
      </c>
      <c r="AO114">
        <f t="shared" si="77"/>
        <v>4.1641786860207075</v>
      </c>
      <c r="AQ114" s="5">
        <f>VLOOKUP(Y114,'[1]Coefficient Normal'!$A$3:$H$7,2,TRUE)</f>
        <v>5.5951000000000004</v>
      </c>
      <c r="AR114" s="5">
        <f>VLOOKUP(Y114,'[1]Coefficient Normal'!$A$3:$H$7,3,TRUE)</f>
        <v>1.6E-2</v>
      </c>
      <c r="AS114" s="5">
        <f>VLOOKUP(Y114,'[1]Coefficient Normal'!$A$3:$H$7,4,TRUE)</f>
        <v>1.2641</v>
      </c>
      <c r="AT114" s="5">
        <f>VLOOKUP(Y114,'[1]Coefficient Normal'!$A$3:$H$7,5,TRUE)</f>
        <v>-0.52429999999999999</v>
      </c>
      <c r="AU114" s="5">
        <f>VLOOKUP(Y114,'[1]Coefficient Normal'!$A$3:$H$7,6,TRUE)</f>
        <v>0.35830000000000001</v>
      </c>
      <c r="AV114" s="5">
        <f>VLOOKUP(Y114,'[1]Coefficient Normal'!$A$3:$H$7,7,TRUE)</f>
        <v>-0.35920000000000002</v>
      </c>
      <c r="AW114" s="5">
        <f>VLOOKUP(Y114,'[1]Coefficient Normal'!$A$3:$H$7,8,TRUE)</f>
        <v>-0.2482</v>
      </c>
      <c r="AY114" s="5">
        <f t="shared" si="78"/>
        <v>-8.7846462124065994E-2</v>
      </c>
      <c r="BC114" s="5">
        <f>VLOOKUP(Y114,'[1]Coefficient Normal'!$A$10:$P$14,2,TRUE)</f>
        <v>-2.3450000000000002</v>
      </c>
      <c r="BD114" s="5">
        <f>VLOOKUP(Y114,'[1]Coefficient Normal'!$A$10:$P$14,3,TRUE)</f>
        <v>0.19470000000000001</v>
      </c>
      <c r="BE114" s="5">
        <f>VLOOKUP(Y114,'[1]Coefficient Normal'!$A$10:$P$14,4,TRUE)</f>
        <v>-0.2044</v>
      </c>
      <c r="BF114" s="5">
        <f>VLOOKUP(Y114,'[1]Coefficient Normal'!$A$10:$P$14,5,TRUE)</f>
        <v>0.4143</v>
      </c>
      <c r="BG114" s="5">
        <f>VLOOKUP(Y114,'[1]Coefficient Normal'!$A$10:$P$14,6,TRUE)</f>
        <v>-0.55710000000000004</v>
      </c>
      <c r="BH114" s="5">
        <f>VLOOKUP(Y114,'[1]Coefficient Normal'!$A$10:$P$14,7,TRUE)</f>
        <v>1.0931</v>
      </c>
      <c r="BI114" s="5">
        <f>VLOOKUP(Y114,'[1]Coefficient Normal'!$A$10:$P$14,8,TRUE)</f>
        <v>1E-4</v>
      </c>
      <c r="BJ114" s="5">
        <f>VLOOKUP(Y114,'[1]Coefficient Normal'!$A$10:$P$14,9,TRUE)</f>
        <v>3.5000000000000001E-3</v>
      </c>
      <c r="BK114" s="5">
        <f>VLOOKUP(Y114,'[1]Coefficient Normal'!$A$10:$P$14,10,TRUE)</f>
        <v>-4.07E-2</v>
      </c>
      <c r="BL114" s="5">
        <f>VLOOKUP(Y114,'[1]Coefficient Normal'!$A$10:$P$14,11,TRUE)</f>
        <v>1.6000000000000001E-3</v>
      </c>
      <c r="BM114" s="5">
        <f>VLOOKUP(Y114,'[1]Coefficient Normal'!$A$10:$P$14,12,TRUE)</f>
        <v>-0.65949999999999998</v>
      </c>
      <c r="BN114" s="5">
        <f>VLOOKUP(Y114,'[1]Coefficient Normal'!$A$10:$P$14,13,TRUE)</f>
        <v>-3.0099999999999998E-2</v>
      </c>
      <c r="BO114" s="5">
        <f>VLOOKUP(Y114,'[1]Coefficient Normal'!$A$10:$P$14,14,TRUE)</f>
        <v>0.84219999999999995</v>
      </c>
      <c r="BP114" s="5">
        <f>VLOOKUP(Y114,'[1]Coefficient Normal'!$A$10:$P$14,15,TRUE)</f>
        <v>0.50680000000000003</v>
      </c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D114" s="6">
        <f t="shared" si="79"/>
        <v>0</v>
      </c>
      <c r="CE114" s="6">
        <f t="shared" si="80"/>
        <v>0</v>
      </c>
      <c r="CF114" s="6">
        <f t="shared" si="81"/>
        <v>0</v>
      </c>
      <c r="CG114" s="5">
        <f t="shared" si="82"/>
        <v>0.71877833821449522</v>
      </c>
      <c r="CI114">
        <f t="shared" si="83"/>
        <v>0.93605252696416252</v>
      </c>
      <c r="CN114" s="5">
        <f t="shared" si="84"/>
        <v>1.0238989890882286</v>
      </c>
      <c r="CO114" s="5">
        <f t="shared" si="85"/>
        <v>0.73595641387633859</v>
      </c>
      <c r="CP114" s="5">
        <f t="shared" si="86"/>
        <v>0.7323175464331303</v>
      </c>
      <c r="CQ114" s="5">
        <f t="shared" si="87"/>
        <v>0</v>
      </c>
      <c r="CR114" s="5">
        <f t="shared" si="88"/>
        <v>2.3088079789496434</v>
      </c>
      <c r="CS114" s="5">
        <f t="shared" si="89"/>
        <v>0.49725308974858501</v>
      </c>
      <c r="CT114" s="5">
        <f t="shared" si="90"/>
        <v>1.9293350290076969</v>
      </c>
      <c r="CU114" s="7">
        <f t="shared" si="105"/>
        <v>6.8849304400058262</v>
      </c>
      <c r="CV114">
        <f>VLOOKUP(Y114,'[1]Coefficient Normal'!$A$10:$P$14,16,TRUE)</f>
        <v>0.43780000000000002</v>
      </c>
      <c r="CW114">
        <v>0.3</v>
      </c>
    </row>
    <row r="115" spans="1:101" x14ac:dyDescent="0.25">
      <c r="A115">
        <v>64</v>
      </c>
      <c r="B115">
        <v>3</v>
      </c>
      <c r="D115" t="str">
        <f t="shared" si="72"/>
        <v>Normal</v>
      </c>
      <c r="F115" s="1">
        <v>2.699997304</v>
      </c>
      <c r="K115">
        <v>0.89600000000000002</v>
      </c>
      <c r="L115">
        <f t="shared" si="91"/>
        <v>896</v>
      </c>
      <c r="M115">
        <v>9.5250000000000005E-3</v>
      </c>
      <c r="N115">
        <f t="shared" si="91"/>
        <v>9.5250000000000004</v>
      </c>
      <c r="O115" s="3">
        <f t="shared" si="92"/>
        <v>94.068241469816272</v>
      </c>
      <c r="P115" s="1">
        <v>300</v>
      </c>
      <c r="Q115" s="4" t="s">
        <v>70</v>
      </c>
      <c r="R115" s="1">
        <f t="shared" si="93"/>
        <v>8</v>
      </c>
      <c r="S115" s="1">
        <f t="shared" si="94"/>
        <v>10</v>
      </c>
      <c r="T115" s="1">
        <f t="shared" si="95"/>
        <v>359000</v>
      </c>
      <c r="U115" s="1">
        <f t="shared" si="96"/>
        <v>455000</v>
      </c>
      <c r="V115" s="1">
        <f t="shared" si="97"/>
        <v>1.9969902892117808</v>
      </c>
      <c r="W115" s="3">
        <f>100*IF(Q115='[1]Estimation Model Normal-Slip'!$J$8,'[1]Estimation Model Normal-Slip'!$O$8,IF(Q115='[1]Estimation Model Normal-Slip'!$J$9,'[1]Estimation Model Normal-Slip'!$O$9,IF(Q115='[1]Estimation Model Normal-Slip'!$J$10,'[1]Estimation Model Normal-Slip'!$O$10,IF(Q115='[1]Estimation Model Normal-Slip'!$J$11,'[1]Estimation Model Normal-Slip'!$O$11,IF(Q115='[1]Estimation Model Normal-Slip'!$J$12,'[1]Estimation Model Normal-Slip'!$O$12,IF(Q115='[1]Estimation Model Normal-Slip'!$J$13,'[1]Estimation Model Normal-Slip'!$O$13,2))))))</f>
        <v>1.9041242414694344</v>
      </c>
      <c r="X115" s="1">
        <f t="shared" si="98"/>
        <v>0.69164119173371341</v>
      </c>
      <c r="Y115" s="1">
        <v>90</v>
      </c>
      <c r="Z115" s="1" t="s">
        <v>71</v>
      </c>
      <c r="AA115" t="s">
        <v>72</v>
      </c>
      <c r="AB115">
        <f t="shared" si="99"/>
        <v>17.5</v>
      </c>
      <c r="AC115" s="1">
        <f t="shared" si="100"/>
        <v>0</v>
      </c>
      <c r="AD115">
        <f t="shared" si="101"/>
        <v>37.5</v>
      </c>
      <c r="AE115">
        <f t="shared" si="102"/>
        <v>1.1000000000000001</v>
      </c>
      <c r="AF115">
        <v>0.9</v>
      </c>
      <c r="AG115" s="1">
        <v>2.5</v>
      </c>
      <c r="AH115" s="1">
        <f t="shared" si="73"/>
        <v>2.7901785714285712</v>
      </c>
      <c r="AI115">
        <f t="shared" si="103"/>
        <v>116.11326447667876</v>
      </c>
      <c r="AJ115">
        <f>IF(AA115="medium dense",'[1]Coefficient Normal'!$E$18 + ('[1]Coefficient Normal'!$E$19*AH115) + ('[1]Coefficient Normal'!$E$20*(AH115^2)) + ('[1]Coefficient Normal'!$E$21*(AH115^3)) + ('[1]Coefficient Normal'!$E$22*(AH115^4)),IF(AA115="dense",'[1]Coefficient Normal'!$F$18 + ('[1]Coefficient Normal'!$F$19*AH115) + ('[1]Coefficient Normal'!$F$20*(AH115^2)) + ('[1]Coefficient Normal'!$F$21*(AH115^3)) + ('[1]Coefficient Normal'!$F$22*(AH115^4)),IF(AA115="very dense",'[1]Coefficient Normal'!$G$18 + ('[1]Coefficient Normal'!$G$19*AH115) + ('[1]Coefficient Normal'!$G$20*(AH115^2)) + ('[1]Coefficient Normal'!$G$21*(AH115^3)) + ('[1]Coefficient Normal'!$G$22*(AH115^4)),0)))</f>
        <v>0</v>
      </c>
      <c r="AK115">
        <f t="shared" si="74"/>
        <v>0</v>
      </c>
      <c r="AL115">
        <f t="shared" si="75"/>
        <v>172.70400000000001</v>
      </c>
      <c r="AM115">
        <f t="shared" si="104"/>
        <v>5.1515791464362319</v>
      </c>
      <c r="AN115">
        <f t="shared" si="76"/>
        <v>4.5440204919621658</v>
      </c>
      <c r="AO115">
        <f t="shared" si="77"/>
        <v>4.7545661326228839</v>
      </c>
      <c r="AQ115" s="5">
        <f>VLOOKUP(Y115,'[1]Coefficient Normal'!$A$3:$H$7,2,TRUE)</f>
        <v>14.575100000000001</v>
      </c>
      <c r="AR115" s="5">
        <f>VLOOKUP(Y115,'[1]Coefficient Normal'!$A$3:$H$7,3,TRUE)</f>
        <v>0.1356</v>
      </c>
      <c r="AS115" s="5">
        <f>VLOOKUP(Y115,'[1]Coefficient Normal'!$A$3:$H$7,4,TRUE)</f>
        <v>2.9990000000000001</v>
      </c>
      <c r="AT115" s="5">
        <f>VLOOKUP(Y115,'[1]Coefficient Normal'!$A$3:$H$7,5,TRUE)</f>
        <v>-0.94710000000000005</v>
      </c>
      <c r="AU115" s="5">
        <f>VLOOKUP(Y115,'[1]Coefficient Normal'!$A$3:$H$7,6,TRUE)</f>
        <v>0.6603</v>
      </c>
      <c r="AV115" s="5">
        <f>VLOOKUP(Y115,'[1]Coefficient Normal'!$A$3:$H$7,7,TRUE)</f>
        <v>-1.2488999999999999</v>
      </c>
      <c r="AW115" s="5">
        <f>VLOOKUP(Y115,'[1]Coefficient Normal'!$A$3:$H$7,8,TRUE)</f>
        <v>-0.44140000000000001</v>
      </c>
      <c r="AY115" s="5">
        <f t="shared" si="78"/>
        <v>2.6397743044482214</v>
      </c>
      <c r="BC115" s="5">
        <f>VLOOKUP(Y115,'[1]Coefficient Normal'!$A$10:$P$14,2,TRUE)</f>
        <v>5.1353999999999997</v>
      </c>
      <c r="BD115" s="5">
        <f>VLOOKUP(Y115,'[1]Coefficient Normal'!$A$10:$P$14,3,TRUE)</f>
        <v>-4.9599999999999998E-2</v>
      </c>
      <c r="BE115" s="5">
        <f>VLOOKUP(Y115,'[1]Coefficient Normal'!$A$10:$P$14,4,TRUE)</f>
        <v>0.44590000000000002</v>
      </c>
      <c r="BF115" s="5">
        <f>VLOOKUP(Y115,'[1]Coefficient Normal'!$A$10:$P$14,5,TRUE)</f>
        <v>-0.83709999999999996</v>
      </c>
      <c r="BG115" s="5">
        <f>VLOOKUP(Y115,'[1]Coefficient Normal'!$A$10:$P$14,6,TRUE)</f>
        <v>0.63090000000000002</v>
      </c>
      <c r="BH115" s="5">
        <f>VLOOKUP(Y115,'[1]Coefficient Normal'!$A$10:$P$14,7,TRUE)</f>
        <v>0.91390000000000005</v>
      </c>
      <c r="BI115" s="5">
        <f>VLOOKUP(Y115,'[1]Coefficient Normal'!$A$10:$P$14,8,TRUE)</f>
        <v>2.5000000000000001E-3</v>
      </c>
      <c r="BJ115" s="5">
        <f>VLOOKUP(Y115,'[1]Coefficient Normal'!$A$10:$P$14,9,TRUE)</f>
        <v>1.6000000000000001E-3</v>
      </c>
      <c r="BK115" s="5">
        <f>VLOOKUP(Y115,'[1]Coefficient Normal'!$A$10:$P$14,10,TRUE)</f>
        <v>-9.7500000000000003E-2</v>
      </c>
      <c r="BL115" s="5">
        <f>VLOOKUP(Y115,'[1]Coefficient Normal'!$A$10:$P$14,11,TRUE)</f>
        <v>1.1999999999999999E-3</v>
      </c>
      <c r="BM115" s="5">
        <f>VLOOKUP(Y115,'[1]Coefficient Normal'!$A$10:$P$14,12,TRUE)</f>
        <v>0.46479999999999999</v>
      </c>
      <c r="BN115" s="5">
        <f>VLOOKUP(Y115,'[1]Coefficient Normal'!$A$10:$P$14,13,TRUE)</f>
        <v>8.0000000000000004E-4</v>
      </c>
      <c r="BO115" s="5">
        <f>VLOOKUP(Y115,'[1]Coefficient Normal'!$A$10:$P$14,14,TRUE)</f>
        <v>6.7900000000000002E-2</v>
      </c>
      <c r="BP115" s="5">
        <f>VLOOKUP(Y115,'[1]Coefficient Normal'!$A$10:$P$14,15,TRUE)</f>
        <v>0.58979999999999999</v>
      </c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D115" s="6">
        <f t="shared" si="79"/>
        <v>0</v>
      </c>
      <c r="CE115" s="6">
        <f t="shared" si="80"/>
        <v>1</v>
      </c>
      <c r="CF115" s="6">
        <f t="shared" si="81"/>
        <v>0</v>
      </c>
      <c r="CG115" s="5">
        <f t="shared" si="82"/>
        <v>1.2195650509554765</v>
      </c>
      <c r="CI115">
        <f t="shared" si="83"/>
        <v>0.99325077449126642</v>
      </c>
      <c r="CN115" s="5">
        <f t="shared" si="84"/>
        <v>-1.6465235299569549</v>
      </c>
      <c r="CO115" s="5">
        <f t="shared" si="85"/>
        <v>-2.0080425527113448</v>
      </c>
      <c r="CP115" s="5">
        <f t="shared" si="86"/>
        <v>-0.22538341640132342</v>
      </c>
      <c r="CQ115" s="5">
        <f t="shared" si="87"/>
        <v>0</v>
      </c>
      <c r="CR115" s="5">
        <f t="shared" si="88"/>
        <v>-4.3123869034817695</v>
      </c>
      <c r="CS115" s="5">
        <f t="shared" si="89"/>
        <v>-6.928219896394662E-2</v>
      </c>
      <c r="CT115" s="5">
        <f t="shared" si="90"/>
        <v>-1.4796950715583848</v>
      </c>
      <c r="CU115" s="7">
        <f t="shared" si="105"/>
        <v>0.22770711217349057</v>
      </c>
      <c r="CV115">
        <f>VLOOKUP(Y115,'[1]Coefficient Normal'!$A$10:$P$14,16,TRUE)</f>
        <v>0.34749999999999998</v>
      </c>
      <c r="CW115">
        <v>0.3</v>
      </c>
    </row>
    <row r="116" spans="1:101" x14ac:dyDescent="0.25">
      <c r="A116">
        <v>65</v>
      </c>
      <c r="B116">
        <v>4</v>
      </c>
      <c r="D116" t="str">
        <f t="shared" si="72"/>
        <v>Normal</v>
      </c>
      <c r="F116" s="1">
        <v>2.8500987279999999</v>
      </c>
      <c r="K116">
        <v>0.5</v>
      </c>
      <c r="L116">
        <f t="shared" si="91"/>
        <v>500</v>
      </c>
      <c r="M116">
        <v>9.5250000000000005E-3</v>
      </c>
      <c r="N116">
        <f t="shared" si="91"/>
        <v>9.5250000000000004</v>
      </c>
      <c r="O116" s="3">
        <f t="shared" si="92"/>
        <v>52.493438320209975</v>
      </c>
      <c r="P116" s="1">
        <v>30</v>
      </c>
      <c r="Q116" s="4" t="s">
        <v>75</v>
      </c>
      <c r="R116" s="1">
        <f t="shared" si="93"/>
        <v>14</v>
      </c>
      <c r="S116" s="1">
        <f t="shared" si="94"/>
        <v>15</v>
      </c>
      <c r="T116" s="1">
        <f t="shared" si="95"/>
        <v>483000</v>
      </c>
      <c r="U116" s="1">
        <f t="shared" si="96"/>
        <v>565000</v>
      </c>
      <c r="V116" s="1">
        <f t="shared" si="97"/>
        <v>2.8799444073326219</v>
      </c>
      <c r="W116" s="3">
        <f>100*IF(Q116='[1]Estimation Model Normal-Slip'!$J$8,'[1]Estimation Model Normal-Slip'!$O$8,IF(Q116='[1]Estimation Model Normal-Slip'!$J$9,'[1]Estimation Model Normal-Slip'!$O$9,IF(Q116='[1]Estimation Model Normal-Slip'!$J$10,'[1]Estimation Model Normal-Slip'!$O$10,IF(Q116='[1]Estimation Model Normal-Slip'!$J$11,'[1]Estimation Model Normal-Slip'!$O$11,IF(Q116='[1]Estimation Model Normal-Slip'!$J$12,'[1]Estimation Model Normal-Slip'!$O$12,IF(Q116='[1]Estimation Model Normal-Slip'!$J$13,'[1]Estimation Model Normal-Slip'!$O$13,2))))))</f>
        <v>2.7690517990613435</v>
      </c>
      <c r="X116" s="1">
        <f t="shared" si="98"/>
        <v>1.0577709909520427</v>
      </c>
      <c r="Y116" s="1">
        <v>45</v>
      </c>
      <c r="Z116" s="1" t="s">
        <v>71</v>
      </c>
      <c r="AA116" t="s">
        <v>74</v>
      </c>
      <c r="AB116">
        <f t="shared" si="99"/>
        <v>18</v>
      </c>
      <c r="AC116" s="1">
        <f t="shared" si="100"/>
        <v>0</v>
      </c>
      <c r="AD116">
        <f t="shared" si="101"/>
        <v>75</v>
      </c>
      <c r="AE116">
        <f t="shared" si="102"/>
        <v>0.72</v>
      </c>
      <c r="AF116">
        <v>0.9</v>
      </c>
      <c r="AG116" s="1">
        <v>1</v>
      </c>
      <c r="AH116" s="1">
        <f t="shared" si="73"/>
        <v>2</v>
      </c>
      <c r="AI116">
        <f t="shared" si="103"/>
        <v>84.823001646924411</v>
      </c>
      <c r="AJ116">
        <f>IF(AA116="medium dense",'[1]Coefficient Normal'!$E$18 + ('[1]Coefficient Normal'!$E$19*AH116) + ('[1]Coefficient Normal'!$E$20*(AH116^2)) + ('[1]Coefficient Normal'!$E$21*(AH116^3)) + ('[1]Coefficient Normal'!$E$22*(AH116^4)),IF(AA116="dense",'[1]Coefficient Normal'!$F$18 + ('[1]Coefficient Normal'!$F$19*AH116) + ('[1]Coefficient Normal'!$F$20*(AH116^2)) + ('[1]Coefficient Normal'!$F$21*(AH116^3)) + ('[1]Coefficient Normal'!$F$22*(AH116^4)),IF(AA116="very dense",'[1]Coefficient Normal'!$G$18 + ('[1]Coefficient Normal'!$G$19*AH116) + ('[1]Coefficient Normal'!$G$20*(AH116^2)) + ('[1]Coefficient Normal'!$G$21*(AH116^3)) + ('[1]Coefficient Normal'!$G$22*(AH116^4)),0)))</f>
        <v>0</v>
      </c>
      <c r="AK116">
        <f t="shared" si="74"/>
        <v>0</v>
      </c>
      <c r="AL116">
        <f t="shared" si="75"/>
        <v>192.75</v>
      </c>
      <c r="AM116">
        <f t="shared" si="104"/>
        <v>5.2613940124434393</v>
      </c>
      <c r="AN116">
        <f t="shared" si="76"/>
        <v>3.9606881774094269</v>
      </c>
      <c r="AO116">
        <f t="shared" si="77"/>
        <v>4.4405667518537291</v>
      </c>
      <c r="AQ116" s="5">
        <f>VLOOKUP(Y116,'[1]Coefficient Normal'!$A$3:$H$7,2,TRUE)</f>
        <v>3.7532999999999999</v>
      </c>
      <c r="AR116" s="5">
        <f>VLOOKUP(Y116,'[1]Coefficient Normal'!$A$3:$H$7,3,TRUE)</f>
        <v>0.14510000000000001</v>
      </c>
      <c r="AS116" s="5">
        <f>VLOOKUP(Y116,'[1]Coefficient Normal'!$A$3:$H$7,4,TRUE)</f>
        <v>1.2497</v>
      </c>
      <c r="AT116" s="5">
        <f>VLOOKUP(Y116,'[1]Coefficient Normal'!$A$3:$H$7,5,TRUE)</f>
        <v>-0.46100000000000002</v>
      </c>
      <c r="AU116" s="5">
        <f>VLOOKUP(Y116,'[1]Coefficient Normal'!$A$3:$H$7,6,TRUE)</f>
        <v>0.39140000000000003</v>
      </c>
      <c r="AV116" s="5">
        <f>VLOOKUP(Y116,'[1]Coefficient Normal'!$A$3:$H$7,7,TRUE)</f>
        <v>-0.21310000000000001</v>
      </c>
      <c r="AW116" s="5">
        <f>VLOOKUP(Y116,'[1]Coefficient Normal'!$A$3:$H$7,8,TRUE)</f>
        <v>-0.34139999999999998</v>
      </c>
      <c r="AY116" s="5">
        <f t="shared" si="78"/>
        <v>-0.66849052852826096</v>
      </c>
      <c r="BC116" s="5">
        <f>VLOOKUP(Y116,'[1]Coefficient Normal'!$A$10:$P$14,2,TRUE)</f>
        <v>-1.1082000000000001</v>
      </c>
      <c r="BD116" s="5">
        <f>VLOOKUP(Y116,'[1]Coefficient Normal'!$A$10:$P$14,3,TRUE)</f>
        <v>0.10630000000000001</v>
      </c>
      <c r="BE116" s="5">
        <f>VLOOKUP(Y116,'[1]Coefficient Normal'!$A$10:$P$14,4,TRUE)</f>
        <v>-0.1439</v>
      </c>
      <c r="BF116" s="5">
        <f>VLOOKUP(Y116,'[1]Coefficient Normal'!$A$10:$P$14,5,TRUE)</f>
        <v>0.27879999999999999</v>
      </c>
      <c r="BG116" s="5">
        <f>VLOOKUP(Y116,'[1]Coefficient Normal'!$A$10:$P$14,6,TRUE)</f>
        <v>-0.31030000000000002</v>
      </c>
      <c r="BH116" s="5">
        <f>VLOOKUP(Y116,'[1]Coefficient Normal'!$A$10:$P$14,7,TRUE)</f>
        <v>1.2553000000000001</v>
      </c>
      <c r="BI116" s="5">
        <f>VLOOKUP(Y116,'[1]Coefficient Normal'!$A$10:$P$14,8,TRUE)</f>
        <v>2.9999999999999997E-4</v>
      </c>
      <c r="BJ116" s="5">
        <f>VLOOKUP(Y116,'[1]Coefficient Normal'!$A$10:$P$14,9,TRUE)</f>
        <v>5.1999999999999998E-3</v>
      </c>
      <c r="BK116" s="5">
        <f>VLOOKUP(Y116,'[1]Coefficient Normal'!$A$10:$P$14,10,TRUE)</f>
        <v>-8.5900000000000004E-2</v>
      </c>
      <c r="BL116" s="5">
        <f>VLOOKUP(Y116,'[1]Coefficient Normal'!$A$10:$P$14,11,TRUE)</f>
        <v>5.9999999999999995E-4</v>
      </c>
      <c r="BM116" s="5">
        <f>VLOOKUP(Y116,'[1]Coefficient Normal'!$A$10:$P$14,12,TRUE)</f>
        <v>-0.21759999999999999</v>
      </c>
      <c r="BN116" s="5">
        <f>VLOOKUP(Y116,'[1]Coefficient Normal'!$A$10:$P$14,13,TRUE)</f>
        <v>-2.69E-2</v>
      </c>
      <c r="BO116" s="5">
        <f>VLOOKUP(Y116,'[1]Coefficient Normal'!$A$10:$P$14,14,TRUE)</f>
        <v>0.57389999999999997</v>
      </c>
      <c r="BP116" s="5">
        <f>VLOOKUP(Y116,'[1]Coefficient Normal'!$A$10:$P$14,15,TRUE)</f>
        <v>0.34460000000000002</v>
      </c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D116" s="6">
        <f t="shared" si="79"/>
        <v>0</v>
      </c>
      <c r="CE116" s="6">
        <f t="shared" si="80"/>
        <v>0</v>
      </c>
      <c r="CF116" s="6">
        <f t="shared" si="81"/>
        <v>1</v>
      </c>
      <c r="CG116" s="5">
        <f t="shared" si="82"/>
        <v>2.0299078834820738</v>
      </c>
      <c r="CI116">
        <f t="shared" si="83"/>
        <v>1.0473536350840684</v>
      </c>
      <c r="CN116" s="5">
        <f t="shared" si="84"/>
        <v>1.7158441636123294</v>
      </c>
      <c r="CO116" s="5">
        <f t="shared" si="85"/>
        <v>3.4830055945433727</v>
      </c>
      <c r="CP116" s="5">
        <f t="shared" si="86"/>
        <v>0.42102115325862211</v>
      </c>
      <c r="CQ116" s="5">
        <f t="shared" si="87"/>
        <v>0</v>
      </c>
      <c r="CR116" s="5">
        <f t="shared" si="88"/>
        <v>1.4668766506692308</v>
      </c>
      <c r="CS116" s="5">
        <f t="shared" si="89"/>
        <v>0.21508357012775103</v>
      </c>
      <c r="CT116" s="5">
        <f t="shared" si="90"/>
        <v>4.4777869685989762</v>
      </c>
      <c r="CU116" s="7">
        <f t="shared" si="105"/>
        <v>88.03962248006998</v>
      </c>
      <c r="CV116">
        <f>VLOOKUP(Y116,'[1]Coefficient Normal'!$A$10:$P$14,16,TRUE)</f>
        <v>0.3997</v>
      </c>
      <c r="CW116">
        <v>0.3</v>
      </c>
    </row>
    <row r="117" spans="1:101" x14ac:dyDescent="0.25">
      <c r="A117">
        <v>66</v>
      </c>
      <c r="B117">
        <v>5</v>
      </c>
      <c r="D117" t="str">
        <f t="shared" si="72"/>
        <v>Normal</v>
      </c>
      <c r="F117" s="1">
        <v>3.0002260330000001</v>
      </c>
      <c r="K117">
        <v>1.0668</v>
      </c>
      <c r="L117">
        <f t="shared" si="91"/>
        <v>1066.8</v>
      </c>
      <c r="M117">
        <v>9.5250000000000005E-3</v>
      </c>
      <c r="N117">
        <f t="shared" si="91"/>
        <v>9.5250000000000004</v>
      </c>
      <c r="O117" s="3">
        <f t="shared" si="92"/>
        <v>111.99999999999999</v>
      </c>
      <c r="P117" s="1">
        <v>50</v>
      </c>
      <c r="Q117" s="4" t="s">
        <v>77</v>
      </c>
      <c r="R117" s="1">
        <f t="shared" si="93"/>
        <v>15</v>
      </c>
      <c r="S117" s="1">
        <f t="shared" si="94"/>
        <v>20</v>
      </c>
      <c r="T117" s="1">
        <f t="shared" si="95"/>
        <v>552000</v>
      </c>
      <c r="U117" s="1">
        <f t="shared" si="96"/>
        <v>625000</v>
      </c>
      <c r="V117" s="1">
        <f t="shared" si="97"/>
        <v>2.9888368774026359</v>
      </c>
      <c r="W117" s="3">
        <f>100*IF(Q117='[1]Estimation Model Normal-Slip'!$J$8,'[1]Estimation Model Normal-Slip'!$O$8,IF(Q117='[1]Estimation Model Normal-Slip'!$J$9,'[1]Estimation Model Normal-Slip'!$O$9,IF(Q117='[1]Estimation Model Normal-Slip'!$J$10,'[1]Estimation Model Normal-Slip'!$O$10,IF(Q117='[1]Estimation Model Normal-Slip'!$J$11,'[1]Estimation Model Normal-Slip'!$O$11,IF(Q117='[1]Estimation Model Normal-Slip'!$J$12,'[1]Estimation Model Normal-Slip'!$O$12,IF(Q117='[1]Estimation Model Normal-Slip'!$J$13,'[1]Estimation Model Normal-Slip'!$O$13,2))))))</f>
        <v>2.8464933991254466</v>
      </c>
      <c r="X117" s="1">
        <f t="shared" si="98"/>
        <v>1.0948843075076633</v>
      </c>
      <c r="Y117" s="1">
        <v>60</v>
      </c>
      <c r="Z117" s="1" t="s">
        <v>71</v>
      </c>
      <c r="AA117" t="s">
        <v>76</v>
      </c>
      <c r="AB117">
        <f t="shared" si="99"/>
        <v>18.5</v>
      </c>
      <c r="AC117" s="1">
        <f t="shared" si="100"/>
        <v>0</v>
      </c>
      <c r="AD117">
        <f t="shared" si="101"/>
        <v>125</v>
      </c>
      <c r="AE117">
        <f t="shared" si="102"/>
        <v>0.4</v>
      </c>
      <c r="AF117">
        <v>0.9</v>
      </c>
      <c r="AG117" s="1">
        <v>1.2</v>
      </c>
      <c r="AH117" s="1">
        <f t="shared" si="73"/>
        <v>1.8</v>
      </c>
      <c r="AI117">
        <f t="shared" si="103"/>
        <v>167.57255214247957</v>
      </c>
      <c r="AJ117">
        <f>IF(AA117="medium dense",'[1]Coefficient Normal'!$E$18 + ('[1]Coefficient Normal'!$E$19*AH117) + ('[1]Coefficient Normal'!$E$20*(AH117^2)) + ('[1]Coefficient Normal'!$E$21*(AH117^3)) + ('[1]Coefficient Normal'!$E$22*(AH117^4)),IF(AA117="dense",'[1]Coefficient Normal'!$F$18 + ('[1]Coefficient Normal'!$F$19*AH117) + ('[1]Coefficient Normal'!$F$20*(AH117^2)) + ('[1]Coefficient Normal'!$F$21*(AH117^3)) + ('[1]Coefficient Normal'!$F$22*(AH117^4)),IF(AA117="very dense",'[1]Coefficient Normal'!$G$18 + ('[1]Coefficient Normal'!$G$19*AH117) + ('[1]Coefficient Normal'!$G$20*(AH117^2)) + ('[1]Coefficient Normal'!$G$21*(AH117^3)) + ('[1]Coefficient Normal'!$G$22*(AH117^4)),0)))</f>
        <v>0</v>
      </c>
      <c r="AK117">
        <f t="shared" si="74"/>
        <v>0</v>
      </c>
      <c r="AL117">
        <f t="shared" si="75"/>
        <v>685.41899999999998</v>
      </c>
      <c r="AM117">
        <f t="shared" si="104"/>
        <v>6.530030330095097</v>
      </c>
      <c r="AN117">
        <f t="shared" si="76"/>
        <v>4.7184988712950942</v>
      </c>
      <c r="AO117">
        <f t="shared" si="77"/>
        <v>5.1214164046032682</v>
      </c>
      <c r="AQ117" s="5">
        <f>VLOOKUP(Y117,'[1]Coefficient Normal'!$A$3:$H$7,2,TRUE)</f>
        <v>4.3182999999999998</v>
      </c>
      <c r="AR117" s="5">
        <f>VLOOKUP(Y117,'[1]Coefficient Normal'!$A$3:$H$7,3,TRUE)</f>
        <v>-2.7900000000000001E-2</v>
      </c>
      <c r="AS117" s="5">
        <f>VLOOKUP(Y117,'[1]Coefficient Normal'!$A$3:$H$7,4,TRUE)</f>
        <v>1.0497000000000001</v>
      </c>
      <c r="AT117" s="5">
        <f>VLOOKUP(Y117,'[1]Coefficient Normal'!$A$3:$H$7,5,TRUE)</f>
        <v>-0.46910000000000002</v>
      </c>
      <c r="AU117" s="5">
        <f>VLOOKUP(Y117,'[1]Coefficient Normal'!$A$3:$H$7,6,TRUE)</f>
        <v>0.29149999999999998</v>
      </c>
      <c r="AV117" s="5">
        <f>VLOOKUP(Y117,'[1]Coefficient Normal'!$A$3:$H$7,7,TRUE)</f>
        <v>-0.28610000000000002</v>
      </c>
      <c r="AW117" s="5">
        <f>VLOOKUP(Y117,'[1]Coefficient Normal'!$A$3:$H$7,8,TRUE)</f>
        <v>-0.1348</v>
      </c>
      <c r="AY117" s="5">
        <f t="shared" si="78"/>
        <v>-0.17586580558020715</v>
      </c>
      <c r="BC117" s="5">
        <f>VLOOKUP(Y117,'[1]Coefficient Normal'!$A$10:$P$14,2,TRUE)</f>
        <v>-2.1276999999999999</v>
      </c>
      <c r="BD117" s="5">
        <f>VLOOKUP(Y117,'[1]Coefficient Normal'!$A$10:$P$14,3,TRUE)</f>
        <v>0.14760000000000001</v>
      </c>
      <c r="BE117" s="5">
        <f>VLOOKUP(Y117,'[1]Coefficient Normal'!$A$10:$P$14,4,TRUE)</f>
        <v>-0.21829999999999999</v>
      </c>
      <c r="BF117" s="5">
        <f>VLOOKUP(Y117,'[1]Coefficient Normal'!$A$10:$P$14,5,TRUE)</f>
        <v>0.42270000000000002</v>
      </c>
      <c r="BG117" s="5">
        <f>VLOOKUP(Y117,'[1]Coefficient Normal'!$A$10:$P$14,6,TRUE)</f>
        <v>-0.53720000000000001</v>
      </c>
      <c r="BH117" s="5">
        <f>VLOOKUP(Y117,'[1]Coefficient Normal'!$A$10:$P$14,7,TRUE)</f>
        <v>1.252</v>
      </c>
      <c r="BI117" s="5">
        <f>VLOOKUP(Y117,'[1]Coefficient Normal'!$A$10:$P$14,8,TRUE)</f>
        <v>-5.9999999999999995E-4</v>
      </c>
      <c r="BJ117" s="5">
        <f>VLOOKUP(Y117,'[1]Coefficient Normal'!$A$10:$P$14,9,TRUE)</f>
        <v>5.3E-3</v>
      </c>
      <c r="BK117" s="5">
        <f>VLOOKUP(Y117,'[1]Coefficient Normal'!$A$10:$P$14,10,TRUE)</f>
        <v>-4.8500000000000001E-2</v>
      </c>
      <c r="BL117" s="5">
        <f>VLOOKUP(Y117,'[1]Coefficient Normal'!$A$10:$P$14,11,TRUE)</f>
        <v>1.2999999999999999E-3</v>
      </c>
      <c r="BM117" s="5">
        <f>VLOOKUP(Y117,'[1]Coefficient Normal'!$A$10:$P$14,12,TRUE)</f>
        <v>-0.56599999999999995</v>
      </c>
      <c r="BN117" s="5">
        <f>VLOOKUP(Y117,'[1]Coefficient Normal'!$A$10:$P$14,13,TRUE)</f>
        <v>-3.2099999999999997E-2</v>
      </c>
      <c r="BO117" s="5">
        <f>VLOOKUP(Y117,'[1]Coefficient Normal'!$A$10:$P$14,14,TRUE)</f>
        <v>0.84970000000000001</v>
      </c>
      <c r="BP117" s="5">
        <f>VLOOKUP(Y117,'[1]Coefficient Normal'!$A$10:$P$14,15,TRUE)</f>
        <v>9.01E-2</v>
      </c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D117" s="6">
        <f t="shared" si="79"/>
        <v>0</v>
      </c>
      <c r="CE117" s="6">
        <f t="shared" si="80"/>
        <v>0</v>
      </c>
      <c r="CF117" s="6">
        <f t="shared" si="81"/>
        <v>1</v>
      </c>
      <c r="CG117" s="5">
        <f t="shared" si="82"/>
        <v>1.1376490761064402</v>
      </c>
      <c r="CI117">
        <f t="shared" si="83"/>
        <v>1.0986876301632014</v>
      </c>
      <c r="CN117" s="5">
        <f t="shared" si="84"/>
        <v>1.2745534357434085</v>
      </c>
      <c r="CO117" s="5">
        <f t="shared" si="85"/>
        <v>1.4499945386217779</v>
      </c>
      <c r="CP117" s="5">
        <f t="shared" si="86"/>
        <v>0.69645043340315593</v>
      </c>
      <c r="CQ117" s="5">
        <f t="shared" si="87"/>
        <v>0</v>
      </c>
      <c r="CR117" s="5">
        <f t="shared" si="88"/>
        <v>2.7602438205311977</v>
      </c>
      <c r="CS117" s="5">
        <f t="shared" si="89"/>
        <v>-3.4737239358577927E-2</v>
      </c>
      <c r="CT117" s="5">
        <f t="shared" si="90"/>
        <v>2.7442515531975533</v>
      </c>
      <c r="CU117" s="7">
        <f t="shared" si="105"/>
        <v>15.552969005003565</v>
      </c>
      <c r="CV117">
        <f>VLOOKUP(Y117,'[1]Coefficient Normal'!$A$10:$P$14,16,TRUE)</f>
        <v>0.50170000000000003</v>
      </c>
      <c r="CW117">
        <v>0.3</v>
      </c>
    </row>
    <row r="118" spans="1:101" x14ac:dyDescent="0.25">
      <c r="A118">
        <v>67</v>
      </c>
      <c r="B118">
        <v>6</v>
      </c>
      <c r="D118" t="str">
        <f t="shared" si="72"/>
        <v>Normal</v>
      </c>
      <c r="F118" s="1">
        <v>0.14999670000000001</v>
      </c>
      <c r="K118">
        <v>0.60960000000000003</v>
      </c>
      <c r="L118">
        <f t="shared" si="91"/>
        <v>609.6</v>
      </c>
      <c r="M118">
        <v>9.5250000000000005E-3</v>
      </c>
      <c r="N118">
        <f t="shared" si="91"/>
        <v>9.5250000000000004</v>
      </c>
      <c r="O118" s="3">
        <f t="shared" si="92"/>
        <v>64</v>
      </c>
      <c r="P118" s="1">
        <v>100</v>
      </c>
      <c r="Q118" s="4" t="s">
        <v>70</v>
      </c>
      <c r="R118" s="1">
        <f t="shared" si="93"/>
        <v>8</v>
      </c>
      <c r="S118" s="1">
        <f t="shared" si="94"/>
        <v>10</v>
      </c>
      <c r="T118" s="1">
        <f t="shared" si="95"/>
        <v>359000</v>
      </c>
      <c r="U118" s="1">
        <f t="shared" si="96"/>
        <v>455000</v>
      </c>
      <c r="V118" s="1">
        <f t="shared" si="97"/>
        <v>1.9969902892117808</v>
      </c>
      <c r="W118" s="3">
        <f>100*IF(Q118='[1]Estimation Model Normal-Slip'!$J$8,'[1]Estimation Model Normal-Slip'!$O$8,IF(Q118='[1]Estimation Model Normal-Slip'!$J$9,'[1]Estimation Model Normal-Slip'!$O$9,IF(Q118='[1]Estimation Model Normal-Slip'!$J$10,'[1]Estimation Model Normal-Slip'!$O$10,IF(Q118='[1]Estimation Model Normal-Slip'!$J$11,'[1]Estimation Model Normal-Slip'!$O$11,IF(Q118='[1]Estimation Model Normal-Slip'!$J$12,'[1]Estimation Model Normal-Slip'!$O$12,IF(Q118='[1]Estimation Model Normal-Slip'!$J$13,'[1]Estimation Model Normal-Slip'!$O$13,2))))))</f>
        <v>1.9041242414694344</v>
      </c>
      <c r="X118" s="1">
        <f t="shared" si="98"/>
        <v>0.69164119173371341</v>
      </c>
      <c r="Y118" s="1">
        <v>75</v>
      </c>
      <c r="Z118" s="1" t="s">
        <v>71</v>
      </c>
      <c r="AA118" t="s">
        <v>72</v>
      </c>
      <c r="AB118">
        <f t="shared" si="99"/>
        <v>17.5</v>
      </c>
      <c r="AC118" s="1">
        <f t="shared" si="100"/>
        <v>0</v>
      </c>
      <c r="AD118">
        <f t="shared" si="101"/>
        <v>37.5</v>
      </c>
      <c r="AE118">
        <f t="shared" si="102"/>
        <v>1.1000000000000001</v>
      </c>
      <c r="AF118">
        <v>0.9</v>
      </c>
      <c r="AG118" s="1">
        <v>0.78739999999999999</v>
      </c>
      <c r="AH118" s="1">
        <f t="shared" si="73"/>
        <v>1.8</v>
      </c>
      <c r="AI118">
        <f t="shared" si="103"/>
        <v>78.998488867168945</v>
      </c>
      <c r="AJ118">
        <f>IF(AA118="medium dense",'[1]Coefficient Normal'!$E$18 + ('[1]Coefficient Normal'!$E$19*AH118) + ('[1]Coefficient Normal'!$E$20*(AH118^2)) + ('[1]Coefficient Normal'!$E$21*(AH118^3)) + ('[1]Coefficient Normal'!$E$22*(AH118^4)),IF(AA118="dense",'[1]Coefficient Normal'!$F$18 + ('[1]Coefficient Normal'!$F$19*AH118) + ('[1]Coefficient Normal'!$F$20*(AH118^2)) + ('[1]Coefficient Normal'!$F$21*(AH118^3)) + ('[1]Coefficient Normal'!$F$22*(AH118^4)),IF(AA118="very dense",'[1]Coefficient Normal'!$G$18 + ('[1]Coefficient Normal'!$G$19*AH118) + ('[1]Coefficient Normal'!$G$20*(AH118^2)) + ('[1]Coefficient Normal'!$G$21*(AH118^3)) + ('[1]Coefficient Normal'!$G$22*(AH118^4)),0)))</f>
        <v>0</v>
      </c>
      <c r="AK118">
        <f t="shared" si="74"/>
        <v>0</v>
      </c>
      <c r="AL118">
        <f t="shared" si="75"/>
        <v>117.5004</v>
      </c>
      <c r="AM118">
        <f t="shared" si="104"/>
        <v>4.7664417378337385</v>
      </c>
      <c r="AN118">
        <f t="shared" si="76"/>
        <v>4.1588830833596715</v>
      </c>
      <c r="AO118">
        <f t="shared" si="77"/>
        <v>4.3694287240203895</v>
      </c>
      <c r="AQ118" s="5">
        <f>VLOOKUP(Y118,'[1]Coefficient Normal'!$A$3:$H$7,2,TRUE)</f>
        <v>5.5951000000000004</v>
      </c>
      <c r="AR118" s="5">
        <f>VLOOKUP(Y118,'[1]Coefficient Normal'!$A$3:$H$7,3,TRUE)</f>
        <v>1.6E-2</v>
      </c>
      <c r="AS118" s="5">
        <f>VLOOKUP(Y118,'[1]Coefficient Normal'!$A$3:$H$7,4,TRUE)</f>
        <v>1.2641</v>
      </c>
      <c r="AT118" s="5">
        <f>VLOOKUP(Y118,'[1]Coefficient Normal'!$A$3:$H$7,5,TRUE)</f>
        <v>-0.52429999999999999</v>
      </c>
      <c r="AU118" s="5">
        <f>VLOOKUP(Y118,'[1]Coefficient Normal'!$A$3:$H$7,6,TRUE)</f>
        <v>0.35830000000000001</v>
      </c>
      <c r="AV118" s="5">
        <f>VLOOKUP(Y118,'[1]Coefficient Normal'!$A$3:$H$7,7,TRUE)</f>
        <v>-0.35920000000000002</v>
      </c>
      <c r="AW118" s="5">
        <f>VLOOKUP(Y118,'[1]Coefficient Normal'!$A$3:$H$7,8,TRUE)</f>
        <v>-0.2482</v>
      </c>
      <c r="AY118" s="5">
        <f t="shared" si="78"/>
        <v>0.31382810950266227</v>
      </c>
      <c r="BC118" s="5">
        <f>VLOOKUP(Y118,'[1]Coefficient Normal'!$A$10:$P$14,2,TRUE)</f>
        <v>-2.3450000000000002</v>
      </c>
      <c r="BD118" s="5">
        <f>VLOOKUP(Y118,'[1]Coefficient Normal'!$A$10:$P$14,3,TRUE)</f>
        <v>0.19470000000000001</v>
      </c>
      <c r="BE118" s="5">
        <f>VLOOKUP(Y118,'[1]Coefficient Normal'!$A$10:$P$14,4,TRUE)</f>
        <v>-0.2044</v>
      </c>
      <c r="BF118" s="5">
        <f>VLOOKUP(Y118,'[1]Coefficient Normal'!$A$10:$P$14,5,TRUE)</f>
        <v>0.4143</v>
      </c>
      <c r="BG118" s="5">
        <f>VLOOKUP(Y118,'[1]Coefficient Normal'!$A$10:$P$14,6,TRUE)</f>
        <v>-0.55710000000000004</v>
      </c>
      <c r="BH118" s="5">
        <f>VLOOKUP(Y118,'[1]Coefficient Normal'!$A$10:$P$14,7,TRUE)</f>
        <v>1.0931</v>
      </c>
      <c r="BI118" s="5">
        <f>VLOOKUP(Y118,'[1]Coefficient Normal'!$A$10:$P$14,8,TRUE)</f>
        <v>1E-4</v>
      </c>
      <c r="BJ118" s="5">
        <f>VLOOKUP(Y118,'[1]Coefficient Normal'!$A$10:$P$14,9,TRUE)</f>
        <v>3.5000000000000001E-3</v>
      </c>
      <c r="BK118" s="5">
        <f>VLOOKUP(Y118,'[1]Coefficient Normal'!$A$10:$P$14,10,TRUE)</f>
        <v>-4.07E-2</v>
      </c>
      <c r="BL118" s="5">
        <f>VLOOKUP(Y118,'[1]Coefficient Normal'!$A$10:$P$14,11,TRUE)</f>
        <v>1.6000000000000001E-3</v>
      </c>
      <c r="BM118" s="5">
        <f>VLOOKUP(Y118,'[1]Coefficient Normal'!$A$10:$P$14,12,TRUE)</f>
        <v>-0.65949999999999998</v>
      </c>
      <c r="BN118" s="5">
        <f>VLOOKUP(Y118,'[1]Coefficient Normal'!$A$10:$P$14,13,TRUE)</f>
        <v>-3.0099999999999998E-2</v>
      </c>
      <c r="BO118" s="5">
        <f>VLOOKUP(Y118,'[1]Coefficient Normal'!$A$10:$P$14,14,TRUE)</f>
        <v>0.84219999999999995</v>
      </c>
      <c r="BP118" s="5">
        <f>VLOOKUP(Y118,'[1]Coefficient Normal'!$A$10:$P$14,15,TRUE)</f>
        <v>0.50680000000000003</v>
      </c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D118" s="6">
        <f t="shared" si="79"/>
        <v>0</v>
      </c>
      <c r="CE118" s="6">
        <f t="shared" si="80"/>
        <v>1</v>
      </c>
      <c r="CF118" s="6">
        <f t="shared" si="81"/>
        <v>0</v>
      </c>
      <c r="CG118" s="5">
        <f t="shared" si="82"/>
        <v>1.1626998488867168</v>
      </c>
      <c r="CI118">
        <f t="shared" si="83"/>
        <v>-1.8971419851278848</v>
      </c>
      <c r="CN118" s="5">
        <f t="shared" si="84"/>
        <v>-2.2109700946305471</v>
      </c>
      <c r="CO118" s="5">
        <f t="shared" si="85"/>
        <v>-2.5706945949199871</v>
      </c>
      <c r="CP118" s="5">
        <f t="shared" si="86"/>
        <v>0.80973453633012804</v>
      </c>
      <c r="CQ118" s="5">
        <f t="shared" si="87"/>
        <v>0</v>
      </c>
      <c r="CR118" s="5">
        <f t="shared" si="88"/>
        <v>1.9747368119845179</v>
      </c>
      <c r="CS118" s="5">
        <f t="shared" si="89"/>
        <v>0.27573791218506416</v>
      </c>
      <c r="CT118" s="5">
        <f t="shared" si="90"/>
        <v>-1.8554853344202775</v>
      </c>
      <c r="CU118" s="7">
        <f t="shared" si="105"/>
        <v>0.15637702909994644</v>
      </c>
      <c r="CV118">
        <f>VLOOKUP(Y118,'[1]Coefficient Normal'!$A$10:$P$14,16,TRUE)</f>
        <v>0.43780000000000002</v>
      </c>
      <c r="CW118">
        <v>0.3</v>
      </c>
    </row>
    <row r="119" spans="1:101" x14ac:dyDescent="0.25">
      <c r="A119">
        <v>68</v>
      </c>
      <c r="B119">
        <v>7</v>
      </c>
      <c r="D119" t="str">
        <f t="shared" si="72"/>
        <v>Normal</v>
      </c>
      <c r="F119" s="1">
        <v>0.29999340000000002</v>
      </c>
      <c r="K119">
        <v>0.40960000000000002</v>
      </c>
      <c r="L119">
        <f t="shared" si="91"/>
        <v>409.6</v>
      </c>
      <c r="M119">
        <v>9.5250000000000005E-3</v>
      </c>
      <c r="N119">
        <f t="shared" si="91"/>
        <v>9.5250000000000004</v>
      </c>
      <c r="O119" s="3">
        <f t="shared" si="92"/>
        <v>43.00262467191601</v>
      </c>
      <c r="P119" s="1">
        <v>300</v>
      </c>
      <c r="Q119" s="4" t="s">
        <v>73</v>
      </c>
      <c r="R119" s="1">
        <f t="shared" si="93"/>
        <v>8</v>
      </c>
      <c r="S119" s="1">
        <f t="shared" si="94"/>
        <v>12</v>
      </c>
      <c r="T119" s="1">
        <f t="shared" si="95"/>
        <v>414000</v>
      </c>
      <c r="U119" s="1">
        <f t="shared" si="96"/>
        <v>517000</v>
      </c>
      <c r="V119" s="1">
        <f t="shared" si="97"/>
        <v>2.5466769467238102</v>
      </c>
      <c r="W119" s="3">
        <f>100*IF(Q119='[1]Estimation Model Normal-Slip'!$J$8,'[1]Estimation Model Normal-Slip'!$O$8,IF(Q119='[1]Estimation Model Normal-Slip'!$J$9,'[1]Estimation Model Normal-Slip'!$O$9,IF(Q119='[1]Estimation Model Normal-Slip'!$J$10,'[1]Estimation Model Normal-Slip'!$O$10,IF(Q119='[1]Estimation Model Normal-Slip'!$J$11,'[1]Estimation Model Normal-Slip'!$O$11,IF(Q119='[1]Estimation Model Normal-Slip'!$J$12,'[1]Estimation Model Normal-Slip'!$O$12,IF(Q119='[1]Estimation Model Normal-Slip'!$J$13,'[1]Estimation Model Normal-Slip'!$O$13,2))))))</f>
        <v>2.4313344008036557</v>
      </c>
      <c r="X119" s="1">
        <f t="shared" si="98"/>
        <v>0.93478935117382533</v>
      </c>
      <c r="Y119" s="1">
        <v>90</v>
      </c>
      <c r="Z119" s="1" t="s">
        <v>71</v>
      </c>
      <c r="AA119" t="s">
        <v>74</v>
      </c>
      <c r="AB119">
        <f t="shared" si="99"/>
        <v>18</v>
      </c>
      <c r="AC119" s="1">
        <f t="shared" si="100"/>
        <v>0</v>
      </c>
      <c r="AD119">
        <f t="shared" si="101"/>
        <v>75</v>
      </c>
      <c r="AE119">
        <f t="shared" si="102"/>
        <v>0.72</v>
      </c>
      <c r="AF119">
        <v>0.9</v>
      </c>
      <c r="AG119" s="1">
        <v>1</v>
      </c>
      <c r="AH119" s="1">
        <f t="shared" si="73"/>
        <v>2.44140625</v>
      </c>
      <c r="AI119">
        <f t="shared" si="103"/>
        <v>69.487002949160484</v>
      </c>
      <c r="AJ119">
        <f>IF(AA119="medium dense",'[1]Coefficient Normal'!$E$18 + ('[1]Coefficient Normal'!$E$19*AH119) + ('[1]Coefficient Normal'!$E$20*(AH119^2)) + ('[1]Coefficient Normal'!$E$21*(AH119^3)) + ('[1]Coefficient Normal'!$E$22*(AH119^4)),IF(AA119="dense",'[1]Coefficient Normal'!$F$18 + ('[1]Coefficient Normal'!$F$19*AH119) + ('[1]Coefficient Normal'!$F$20*(AH119^2)) + ('[1]Coefficient Normal'!$F$21*(AH119^3)) + ('[1]Coefficient Normal'!$F$22*(AH119^4)),IF(AA119="very dense",'[1]Coefficient Normal'!$G$18 + ('[1]Coefficient Normal'!$G$19*AH119) + ('[1]Coefficient Normal'!$G$20*(AH119^2)) + ('[1]Coefficient Normal'!$G$21*(AH119^3)) + ('[1]Coefficient Normal'!$G$22*(AH119^4)),0)))</f>
        <v>0</v>
      </c>
      <c r="AK119">
        <f t="shared" si="74"/>
        <v>0</v>
      </c>
      <c r="AL119">
        <f t="shared" si="75"/>
        <v>157.9008</v>
      </c>
      <c r="AM119">
        <f t="shared" si="104"/>
        <v>5.061966987746545</v>
      </c>
      <c r="AN119">
        <f t="shared" si="76"/>
        <v>3.7612611527125335</v>
      </c>
      <c r="AO119">
        <f t="shared" si="77"/>
        <v>4.2411397271568356</v>
      </c>
      <c r="AQ119" s="5">
        <f>VLOOKUP(Y119,'[1]Coefficient Normal'!$A$3:$H$7,2,TRUE)</f>
        <v>14.575100000000001</v>
      </c>
      <c r="AR119" s="5">
        <f>VLOOKUP(Y119,'[1]Coefficient Normal'!$A$3:$H$7,3,TRUE)</f>
        <v>0.1356</v>
      </c>
      <c r="AS119" s="5">
        <f>VLOOKUP(Y119,'[1]Coefficient Normal'!$A$3:$H$7,4,TRUE)</f>
        <v>2.9990000000000001</v>
      </c>
      <c r="AT119" s="5">
        <f>VLOOKUP(Y119,'[1]Coefficient Normal'!$A$3:$H$7,5,TRUE)</f>
        <v>-0.94710000000000005</v>
      </c>
      <c r="AU119" s="5">
        <f>VLOOKUP(Y119,'[1]Coefficient Normal'!$A$3:$H$7,6,TRUE)</f>
        <v>0.6603</v>
      </c>
      <c r="AV119" s="5">
        <f>VLOOKUP(Y119,'[1]Coefficient Normal'!$A$3:$H$7,7,TRUE)</f>
        <v>-1.2488999999999999</v>
      </c>
      <c r="AW119" s="5">
        <f>VLOOKUP(Y119,'[1]Coefficient Normal'!$A$3:$H$7,8,TRUE)</f>
        <v>-0.44140000000000001</v>
      </c>
      <c r="AY119" s="5">
        <f t="shared" si="78"/>
        <v>1.5327241862804701</v>
      </c>
      <c r="BC119" s="5">
        <f>VLOOKUP(Y119,'[1]Coefficient Normal'!$A$10:$P$14,2,TRUE)</f>
        <v>5.1353999999999997</v>
      </c>
      <c r="BD119" s="5">
        <f>VLOOKUP(Y119,'[1]Coefficient Normal'!$A$10:$P$14,3,TRUE)</f>
        <v>-4.9599999999999998E-2</v>
      </c>
      <c r="BE119" s="5">
        <f>VLOOKUP(Y119,'[1]Coefficient Normal'!$A$10:$P$14,4,TRUE)</f>
        <v>0.44590000000000002</v>
      </c>
      <c r="BF119" s="5">
        <f>VLOOKUP(Y119,'[1]Coefficient Normal'!$A$10:$P$14,5,TRUE)</f>
        <v>-0.83709999999999996</v>
      </c>
      <c r="BG119" s="5">
        <f>VLOOKUP(Y119,'[1]Coefficient Normal'!$A$10:$P$14,6,TRUE)</f>
        <v>0.63090000000000002</v>
      </c>
      <c r="BH119" s="5">
        <f>VLOOKUP(Y119,'[1]Coefficient Normal'!$A$10:$P$14,7,TRUE)</f>
        <v>0.91390000000000005</v>
      </c>
      <c r="BI119" s="5">
        <f>VLOOKUP(Y119,'[1]Coefficient Normal'!$A$10:$P$14,8,TRUE)</f>
        <v>2.5000000000000001E-3</v>
      </c>
      <c r="BJ119" s="5">
        <f>VLOOKUP(Y119,'[1]Coefficient Normal'!$A$10:$P$14,9,TRUE)</f>
        <v>1.6000000000000001E-3</v>
      </c>
      <c r="BK119" s="5">
        <f>VLOOKUP(Y119,'[1]Coefficient Normal'!$A$10:$P$14,10,TRUE)</f>
        <v>-9.7500000000000003E-2</v>
      </c>
      <c r="BL119" s="5">
        <f>VLOOKUP(Y119,'[1]Coefficient Normal'!$A$10:$P$14,11,TRUE)</f>
        <v>1.1999999999999999E-3</v>
      </c>
      <c r="BM119" s="5">
        <f>VLOOKUP(Y119,'[1]Coefficient Normal'!$A$10:$P$14,12,TRUE)</f>
        <v>0.46479999999999999</v>
      </c>
      <c r="BN119" s="5">
        <f>VLOOKUP(Y119,'[1]Coefficient Normal'!$A$10:$P$14,13,TRUE)</f>
        <v>8.0000000000000004E-4</v>
      </c>
      <c r="BO119" s="5">
        <f>VLOOKUP(Y119,'[1]Coefficient Normal'!$A$10:$P$14,14,TRUE)</f>
        <v>6.7900000000000002E-2</v>
      </c>
      <c r="BP119" s="5">
        <f>VLOOKUP(Y119,'[1]Coefficient Normal'!$A$10:$P$14,15,TRUE)</f>
        <v>0.58979999999999999</v>
      </c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D119" s="6">
        <f t="shared" si="79"/>
        <v>0</v>
      </c>
      <c r="CE119" s="6">
        <f t="shared" si="80"/>
        <v>1</v>
      </c>
      <c r="CF119" s="6">
        <f t="shared" si="81"/>
        <v>0</v>
      </c>
      <c r="CG119" s="5">
        <f t="shared" si="82"/>
        <v>1.0417206569792006</v>
      </c>
      <c r="CI119">
        <f t="shared" si="83"/>
        <v>-1.2039948045679394</v>
      </c>
      <c r="CN119" s="5">
        <f t="shared" si="84"/>
        <v>-2.7367189908484093</v>
      </c>
      <c r="CO119" s="5">
        <f t="shared" si="85"/>
        <v>-2.8508967051140597</v>
      </c>
      <c r="CP119" s="5">
        <f t="shared" si="86"/>
        <v>-0.18655855317454165</v>
      </c>
      <c r="CQ119" s="5">
        <f t="shared" si="87"/>
        <v>0</v>
      </c>
      <c r="CR119" s="5">
        <f t="shared" si="88"/>
        <v>-4.2373725654426329</v>
      </c>
      <c r="CS119" s="5">
        <f t="shared" si="89"/>
        <v>-0.56312506609653967</v>
      </c>
      <c r="CT119" s="5">
        <f t="shared" si="90"/>
        <v>-2.702552889827774</v>
      </c>
      <c r="CU119" s="7">
        <f t="shared" si="105"/>
        <v>6.7034163281111642E-2</v>
      </c>
      <c r="CV119">
        <f>VLOOKUP(Y119,'[1]Coefficient Normal'!$A$10:$P$14,16,TRUE)</f>
        <v>0.34749999999999998</v>
      </c>
      <c r="CW119">
        <v>0.3</v>
      </c>
    </row>
    <row r="120" spans="1:101" x14ac:dyDescent="0.25">
      <c r="A120">
        <v>69</v>
      </c>
      <c r="B120">
        <v>8</v>
      </c>
      <c r="D120" t="str">
        <f t="shared" si="72"/>
        <v>Normal</v>
      </c>
      <c r="F120" s="1">
        <v>0.4499901</v>
      </c>
      <c r="K120">
        <v>0.89600000000000002</v>
      </c>
      <c r="L120">
        <f t="shared" si="91"/>
        <v>896</v>
      </c>
      <c r="M120">
        <v>9.5250000000000005E-3</v>
      </c>
      <c r="N120">
        <f t="shared" si="91"/>
        <v>9.5250000000000004</v>
      </c>
      <c r="O120" s="3">
        <f t="shared" si="92"/>
        <v>94.068241469816272</v>
      </c>
      <c r="P120" s="1">
        <v>30</v>
      </c>
      <c r="Q120" s="4" t="s">
        <v>75</v>
      </c>
      <c r="R120" s="1">
        <f t="shared" si="93"/>
        <v>14</v>
      </c>
      <c r="S120" s="1">
        <f t="shared" si="94"/>
        <v>15</v>
      </c>
      <c r="T120" s="1">
        <f t="shared" si="95"/>
        <v>483000</v>
      </c>
      <c r="U120" s="1">
        <f t="shared" si="96"/>
        <v>565000</v>
      </c>
      <c r="V120" s="1">
        <f t="shared" si="97"/>
        <v>2.8799444073326219</v>
      </c>
      <c r="W120" s="3">
        <f>100*IF(Q120='[1]Estimation Model Normal-Slip'!$J$8,'[1]Estimation Model Normal-Slip'!$O$8,IF(Q120='[1]Estimation Model Normal-Slip'!$J$9,'[1]Estimation Model Normal-Slip'!$O$9,IF(Q120='[1]Estimation Model Normal-Slip'!$J$10,'[1]Estimation Model Normal-Slip'!$O$10,IF(Q120='[1]Estimation Model Normal-Slip'!$J$11,'[1]Estimation Model Normal-Slip'!$O$11,IF(Q120='[1]Estimation Model Normal-Slip'!$J$12,'[1]Estimation Model Normal-Slip'!$O$12,IF(Q120='[1]Estimation Model Normal-Slip'!$J$13,'[1]Estimation Model Normal-Slip'!$O$13,2))))))</f>
        <v>2.7690517990613435</v>
      </c>
      <c r="X120" s="1">
        <f t="shared" si="98"/>
        <v>1.0577709909520427</v>
      </c>
      <c r="Y120" s="1">
        <v>45</v>
      </c>
      <c r="Z120" s="1" t="s">
        <v>71</v>
      </c>
      <c r="AA120" t="s">
        <v>76</v>
      </c>
      <c r="AB120">
        <f t="shared" si="99"/>
        <v>18.5</v>
      </c>
      <c r="AC120" s="1">
        <f t="shared" si="100"/>
        <v>0</v>
      </c>
      <c r="AD120">
        <f t="shared" si="101"/>
        <v>125</v>
      </c>
      <c r="AE120">
        <f t="shared" si="102"/>
        <v>0.4</v>
      </c>
      <c r="AF120">
        <v>0.9</v>
      </c>
      <c r="AG120" s="1">
        <v>1.2</v>
      </c>
      <c r="AH120" s="1">
        <f t="shared" si="73"/>
        <v>1.8</v>
      </c>
      <c r="AI120">
        <f t="shared" si="103"/>
        <v>140.74335088082273</v>
      </c>
      <c r="AJ120">
        <f>IF(AA120="medium dense",'[1]Coefficient Normal'!$E$18 + ('[1]Coefficient Normal'!$E$19*AH120) + ('[1]Coefficient Normal'!$E$20*(AH120^2)) + ('[1]Coefficient Normal'!$E$21*(AH120^3)) + ('[1]Coefficient Normal'!$E$22*(AH120^4)),IF(AA120="dense",'[1]Coefficient Normal'!$F$18 + ('[1]Coefficient Normal'!$F$19*AH120) + ('[1]Coefficient Normal'!$F$20*(AH120^2)) + ('[1]Coefficient Normal'!$F$21*(AH120^3)) + ('[1]Coefficient Normal'!$F$22*(AH120^4)),IF(AA120="very dense",'[1]Coefficient Normal'!$G$18 + ('[1]Coefficient Normal'!$G$19*AH120) + ('[1]Coefficient Normal'!$G$20*(AH120^2)) + ('[1]Coefficient Normal'!$G$21*(AH120^3)) + ('[1]Coefficient Normal'!$G$22*(AH120^4)),0)))</f>
        <v>0</v>
      </c>
      <c r="AK120">
        <f t="shared" si="74"/>
        <v>0</v>
      </c>
      <c r="AL120">
        <f t="shared" si="75"/>
        <v>575.68000000000006</v>
      </c>
      <c r="AM120">
        <f t="shared" si="104"/>
        <v>6.3555519507621687</v>
      </c>
      <c r="AN120">
        <f t="shared" si="76"/>
        <v>4.5440204919621658</v>
      </c>
      <c r="AO120">
        <f t="shared" si="77"/>
        <v>4.9469380252703399</v>
      </c>
      <c r="AQ120" s="5">
        <f>VLOOKUP(Y120,'[1]Coefficient Normal'!$A$3:$H$7,2,TRUE)</f>
        <v>3.7532999999999999</v>
      </c>
      <c r="AR120" s="5">
        <f>VLOOKUP(Y120,'[1]Coefficient Normal'!$A$3:$H$7,3,TRUE)</f>
        <v>0.14510000000000001</v>
      </c>
      <c r="AS120" s="5">
        <f>VLOOKUP(Y120,'[1]Coefficient Normal'!$A$3:$H$7,4,TRUE)</f>
        <v>1.2497</v>
      </c>
      <c r="AT120" s="5">
        <f>VLOOKUP(Y120,'[1]Coefficient Normal'!$A$3:$H$7,5,TRUE)</f>
        <v>-0.46100000000000002</v>
      </c>
      <c r="AU120" s="5">
        <f>VLOOKUP(Y120,'[1]Coefficient Normal'!$A$3:$H$7,6,TRUE)</f>
        <v>0.39140000000000003</v>
      </c>
      <c r="AV120" s="5">
        <f>VLOOKUP(Y120,'[1]Coefficient Normal'!$A$3:$H$7,7,TRUE)</f>
        <v>-0.21310000000000001</v>
      </c>
      <c r="AW120" s="5">
        <f>VLOOKUP(Y120,'[1]Coefficient Normal'!$A$3:$H$7,8,TRUE)</f>
        <v>-0.34139999999999998</v>
      </c>
      <c r="AY120" s="5">
        <f t="shared" si="78"/>
        <v>-0.61445654144066819</v>
      </c>
      <c r="BC120" s="5">
        <f>VLOOKUP(Y120,'[1]Coefficient Normal'!$A$10:$P$14,2,TRUE)</f>
        <v>-1.1082000000000001</v>
      </c>
      <c r="BD120" s="5">
        <f>VLOOKUP(Y120,'[1]Coefficient Normal'!$A$10:$P$14,3,TRUE)</f>
        <v>0.10630000000000001</v>
      </c>
      <c r="BE120" s="5">
        <f>VLOOKUP(Y120,'[1]Coefficient Normal'!$A$10:$P$14,4,TRUE)</f>
        <v>-0.1439</v>
      </c>
      <c r="BF120" s="5">
        <f>VLOOKUP(Y120,'[1]Coefficient Normal'!$A$10:$P$14,5,TRUE)</f>
        <v>0.27879999999999999</v>
      </c>
      <c r="BG120" s="5">
        <f>VLOOKUP(Y120,'[1]Coefficient Normal'!$A$10:$P$14,6,TRUE)</f>
        <v>-0.31030000000000002</v>
      </c>
      <c r="BH120" s="5">
        <f>VLOOKUP(Y120,'[1]Coefficient Normal'!$A$10:$P$14,7,TRUE)</f>
        <v>1.2553000000000001</v>
      </c>
      <c r="BI120" s="5">
        <f>VLOOKUP(Y120,'[1]Coefficient Normal'!$A$10:$P$14,8,TRUE)</f>
        <v>2.9999999999999997E-4</v>
      </c>
      <c r="BJ120" s="5">
        <f>VLOOKUP(Y120,'[1]Coefficient Normal'!$A$10:$P$14,9,TRUE)</f>
        <v>5.1999999999999998E-3</v>
      </c>
      <c r="BK120" s="5">
        <f>VLOOKUP(Y120,'[1]Coefficient Normal'!$A$10:$P$14,10,TRUE)</f>
        <v>-8.5900000000000004E-2</v>
      </c>
      <c r="BL120" s="5">
        <f>VLOOKUP(Y120,'[1]Coefficient Normal'!$A$10:$P$14,11,TRUE)</f>
        <v>5.9999999999999995E-4</v>
      </c>
      <c r="BM120" s="5">
        <f>VLOOKUP(Y120,'[1]Coefficient Normal'!$A$10:$P$14,12,TRUE)</f>
        <v>-0.21759999999999999</v>
      </c>
      <c r="BN120" s="5">
        <f>VLOOKUP(Y120,'[1]Coefficient Normal'!$A$10:$P$14,13,TRUE)</f>
        <v>-2.69E-2</v>
      </c>
      <c r="BO120" s="5">
        <f>VLOOKUP(Y120,'[1]Coefficient Normal'!$A$10:$P$14,14,TRUE)</f>
        <v>0.57389999999999997</v>
      </c>
      <c r="BP120" s="5">
        <f>VLOOKUP(Y120,'[1]Coefficient Normal'!$A$10:$P$14,15,TRUE)</f>
        <v>0.34460000000000002</v>
      </c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D120" s="6">
        <f t="shared" si="79"/>
        <v>0</v>
      </c>
      <c r="CE120" s="6">
        <f t="shared" si="80"/>
        <v>1</v>
      </c>
      <c r="CF120" s="6">
        <f t="shared" si="81"/>
        <v>1</v>
      </c>
      <c r="CG120" s="5">
        <f t="shared" si="82"/>
        <v>0.98996395014613658</v>
      </c>
      <c r="CI120">
        <f t="shared" si="83"/>
        <v>-0.79852969645977512</v>
      </c>
      <c r="CN120" s="5">
        <f t="shared" si="84"/>
        <v>-0.18407315501910693</v>
      </c>
      <c r="CO120" s="5">
        <f t="shared" si="85"/>
        <v>-0.18222578765857725</v>
      </c>
      <c r="CP120" s="5">
        <f t="shared" si="86"/>
        <v>0.48302937829557824</v>
      </c>
      <c r="CQ120" s="5">
        <f t="shared" si="87"/>
        <v>0</v>
      </c>
      <c r="CR120" s="5">
        <f t="shared" si="88"/>
        <v>1.7719278838724926</v>
      </c>
      <c r="CS120" s="5">
        <f t="shared" si="89"/>
        <v>3.4075552922036199E-2</v>
      </c>
      <c r="CT120" s="5">
        <f t="shared" si="90"/>
        <v>0.99860702743152963</v>
      </c>
      <c r="CU120" s="7">
        <f t="shared" si="105"/>
        <v>2.7144979724542799</v>
      </c>
      <c r="CV120">
        <f>VLOOKUP(Y120,'[1]Coefficient Normal'!$A$10:$P$14,16,TRUE)</f>
        <v>0.3997</v>
      </c>
      <c r="CW120">
        <v>0.3</v>
      </c>
    </row>
    <row r="121" spans="1:101" x14ac:dyDescent="0.25">
      <c r="A121">
        <v>70</v>
      </c>
      <c r="B121">
        <v>9</v>
      </c>
      <c r="D121" t="str">
        <f t="shared" si="72"/>
        <v>Normal</v>
      </c>
      <c r="F121" s="11">
        <v>0.59998680000000004</v>
      </c>
      <c r="K121">
        <v>0.5</v>
      </c>
      <c r="L121">
        <f t="shared" si="91"/>
        <v>500</v>
      </c>
      <c r="M121">
        <v>9.5250000000000005E-3</v>
      </c>
      <c r="N121">
        <f t="shared" si="91"/>
        <v>9.5250000000000004</v>
      </c>
      <c r="O121" s="3">
        <f t="shared" si="92"/>
        <v>52.493438320209975</v>
      </c>
      <c r="P121" s="1">
        <v>50</v>
      </c>
      <c r="Q121" s="4" t="s">
        <v>70</v>
      </c>
      <c r="R121" s="1">
        <f t="shared" si="93"/>
        <v>8</v>
      </c>
      <c r="S121" s="1">
        <f t="shared" si="94"/>
        <v>10</v>
      </c>
      <c r="T121" s="1">
        <f t="shared" si="95"/>
        <v>359000</v>
      </c>
      <c r="U121" s="1">
        <f t="shared" si="96"/>
        <v>455000</v>
      </c>
      <c r="V121" s="1">
        <f t="shared" si="97"/>
        <v>1.9969902892117808</v>
      </c>
      <c r="W121" s="3">
        <f>100*IF(Q121='[1]Estimation Model Normal-Slip'!$J$8,'[1]Estimation Model Normal-Slip'!$O$8,IF(Q121='[1]Estimation Model Normal-Slip'!$J$9,'[1]Estimation Model Normal-Slip'!$O$9,IF(Q121='[1]Estimation Model Normal-Slip'!$J$10,'[1]Estimation Model Normal-Slip'!$O$10,IF(Q121='[1]Estimation Model Normal-Slip'!$J$11,'[1]Estimation Model Normal-Slip'!$O$11,IF(Q121='[1]Estimation Model Normal-Slip'!$J$12,'[1]Estimation Model Normal-Slip'!$O$12,IF(Q121='[1]Estimation Model Normal-Slip'!$J$13,'[1]Estimation Model Normal-Slip'!$O$13,2))))))</f>
        <v>1.9041242414694344</v>
      </c>
      <c r="X121" s="1">
        <f t="shared" si="98"/>
        <v>0.69164119173371341</v>
      </c>
      <c r="Y121" s="1">
        <v>60</v>
      </c>
      <c r="Z121" s="1" t="s">
        <v>71</v>
      </c>
      <c r="AA121" t="s">
        <v>72</v>
      </c>
      <c r="AB121">
        <f t="shared" si="99"/>
        <v>17.5</v>
      </c>
      <c r="AC121" s="1">
        <f t="shared" si="100"/>
        <v>0</v>
      </c>
      <c r="AD121">
        <f t="shared" si="101"/>
        <v>37.5</v>
      </c>
      <c r="AE121">
        <f t="shared" si="102"/>
        <v>1.1000000000000001</v>
      </c>
      <c r="AF121">
        <v>0.9</v>
      </c>
      <c r="AG121" s="1">
        <v>2.5</v>
      </c>
      <c r="AH121" s="1">
        <f t="shared" si="73"/>
        <v>5</v>
      </c>
      <c r="AI121">
        <f t="shared" si="103"/>
        <v>64.795348480289491</v>
      </c>
      <c r="AJ121">
        <f>IF(AA121="medium dense",'[1]Coefficient Normal'!$E$18 + ('[1]Coefficient Normal'!$E$19*AH121) + ('[1]Coefficient Normal'!$E$20*(AH121^2)) + ('[1]Coefficient Normal'!$E$21*(AH121^3)) + ('[1]Coefficient Normal'!$E$22*(AH121^4)),IF(AA121="dense",'[1]Coefficient Normal'!$F$18 + ('[1]Coefficient Normal'!$F$19*AH121) + ('[1]Coefficient Normal'!$F$20*(AH121^2)) + ('[1]Coefficient Normal'!$F$21*(AH121^3)) + ('[1]Coefficient Normal'!$F$22*(AH121^4)),IF(AA121="very dense",'[1]Coefficient Normal'!$G$18 + ('[1]Coefficient Normal'!$G$19*AH121) + ('[1]Coefficient Normal'!$G$20*(AH121^2)) + ('[1]Coefficient Normal'!$G$21*(AH121^3)) + ('[1]Coefficient Normal'!$G$22*(AH121^4)),0)))</f>
        <v>0</v>
      </c>
      <c r="AK121">
        <f t="shared" si="74"/>
        <v>0</v>
      </c>
      <c r="AL121">
        <f t="shared" si="75"/>
        <v>96.375</v>
      </c>
      <c r="AM121" s="8">
        <f t="shared" si="104"/>
        <v>4.5682468318834939</v>
      </c>
      <c r="AN121" s="8">
        <f t="shared" si="76"/>
        <v>3.9606881774094269</v>
      </c>
      <c r="AO121" s="8">
        <f t="shared" si="77"/>
        <v>4.1712338180701449</v>
      </c>
      <c r="AQ121" s="5">
        <f>VLOOKUP(Y121,'[1]Coefficient Normal'!$A$3:$H$7,2,TRUE)</f>
        <v>4.3182999999999998</v>
      </c>
      <c r="AR121" s="5">
        <f>VLOOKUP(Y121,'[1]Coefficient Normal'!$A$3:$H$7,3,TRUE)</f>
        <v>-2.7900000000000001E-2</v>
      </c>
      <c r="AS121" s="5">
        <f>VLOOKUP(Y121,'[1]Coefficient Normal'!$A$3:$H$7,4,TRUE)</f>
        <v>1.0497000000000001</v>
      </c>
      <c r="AT121" s="5">
        <f>VLOOKUP(Y121,'[1]Coefficient Normal'!$A$3:$H$7,5,TRUE)</f>
        <v>-0.46910000000000002</v>
      </c>
      <c r="AU121" s="5">
        <f>VLOOKUP(Y121,'[1]Coefficient Normal'!$A$3:$H$7,6,TRUE)</f>
        <v>0.29149999999999998</v>
      </c>
      <c r="AV121" s="5">
        <f>VLOOKUP(Y121,'[1]Coefficient Normal'!$A$3:$H$7,7,TRUE)</f>
        <v>-0.28610000000000002</v>
      </c>
      <c r="AW121" s="5">
        <f>VLOOKUP(Y121,'[1]Coefficient Normal'!$A$3:$H$7,8,TRUE)</f>
        <v>-0.1348</v>
      </c>
      <c r="AY121" s="9">
        <f t="shared" si="78"/>
        <v>-4.4045191195327571E-2</v>
      </c>
      <c r="BC121" s="5">
        <f>VLOOKUP(Y121,'[1]Coefficient Normal'!$A$10:$P$14,2,TRUE)</f>
        <v>-2.1276999999999999</v>
      </c>
      <c r="BD121" s="5">
        <f>VLOOKUP(Y121,'[1]Coefficient Normal'!$A$10:$P$14,3,TRUE)</f>
        <v>0.14760000000000001</v>
      </c>
      <c r="BE121" s="5">
        <f>VLOOKUP(Y121,'[1]Coefficient Normal'!$A$10:$P$14,4,TRUE)</f>
        <v>-0.21829999999999999</v>
      </c>
      <c r="BF121" s="5">
        <f>VLOOKUP(Y121,'[1]Coefficient Normal'!$A$10:$P$14,5,TRUE)</f>
        <v>0.42270000000000002</v>
      </c>
      <c r="BG121" s="5">
        <f>VLOOKUP(Y121,'[1]Coefficient Normal'!$A$10:$P$14,6,TRUE)</f>
        <v>-0.53720000000000001</v>
      </c>
      <c r="BH121" s="5">
        <f>VLOOKUP(Y121,'[1]Coefficient Normal'!$A$10:$P$14,7,TRUE)</f>
        <v>1.252</v>
      </c>
      <c r="BI121" s="5">
        <f>VLOOKUP(Y121,'[1]Coefficient Normal'!$A$10:$P$14,8,TRUE)</f>
        <v>-5.9999999999999995E-4</v>
      </c>
      <c r="BJ121" s="5">
        <f>VLOOKUP(Y121,'[1]Coefficient Normal'!$A$10:$P$14,9,TRUE)</f>
        <v>5.3E-3</v>
      </c>
      <c r="BK121" s="5">
        <f>VLOOKUP(Y121,'[1]Coefficient Normal'!$A$10:$P$14,10,TRUE)</f>
        <v>-4.8500000000000001E-2</v>
      </c>
      <c r="BL121" s="5">
        <f>VLOOKUP(Y121,'[1]Coefficient Normal'!$A$10:$P$14,11,TRUE)</f>
        <v>1.2999999999999999E-3</v>
      </c>
      <c r="BM121" s="5">
        <f>VLOOKUP(Y121,'[1]Coefficient Normal'!$A$10:$P$14,12,TRUE)</f>
        <v>-0.56599999999999995</v>
      </c>
      <c r="BN121" s="5">
        <f>VLOOKUP(Y121,'[1]Coefficient Normal'!$A$10:$P$14,13,TRUE)</f>
        <v>-3.2099999999999997E-2</v>
      </c>
      <c r="BO121" s="5">
        <f>VLOOKUP(Y121,'[1]Coefficient Normal'!$A$10:$P$14,14,TRUE)</f>
        <v>0.84970000000000001</v>
      </c>
      <c r="BP121" s="5">
        <f>VLOOKUP(Y121,'[1]Coefficient Normal'!$A$10:$P$14,15,TRUE)</f>
        <v>9.01E-2</v>
      </c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D121" s="6">
        <f t="shared" si="79"/>
        <v>0</v>
      </c>
      <c r="CE121" s="10">
        <f t="shared" si="80"/>
        <v>1</v>
      </c>
      <c r="CF121" s="10">
        <f t="shared" si="81"/>
        <v>1</v>
      </c>
      <c r="CG121" s="9">
        <f t="shared" si="82"/>
        <v>1.0163642607280992</v>
      </c>
      <c r="CI121" s="8">
        <f t="shared" si="83"/>
        <v>-0.51084762400799422</v>
      </c>
      <c r="CN121" s="9">
        <f t="shared" si="84"/>
        <v>-0.46680243281266665</v>
      </c>
      <c r="CO121" s="9">
        <f t="shared" si="85"/>
        <v>-0.47444130953172409</v>
      </c>
      <c r="CP121" s="9">
        <f t="shared" si="86"/>
        <v>0.58459757498563147</v>
      </c>
      <c r="CQ121" s="9">
        <f t="shared" si="87"/>
        <v>0</v>
      </c>
      <c r="CR121" s="9">
        <f t="shared" si="88"/>
        <v>1.930997935837153</v>
      </c>
      <c r="CS121" s="9">
        <f t="shared" si="89"/>
        <v>0.37235866539680262</v>
      </c>
      <c r="CT121" s="9">
        <f t="shared" si="90"/>
        <v>0.28581286668786332</v>
      </c>
      <c r="CU121" s="12">
        <f t="shared" si="105"/>
        <v>1.3308433868176077</v>
      </c>
      <c r="CV121">
        <f>VLOOKUP(Y121,'[1]Coefficient Normal'!$A$10:$P$14,16,TRUE)</f>
        <v>0.50170000000000003</v>
      </c>
      <c r="CW121">
        <v>0.3</v>
      </c>
    </row>
    <row r="122" spans="1:101" x14ac:dyDescent="0.25">
      <c r="A122">
        <v>71</v>
      </c>
      <c r="B122">
        <v>10</v>
      </c>
      <c r="D122" t="str">
        <f t="shared" si="72"/>
        <v>Normal</v>
      </c>
      <c r="F122" s="11">
        <v>0.74998350000000003</v>
      </c>
      <c r="K122">
        <v>1.0668</v>
      </c>
      <c r="L122">
        <f t="shared" si="91"/>
        <v>1066.8</v>
      </c>
      <c r="M122" s="8">
        <v>9.5250000000000005E-3</v>
      </c>
      <c r="N122">
        <f t="shared" si="91"/>
        <v>9.5250000000000004</v>
      </c>
      <c r="O122" s="3">
        <f t="shared" si="92"/>
        <v>111.99999999999999</v>
      </c>
      <c r="P122" s="1">
        <v>100</v>
      </c>
      <c r="Q122" s="4" t="s">
        <v>75</v>
      </c>
      <c r="R122" s="1">
        <f t="shared" si="93"/>
        <v>14</v>
      </c>
      <c r="S122" s="1">
        <f t="shared" si="94"/>
        <v>15</v>
      </c>
      <c r="T122" s="1">
        <f t="shared" si="95"/>
        <v>483000</v>
      </c>
      <c r="U122" s="1">
        <f t="shared" si="96"/>
        <v>565000</v>
      </c>
      <c r="V122" s="1">
        <f t="shared" si="97"/>
        <v>2.8799444073326219</v>
      </c>
      <c r="W122" s="3">
        <f>100*IF(Q122='[1]Estimation Model Normal-Slip'!$J$8,'[1]Estimation Model Normal-Slip'!$O$8,IF(Q122='[1]Estimation Model Normal-Slip'!$J$9,'[1]Estimation Model Normal-Slip'!$O$9,IF(Q122='[1]Estimation Model Normal-Slip'!$J$10,'[1]Estimation Model Normal-Slip'!$O$10,IF(Q122='[1]Estimation Model Normal-Slip'!$J$11,'[1]Estimation Model Normal-Slip'!$O$11,IF(Q122='[1]Estimation Model Normal-Slip'!$J$12,'[1]Estimation Model Normal-Slip'!$O$12,IF(Q122='[1]Estimation Model Normal-Slip'!$J$13,'[1]Estimation Model Normal-Slip'!$O$13,2))))))</f>
        <v>2.7690517990613435</v>
      </c>
      <c r="X122" s="1">
        <f t="shared" si="98"/>
        <v>1.0577709909520427</v>
      </c>
      <c r="Y122" s="1">
        <v>75</v>
      </c>
      <c r="Z122" s="1" t="s">
        <v>78</v>
      </c>
      <c r="AA122" t="s">
        <v>79</v>
      </c>
      <c r="AB122">
        <f t="shared" si="99"/>
        <v>18</v>
      </c>
      <c r="AC122" s="1">
        <f t="shared" si="100"/>
        <v>37</v>
      </c>
      <c r="AD122">
        <f t="shared" si="101"/>
        <v>0</v>
      </c>
      <c r="AE122">
        <f t="shared" si="102"/>
        <v>0</v>
      </c>
      <c r="AF122">
        <v>0.9</v>
      </c>
      <c r="AG122" s="1">
        <v>1</v>
      </c>
      <c r="AH122" s="1">
        <f t="shared" si="73"/>
        <v>1.8</v>
      </c>
      <c r="AI122">
        <f t="shared" si="103"/>
        <v>39.626853336736396</v>
      </c>
      <c r="AJ122">
        <f>IF(AA122="medium dense",'[1]Coefficient Normal'!$E$18 + ('[1]Coefficient Normal'!$E$19*AH122) + ('[1]Coefficient Normal'!$E$20*(AH122^2)) + ('[1]Coefficient Normal'!$E$21*(AH122^3)) + ('[1]Coefficient Normal'!$E$22*(AH122^4)),IF(AA122="dense",'[1]Coefficient Normal'!$F$18 + ('[1]Coefficient Normal'!$F$19*AH122) + ('[1]Coefficient Normal'!$F$20*(AH122^2)) + ('[1]Coefficient Normal'!$F$21*(AH122^3)) + ('[1]Coefficient Normal'!$F$22*(AH122^4)),IF(AA122="very dense",'[1]Coefficient Normal'!$G$18 + ('[1]Coefficient Normal'!$G$19*AH122) + ('[1]Coefficient Normal'!$G$20*(AH122^2)) + ('[1]Coefficient Normal'!$G$21*(AH122^3)) + ('[1]Coefficient Normal'!$G$22*(AH122^4)),0)))</f>
        <v>12.698394373823998</v>
      </c>
      <c r="AK122">
        <f t="shared" si="74"/>
        <v>64.071522599936642</v>
      </c>
      <c r="AL122">
        <f t="shared" si="75"/>
        <v>900.09607289656856</v>
      </c>
      <c r="AM122" s="8">
        <f t="shared" si="104"/>
        <v>6.8025015052900386</v>
      </c>
      <c r="AN122" s="8">
        <f t="shared" si="76"/>
        <v>4.7184988712950942</v>
      </c>
      <c r="AO122" s="8">
        <f t="shared" si="77"/>
        <v>3.6795070030086925</v>
      </c>
      <c r="AQ122" s="5">
        <f>VLOOKUP(Y122,'[1]Coefficient Normal'!$A$3:$H$7,2,TRUE)</f>
        <v>5.5951000000000004</v>
      </c>
      <c r="AR122" s="5">
        <f>VLOOKUP(Y122,'[1]Coefficient Normal'!$A$3:$H$7,3,TRUE)</f>
        <v>1.6E-2</v>
      </c>
      <c r="AS122" s="5">
        <f>VLOOKUP(Y122,'[1]Coefficient Normal'!$A$3:$H$7,4,TRUE)</f>
        <v>1.2641</v>
      </c>
      <c r="AT122" s="5">
        <f>VLOOKUP(Y122,'[1]Coefficient Normal'!$A$3:$H$7,5,TRUE)</f>
        <v>-0.52429999999999999</v>
      </c>
      <c r="AU122" s="5">
        <f>VLOOKUP(Y122,'[1]Coefficient Normal'!$A$3:$H$7,6,TRUE)</f>
        <v>0.35830000000000001</v>
      </c>
      <c r="AV122" s="5">
        <f>VLOOKUP(Y122,'[1]Coefficient Normal'!$A$3:$H$7,7,TRUE)</f>
        <v>-0.35920000000000002</v>
      </c>
      <c r="AW122" s="5">
        <f>VLOOKUP(Y122,'[1]Coefficient Normal'!$A$3:$H$7,8,TRUE)</f>
        <v>-0.2482</v>
      </c>
      <c r="AY122" s="9">
        <f t="shared" si="78"/>
        <v>0.29890207916201494</v>
      </c>
      <c r="BC122" s="5">
        <f>VLOOKUP(Y122,'[1]Coefficient Normal'!$A$10:$P$14,2,TRUE)</f>
        <v>-2.3450000000000002</v>
      </c>
      <c r="BD122" s="5">
        <f>VLOOKUP(Y122,'[1]Coefficient Normal'!$A$10:$P$14,3,TRUE)</f>
        <v>0.19470000000000001</v>
      </c>
      <c r="BE122" s="5">
        <f>VLOOKUP(Y122,'[1]Coefficient Normal'!$A$10:$P$14,4,TRUE)</f>
        <v>-0.2044</v>
      </c>
      <c r="BF122" s="5">
        <f>VLOOKUP(Y122,'[1]Coefficient Normal'!$A$10:$P$14,5,TRUE)</f>
        <v>0.4143</v>
      </c>
      <c r="BG122" s="5">
        <f>VLOOKUP(Y122,'[1]Coefficient Normal'!$A$10:$P$14,6,TRUE)</f>
        <v>-0.55710000000000004</v>
      </c>
      <c r="BH122" s="5">
        <f>VLOOKUP(Y122,'[1]Coefficient Normal'!$A$10:$P$14,7,TRUE)</f>
        <v>1.0931</v>
      </c>
      <c r="BI122" s="5">
        <f>VLOOKUP(Y122,'[1]Coefficient Normal'!$A$10:$P$14,8,TRUE)</f>
        <v>1E-4</v>
      </c>
      <c r="BJ122" s="5">
        <f>VLOOKUP(Y122,'[1]Coefficient Normal'!$A$10:$P$14,9,TRUE)</f>
        <v>3.5000000000000001E-3</v>
      </c>
      <c r="BK122" s="5">
        <f>VLOOKUP(Y122,'[1]Coefficient Normal'!$A$10:$P$14,10,TRUE)</f>
        <v>-4.07E-2</v>
      </c>
      <c r="BL122" s="5">
        <f>VLOOKUP(Y122,'[1]Coefficient Normal'!$A$10:$P$14,11,TRUE)</f>
        <v>1.6000000000000001E-3</v>
      </c>
      <c r="BM122" s="5">
        <f>VLOOKUP(Y122,'[1]Coefficient Normal'!$A$10:$P$14,12,TRUE)</f>
        <v>-0.65949999999999998</v>
      </c>
      <c r="BN122" s="5">
        <f>VLOOKUP(Y122,'[1]Coefficient Normal'!$A$10:$P$14,13,TRUE)</f>
        <v>-3.0099999999999998E-2</v>
      </c>
      <c r="BO122" s="5">
        <f>VLOOKUP(Y122,'[1]Coefficient Normal'!$A$10:$P$14,14,TRUE)</f>
        <v>0.84219999999999995</v>
      </c>
      <c r="BP122" s="5">
        <f>VLOOKUP(Y122,'[1]Coefficient Normal'!$A$10:$P$14,15,TRUE)</f>
        <v>0.50680000000000003</v>
      </c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D122" s="6">
        <f t="shared" si="79"/>
        <v>1</v>
      </c>
      <c r="CE122" s="10">
        <f t="shared" si="80"/>
        <v>1</v>
      </c>
      <c r="CF122" s="10">
        <f t="shared" si="81"/>
        <v>0</v>
      </c>
      <c r="CG122" s="9">
        <f t="shared" si="82"/>
        <v>1.2355626853336736</v>
      </c>
      <c r="CI122" s="8">
        <f t="shared" si="83"/>
        <v>-0.28770407269378445</v>
      </c>
      <c r="CN122" s="9">
        <f t="shared" si="84"/>
        <v>-0.58660615185579945</v>
      </c>
      <c r="CO122" s="9">
        <f t="shared" si="85"/>
        <v>-0.72478867222020427</v>
      </c>
      <c r="CP122" s="9">
        <f t="shared" si="86"/>
        <v>0.91869173024115491</v>
      </c>
      <c r="CQ122" s="9">
        <f t="shared" si="87"/>
        <v>-0.75209123141497669</v>
      </c>
      <c r="CR122" s="9">
        <f t="shared" si="88"/>
        <v>2.8182763736416629</v>
      </c>
      <c r="CS122" s="9">
        <f t="shared" si="89"/>
        <v>-3.6024043273759798E-2</v>
      </c>
      <c r="CT122" s="9">
        <f t="shared" si="90"/>
        <v>-0.12093584302612276</v>
      </c>
      <c r="CU122" s="12">
        <f t="shared" si="105"/>
        <v>0.8860908066740244</v>
      </c>
      <c r="CV122">
        <f>VLOOKUP(Y122,'[1]Coefficient Normal'!$A$10:$P$14,16,TRUE)</f>
        <v>0.43780000000000002</v>
      </c>
      <c r="CW122">
        <v>0.3</v>
      </c>
    </row>
    <row r="123" spans="1:101" x14ac:dyDescent="0.25">
      <c r="A123">
        <v>72</v>
      </c>
      <c r="B123">
        <v>0</v>
      </c>
      <c r="D123" t="str">
        <f t="shared" si="72"/>
        <v>Normal</v>
      </c>
      <c r="F123" s="1">
        <v>2.75</v>
      </c>
      <c r="K123">
        <v>0.60960000000000003</v>
      </c>
      <c r="L123">
        <f t="shared" si="91"/>
        <v>609.6</v>
      </c>
      <c r="M123">
        <v>9.5250000000000005E-3</v>
      </c>
      <c r="N123">
        <f t="shared" si="91"/>
        <v>9.5250000000000004</v>
      </c>
      <c r="O123" s="3">
        <f t="shared" si="92"/>
        <v>64</v>
      </c>
      <c r="P123" s="1">
        <v>300</v>
      </c>
      <c r="Q123" s="4" t="s">
        <v>77</v>
      </c>
      <c r="R123" s="1">
        <f t="shared" si="93"/>
        <v>15</v>
      </c>
      <c r="S123" s="1">
        <f t="shared" si="94"/>
        <v>20</v>
      </c>
      <c r="T123" s="1">
        <f t="shared" si="95"/>
        <v>552000</v>
      </c>
      <c r="U123" s="1">
        <f t="shared" si="96"/>
        <v>625000</v>
      </c>
      <c r="V123" s="1">
        <f t="shared" si="97"/>
        <v>2.9888368774026359</v>
      </c>
      <c r="W123" s="3">
        <f>100*IF(Q123='[1]Estimation Model Normal-Slip'!$J$8,'[1]Estimation Model Normal-Slip'!$O$8,IF(Q123='[1]Estimation Model Normal-Slip'!$J$9,'[1]Estimation Model Normal-Slip'!$O$9,IF(Q123='[1]Estimation Model Normal-Slip'!$J$10,'[1]Estimation Model Normal-Slip'!$O$10,IF(Q123='[1]Estimation Model Normal-Slip'!$J$11,'[1]Estimation Model Normal-Slip'!$O$11,IF(Q123='[1]Estimation Model Normal-Slip'!$J$12,'[1]Estimation Model Normal-Slip'!$O$12,IF(Q123='[1]Estimation Model Normal-Slip'!$J$13,'[1]Estimation Model Normal-Slip'!$O$13,2))))))</f>
        <v>2.8464933991254466</v>
      </c>
      <c r="X123" s="1">
        <f t="shared" si="98"/>
        <v>1.0948843075076633</v>
      </c>
      <c r="Y123" s="1">
        <v>90</v>
      </c>
      <c r="Z123" s="1" t="s">
        <v>78</v>
      </c>
      <c r="AA123" t="s">
        <v>80</v>
      </c>
      <c r="AB123">
        <f t="shared" si="99"/>
        <v>18.5</v>
      </c>
      <c r="AC123" s="1">
        <f t="shared" si="100"/>
        <v>40</v>
      </c>
      <c r="AD123">
        <f t="shared" si="101"/>
        <v>0</v>
      </c>
      <c r="AE123">
        <f t="shared" si="102"/>
        <v>0</v>
      </c>
      <c r="AF123">
        <v>0.9</v>
      </c>
      <c r="AG123" s="1">
        <v>1.2</v>
      </c>
      <c r="AH123" s="1">
        <f t="shared" si="73"/>
        <v>1.9685039370078738</v>
      </c>
      <c r="AI123">
        <f t="shared" si="103"/>
        <v>30.889355446920469</v>
      </c>
      <c r="AJ123">
        <f>IF(AA123="medium dense",'[1]Coefficient Normal'!$E$18 + ('[1]Coefficient Normal'!$E$19*AH123) + ('[1]Coefficient Normal'!$E$20*(AH123^2)) + ('[1]Coefficient Normal'!$E$21*(AH123^3)) + ('[1]Coefficient Normal'!$E$22*(AH123^4)),IF(AA123="dense",'[1]Coefficient Normal'!$F$18 + ('[1]Coefficient Normal'!$F$19*AH123) + ('[1]Coefficient Normal'!$F$20*(AH123^2)) + ('[1]Coefficient Normal'!$F$21*(AH123^3)) + ('[1]Coefficient Normal'!$F$22*(AH123^4)),IF(AA123="very dense",'[1]Coefficient Normal'!$G$18 + ('[1]Coefficient Normal'!$G$19*AH123) + ('[1]Coefficient Normal'!$G$20*(AH123^2)) + ('[1]Coefficient Normal'!$G$21*(AH123^3)) + ('[1]Coefficient Normal'!$G$22*(AH123^4)),0)))</f>
        <v>15.896480151009957</v>
      </c>
      <c r="AK123">
        <f t="shared" si="74"/>
        <v>80</v>
      </c>
      <c r="AL123">
        <f t="shared" si="75"/>
        <v>490.12197186123592</v>
      </c>
      <c r="AM123">
        <f t="shared" si="104"/>
        <v>6.1946542822944775</v>
      </c>
      <c r="AN123">
        <f t="shared" si="76"/>
        <v>4.1588830833596715</v>
      </c>
      <c r="AO123">
        <f t="shared" si="77"/>
        <v>3.4304116406370531</v>
      </c>
      <c r="AQ123" s="5">
        <f>VLOOKUP(Y123,'[1]Coefficient Normal'!$A$3:$H$7,2,TRUE)</f>
        <v>14.575100000000001</v>
      </c>
      <c r="AR123" s="5">
        <f>VLOOKUP(Y123,'[1]Coefficient Normal'!$A$3:$H$7,3,TRUE)</f>
        <v>0.1356</v>
      </c>
      <c r="AS123" s="5">
        <f>VLOOKUP(Y123,'[1]Coefficient Normal'!$A$3:$H$7,4,TRUE)</f>
        <v>2.9990000000000001</v>
      </c>
      <c r="AT123" s="5">
        <f>VLOOKUP(Y123,'[1]Coefficient Normal'!$A$3:$H$7,5,TRUE)</f>
        <v>-0.94710000000000005</v>
      </c>
      <c r="AU123" s="5">
        <f>VLOOKUP(Y123,'[1]Coefficient Normal'!$A$3:$H$7,6,TRUE)</f>
        <v>0.6603</v>
      </c>
      <c r="AV123" s="5">
        <f>VLOOKUP(Y123,'[1]Coefficient Normal'!$A$3:$H$7,7,TRUE)</f>
        <v>-1.2488999999999999</v>
      </c>
      <c r="AW123" s="5">
        <f>VLOOKUP(Y123,'[1]Coefficient Normal'!$A$3:$H$7,8,TRUE)</f>
        <v>-0.44140000000000001</v>
      </c>
      <c r="AY123" s="5">
        <f t="shared" si="78"/>
        <v>1.3975575406714862</v>
      </c>
      <c r="BC123" s="5">
        <f>VLOOKUP(Y123,'[1]Coefficient Normal'!$A$10:$P$14,2,TRUE)</f>
        <v>5.1353999999999997</v>
      </c>
      <c r="BD123" s="5">
        <f>VLOOKUP(Y123,'[1]Coefficient Normal'!$A$10:$P$14,3,TRUE)</f>
        <v>-4.9599999999999998E-2</v>
      </c>
      <c r="BE123" s="5">
        <f>VLOOKUP(Y123,'[1]Coefficient Normal'!$A$10:$P$14,4,TRUE)</f>
        <v>0.44590000000000002</v>
      </c>
      <c r="BF123" s="5">
        <f>VLOOKUP(Y123,'[1]Coefficient Normal'!$A$10:$P$14,5,TRUE)</f>
        <v>-0.83709999999999996</v>
      </c>
      <c r="BG123" s="5">
        <f>VLOOKUP(Y123,'[1]Coefficient Normal'!$A$10:$P$14,6,TRUE)</f>
        <v>0.63090000000000002</v>
      </c>
      <c r="BH123" s="5">
        <f>VLOOKUP(Y123,'[1]Coefficient Normal'!$A$10:$P$14,7,TRUE)</f>
        <v>0.91390000000000005</v>
      </c>
      <c r="BI123" s="5">
        <f>VLOOKUP(Y123,'[1]Coefficient Normal'!$A$10:$P$14,8,TRUE)</f>
        <v>2.5000000000000001E-3</v>
      </c>
      <c r="BJ123" s="5">
        <f>VLOOKUP(Y123,'[1]Coefficient Normal'!$A$10:$P$14,9,TRUE)</f>
        <v>1.6000000000000001E-3</v>
      </c>
      <c r="BK123" s="5">
        <f>VLOOKUP(Y123,'[1]Coefficient Normal'!$A$10:$P$14,10,TRUE)</f>
        <v>-9.7500000000000003E-2</v>
      </c>
      <c r="BL123" s="5">
        <f>VLOOKUP(Y123,'[1]Coefficient Normal'!$A$10:$P$14,11,TRUE)</f>
        <v>1.1999999999999999E-3</v>
      </c>
      <c r="BM123" s="5">
        <f>VLOOKUP(Y123,'[1]Coefficient Normal'!$A$10:$P$14,12,TRUE)</f>
        <v>0.46479999999999999</v>
      </c>
      <c r="BN123" s="5">
        <f>VLOOKUP(Y123,'[1]Coefficient Normal'!$A$10:$P$14,13,TRUE)</f>
        <v>8.0000000000000004E-4</v>
      </c>
      <c r="BO123" s="5">
        <f>VLOOKUP(Y123,'[1]Coefficient Normal'!$A$10:$P$14,14,TRUE)</f>
        <v>6.7900000000000002E-2</v>
      </c>
      <c r="BP123" s="5">
        <f>VLOOKUP(Y123,'[1]Coefficient Normal'!$A$10:$P$14,15,TRUE)</f>
        <v>0.58979999999999999</v>
      </c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D123" s="6">
        <f t="shared" si="79"/>
        <v>1</v>
      </c>
      <c r="CE123" s="6">
        <f t="shared" si="80"/>
        <v>1</v>
      </c>
      <c r="CF123" s="6">
        <f t="shared" si="81"/>
        <v>0</v>
      </c>
      <c r="CG123" s="5">
        <f t="shared" si="82"/>
        <v>0.97042338861730115</v>
      </c>
      <c r="CI123">
        <f t="shared" si="83"/>
        <v>1.0116009116784799</v>
      </c>
      <c r="CN123" s="5">
        <f t="shared" si="84"/>
        <v>-0.38595662899300631</v>
      </c>
      <c r="CO123" s="5">
        <f t="shared" si="85"/>
        <v>-0.37454133976670367</v>
      </c>
      <c r="CP123" s="5">
        <f t="shared" si="86"/>
        <v>-0.20628060093463971</v>
      </c>
      <c r="CQ123" s="5">
        <f t="shared" si="87"/>
        <v>1.529620550560062</v>
      </c>
      <c r="CR123" s="5">
        <f t="shared" si="88"/>
        <v>-5.1855450997087065</v>
      </c>
      <c r="CS123" s="5">
        <f t="shared" si="89"/>
        <v>-0.31226539005126003</v>
      </c>
      <c r="CT123" s="5">
        <f t="shared" si="90"/>
        <v>0.58638812009875241</v>
      </c>
      <c r="CU123" s="7">
        <f t="shared" si="105"/>
        <v>1.7974843788684016</v>
      </c>
      <c r="CV123">
        <f>VLOOKUP(Y123,'[1]Coefficient Normal'!$A$10:$P$14,16,TRUE)</f>
        <v>0.34749999999999998</v>
      </c>
      <c r="CW123">
        <v>0.3</v>
      </c>
    </row>
    <row r="124" spans="1:101" x14ac:dyDescent="0.25">
      <c r="A124">
        <v>73</v>
      </c>
      <c r="B124">
        <v>1</v>
      </c>
      <c r="D124" t="str">
        <f t="shared" si="72"/>
        <v>Normal</v>
      </c>
      <c r="F124" s="1">
        <v>3</v>
      </c>
      <c r="K124">
        <v>0.40960000000000002</v>
      </c>
      <c r="L124">
        <f t="shared" si="91"/>
        <v>409.6</v>
      </c>
      <c r="M124">
        <v>9.5250000000000005E-3</v>
      </c>
      <c r="N124">
        <f t="shared" si="91"/>
        <v>9.5250000000000004</v>
      </c>
      <c r="O124" s="3">
        <f t="shared" si="92"/>
        <v>43.00262467191601</v>
      </c>
      <c r="P124" s="1">
        <v>30</v>
      </c>
      <c r="Q124" s="4" t="s">
        <v>70</v>
      </c>
      <c r="R124" s="1">
        <f t="shared" si="93"/>
        <v>8</v>
      </c>
      <c r="S124" s="1">
        <f t="shared" si="94"/>
        <v>10</v>
      </c>
      <c r="T124" s="1">
        <f t="shared" si="95"/>
        <v>359000</v>
      </c>
      <c r="U124" s="1">
        <f t="shared" si="96"/>
        <v>455000</v>
      </c>
      <c r="V124" s="1">
        <f t="shared" si="97"/>
        <v>1.9969902892117808</v>
      </c>
      <c r="W124" s="3">
        <f>100*IF(Q124='[1]Estimation Model Normal-Slip'!$J$8,'[1]Estimation Model Normal-Slip'!$O$8,IF(Q124='[1]Estimation Model Normal-Slip'!$J$9,'[1]Estimation Model Normal-Slip'!$O$9,IF(Q124='[1]Estimation Model Normal-Slip'!$J$10,'[1]Estimation Model Normal-Slip'!$O$10,IF(Q124='[1]Estimation Model Normal-Slip'!$J$11,'[1]Estimation Model Normal-Slip'!$O$11,IF(Q124='[1]Estimation Model Normal-Slip'!$J$12,'[1]Estimation Model Normal-Slip'!$O$12,IF(Q124='[1]Estimation Model Normal-Slip'!$J$13,'[1]Estimation Model Normal-Slip'!$O$13,2))))))</f>
        <v>1.9041242414694344</v>
      </c>
      <c r="X124" s="1">
        <f t="shared" si="98"/>
        <v>0.69164119173371341</v>
      </c>
      <c r="Y124" s="1">
        <v>45</v>
      </c>
      <c r="Z124" s="1" t="s">
        <v>78</v>
      </c>
      <c r="AA124" t="s">
        <v>81</v>
      </c>
      <c r="AB124">
        <f t="shared" si="99"/>
        <v>19</v>
      </c>
      <c r="AC124" s="1">
        <f t="shared" si="100"/>
        <v>43</v>
      </c>
      <c r="AD124">
        <f t="shared" si="101"/>
        <v>0</v>
      </c>
      <c r="AE124">
        <f t="shared" si="102"/>
        <v>0</v>
      </c>
      <c r="AF124">
        <v>0.9</v>
      </c>
      <c r="AG124" s="1">
        <v>0.78739999999999999</v>
      </c>
      <c r="AH124" s="1">
        <f t="shared" si="73"/>
        <v>1.9223632812499998</v>
      </c>
      <c r="AI124">
        <f t="shared" si="103"/>
        <v>15.423155931843731</v>
      </c>
      <c r="AJ124">
        <f>IF(AA124="medium dense",'[1]Coefficient Normal'!$E$18 + ('[1]Coefficient Normal'!$E$19*AH124) + ('[1]Coefficient Normal'!$E$20*(AH124^2)) + ('[1]Coefficient Normal'!$E$21*(AH124^3)) + ('[1]Coefficient Normal'!$E$22*(AH124^4)),IF(AA124="dense",'[1]Coefficient Normal'!$F$18 + ('[1]Coefficient Normal'!$F$19*AH124) + ('[1]Coefficient Normal'!$F$20*(AH124^2)) + ('[1]Coefficient Normal'!$F$21*(AH124^3)) + ('[1]Coefficient Normal'!$F$22*(AH124^4)),IF(AA124="very dense",'[1]Coefficient Normal'!$G$18 + ('[1]Coefficient Normal'!$G$19*AH124) + ('[1]Coefficient Normal'!$G$20*(AH124^2)) + ('[1]Coefficient Normal'!$G$21*(AH124^3)) + ('[1]Coefficient Normal'!$G$22*(AH124^4)),0)))</f>
        <v>18.720510313797256</v>
      </c>
      <c r="AK124">
        <f t="shared" si="74"/>
        <v>80</v>
      </c>
      <c r="AL124">
        <f t="shared" si="75"/>
        <v>242.22354087960383</v>
      </c>
      <c r="AM124">
        <f t="shared" si="104"/>
        <v>5.4898610224304614</v>
      </c>
      <c r="AN124">
        <f t="shared" si="76"/>
        <v>3.7612611527125335</v>
      </c>
      <c r="AO124">
        <f t="shared" si="77"/>
        <v>2.7358700120349009</v>
      </c>
      <c r="AQ124" s="5">
        <f>VLOOKUP(Y124,'[1]Coefficient Normal'!$A$3:$H$7,2,TRUE)</f>
        <v>3.7532999999999999</v>
      </c>
      <c r="AR124" s="5">
        <f>VLOOKUP(Y124,'[1]Coefficient Normal'!$A$3:$H$7,3,TRUE)</f>
        <v>0.14510000000000001</v>
      </c>
      <c r="AS124" s="5">
        <f>VLOOKUP(Y124,'[1]Coefficient Normal'!$A$3:$H$7,4,TRUE)</f>
        <v>1.2497</v>
      </c>
      <c r="AT124" s="5">
        <f>VLOOKUP(Y124,'[1]Coefficient Normal'!$A$3:$H$7,5,TRUE)</f>
        <v>-0.46100000000000002</v>
      </c>
      <c r="AU124" s="5">
        <f>VLOOKUP(Y124,'[1]Coefficient Normal'!$A$3:$H$7,6,TRUE)</f>
        <v>0.39140000000000003</v>
      </c>
      <c r="AV124" s="5">
        <f>VLOOKUP(Y124,'[1]Coefficient Normal'!$A$3:$H$7,7,TRUE)</f>
        <v>-0.21310000000000001</v>
      </c>
      <c r="AW124" s="5">
        <f>VLOOKUP(Y124,'[1]Coefficient Normal'!$A$3:$H$7,8,TRUE)</f>
        <v>-0.34139999999999998</v>
      </c>
      <c r="AY124" s="5">
        <f t="shared" si="78"/>
        <v>-0.43578467917484187</v>
      </c>
      <c r="BC124" s="5">
        <f>VLOOKUP(Y124,'[1]Coefficient Normal'!$A$10:$P$14,2,TRUE)</f>
        <v>-1.1082000000000001</v>
      </c>
      <c r="BD124" s="5">
        <f>VLOOKUP(Y124,'[1]Coefficient Normal'!$A$10:$P$14,3,TRUE)</f>
        <v>0.10630000000000001</v>
      </c>
      <c r="BE124" s="5">
        <f>VLOOKUP(Y124,'[1]Coefficient Normal'!$A$10:$P$14,4,TRUE)</f>
        <v>-0.1439</v>
      </c>
      <c r="BF124" s="5">
        <f>VLOOKUP(Y124,'[1]Coefficient Normal'!$A$10:$P$14,5,TRUE)</f>
        <v>0.27879999999999999</v>
      </c>
      <c r="BG124" s="5">
        <f>VLOOKUP(Y124,'[1]Coefficient Normal'!$A$10:$P$14,6,TRUE)</f>
        <v>-0.31030000000000002</v>
      </c>
      <c r="BH124" s="5">
        <f>VLOOKUP(Y124,'[1]Coefficient Normal'!$A$10:$P$14,7,TRUE)</f>
        <v>1.2553000000000001</v>
      </c>
      <c r="BI124" s="5">
        <f>VLOOKUP(Y124,'[1]Coefficient Normal'!$A$10:$P$14,8,TRUE)</f>
        <v>2.9999999999999997E-4</v>
      </c>
      <c r="BJ124" s="5">
        <f>VLOOKUP(Y124,'[1]Coefficient Normal'!$A$10:$P$14,9,TRUE)</f>
        <v>5.1999999999999998E-3</v>
      </c>
      <c r="BK124" s="5">
        <f>VLOOKUP(Y124,'[1]Coefficient Normal'!$A$10:$P$14,10,TRUE)</f>
        <v>-8.5900000000000004E-2</v>
      </c>
      <c r="BL124" s="5">
        <f>VLOOKUP(Y124,'[1]Coefficient Normal'!$A$10:$P$14,11,TRUE)</f>
        <v>5.9999999999999995E-4</v>
      </c>
      <c r="BM124" s="5">
        <f>VLOOKUP(Y124,'[1]Coefficient Normal'!$A$10:$P$14,12,TRUE)</f>
        <v>-0.21759999999999999</v>
      </c>
      <c r="BN124" s="5">
        <f>VLOOKUP(Y124,'[1]Coefficient Normal'!$A$10:$P$14,13,TRUE)</f>
        <v>-2.69E-2</v>
      </c>
      <c r="BO124" s="5">
        <f>VLOOKUP(Y124,'[1]Coefficient Normal'!$A$10:$P$14,14,TRUE)</f>
        <v>0.57389999999999997</v>
      </c>
      <c r="BP124" s="5">
        <f>VLOOKUP(Y124,'[1]Coefficient Normal'!$A$10:$P$14,15,TRUE)</f>
        <v>0.34460000000000002</v>
      </c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D124" s="6">
        <f t="shared" si="79"/>
        <v>1</v>
      </c>
      <c r="CE124" s="6">
        <f t="shared" si="80"/>
        <v>0</v>
      </c>
      <c r="CF124" s="6">
        <f t="shared" si="81"/>
        <v>1</v>
      </c>
      <c r="CG124" s="5">
        <f t="shared" si="82"/>
        <v>1.9037395546714377</v>
      </c>
      <c r="CI124">
        <f t="shared" si="83"/>
        <v>1.0986122886681098</v>
      </c>
      <c r="CN124" s="5">
        <f t="shared" si="84"/>
        <v>1.5343969678429517</v>
      </c>
      <c r="CO124" s="5">
        <f t="shared" si="85"/>
        <v>2.9210922002505453</v>
      </c>
      <c r="CP124" s="5">
        <f t="shared" si="86"/>
        <v>0.39982206053334235</v>
      </c>
      <c r="CQ124" s="5">
        <f t="shared" si="87"/>
        <v>-0.39369169473182225</v>
      </c>
      <c r="CR124" s="5">
        <f t="shared" si="88"/>
        <v>1.5305732530536127</v>
      </c>
      <c r="CS124" s="5">
        <f t="shared" si="89"/>
        <v>0.27696577589119714</v>
      </c>
      <c r="CT124" s="5">
        <f t="shared" si="90"/>
        <v>3.626561594996875</v>
      </c>
      <c r="CU124" s="7">
        <f t="shared" si="105"/>
        <v>37.583367356871307</v>
      </c>
      <c r="CV124">
        <f>VLOOKUP(Y124,'[1]Coefficient Normal'!$A$10:$P$14,16,TRUE)</f>
        <v>0.3997</v>
      </c>
      <c r="CW124">
        <v>0.3</v>
      </c>
    </row>
    <row r="125" spans="1:101" x14ac:dyDescent="0.25">
      <c r="A125">
        <v>74</v>
      </c>
      <c r="B125">
        <v>2</v>
      </c>
      <c r="D125" t="str">
        <f t="shared" si="72"/>
        <v>Normal</v>
      </c>
      <c r="F125" s="1">
        <v>0.2</v>
      </c>
      <c r="K125">
        <v>0.89600000000000002</v>
      </c>
      <c r="L125">
        <f t="shared" si="91"/>
        <v>896</v>
      </c>
      <c r="M125">
        <v>9.5250000000000005E-3</v>
      </c>
      <c r="N125">
        <f t="shared" si="91"/>
        <v>9.5250000000000004</v>
      </c>
      <c r="O125" s="3">
        <f t="shared" si="92"/>
        <v>94.068241469816272</v>
      </c>
      <c r="P125" s="1">
        <v>50</v>
      </c>
      <c r="Q125" s="4" t="s">
        <v>73</v>
      </c>
      <c r="R125" s="1">
        <f t="shared" si="93"/>
        <v>8</v>
      </c>
      <c r="S125" s="1">
        <f t="shared" si="94"/>
        <v>12</v>
      </c>
      <c r="T125" s="1">
        <f t="shared" si="95"/>
        <v>414000</v>
      </c>
      <c r="U125" s="1">
        <f t="shared" si="96"/>
        <v>517000</v>
      </c>
      <c r="V125" s="1">
        <f t="shared" si="97"/>
        <v>2.5466769467238102</v>
      </c>
      <c r="W125" s="3">
        <f>100*IF(Q125='[1]Estimation Model Normal-Slip'!$J$8,'[1]Estimation Model Normal-Slip'!$O$8,IF(Q125='[1]Estimation Model Normal-Slip'!$J$9,'[1]Estimation Model Normal-Slip'!$O$9,IF(Q125='[1]Estimation Model Normal-Slip'!$J$10,'[1]Estimation Model Normal-Slip'!$O$10,IF(Q125='[1]Estimation Model Normal-Slip'!$J$11,'[1]Estimation Model Normal-Slip'!$O$11,IF(Q125='[1]Estimation Model Normal-Slip'!$J$12,'[1]Estimation Model Normal-Slip'!$O$12,IF(Q125='[1]Estimation Model Normal-Slip'!$J$13,'[1]Estimation Model Normal-Slip'!$O$13,2))))))</f>
        <v>2.4313344008036557</v>
      </c>
      <c r="X125" s="1">
        <f t="shared" si="98"/>
        <v>0.93478935117382533</v>
      </c>
      <c r="Y125" s="1">
        <v>60</v>
      </c>
      <c r="Z125" s="1" t="s">
        <v>78</v>
      </c>
      <c r="AA125" t="s">
        <v>79</v>
      </c>
      <c r="AB125">
        <f t="shared" si="99"/>
        <v>18</v>
      </c>
      <c r="AC125" s="1">
        <f t="shared" si="100"/>
        <v>37</v>
      </c>
      <c r="AD125">
        <f t="shared" si="101"/>
        <v>0</v>
      </c>
      <c r="AE125">
        <f t="shared" si="102"/>
        <v>0</v>
      </c>
      <c r="AF125">
        <v>0.9</v>
      </c>
      <c r="AG125" s="1">
        <v>1</v>
      </c>
      <c r="AH125" s="1">
        <f t="shared" si="73"/>
        <v>1.8</v>
      </c>
      <c r="AI125">
        <f t="shared" si="103"/>
        <v>33.282396503295658</v>
      </c>
      <c r="AJ125">
        <f>IF(AA125="medium dense",'[1]Coefficient Normal'!$E$18 + ('[1]Coefficient Normal'!$E$19*AH125) + ('[1]Coefficient Normal'!$E$20*(AH125^2)) + ('[1]Coefficient Normal'!$E$21*(AH125^3)) + ('[1]Coefficient Normal'!$E$22*(AH125^4)),IF(AA125="dense",'[1]Coefficient Normal'!$F$18 + ('[1]Coefficient Normal'!$F$19*AH125) + ('[1]Coefficient Normal'!$F$20*(AH125^2)) + ('[1]Coefficient Normal'!$F$21*(AH125^3)) + ('[1]Coefficient Normal'!$F$22*(AH125^4)),IF(AA125="very dense",'[1]Coefficient Normal'!$G$18 + ('[1]Coefficient Normal'!$G$19*AH125) + ('[1]Coefficient Normal'!$G$20*(AH125^2)) + ('[1]Coefficient Normal'!$G$21*(AH125^3)) + ('[1]Coefficient Normal'!$G$22*(AH125^4)),0)))</f>
        <v>12.698394373823998</v>
      </c>
      <c r="AK125">
        <f t="shared" si="74"/>
        <v>64.071522599936642</v>
      </c>
      <c r="AL125">
        <f t="shared" si="75"/>
        <v>667.7384958493501</v>
      </c>
      <c r="AM125">
        <f t="shared" si="104"/>
        <v>6.5038966236115616</v>
      </c>
      <c r="AN125">
        <f t="shared" si="76"/>
        <v>4.5440204919621658</v>
      </c>
      <c r="AO125">
        <f t="shared" si="77"/>
        <v>3.5050286236757637</v>
      </c>
      <c r="AQ125" s="5">
        <f>VLOOKUP(Y125,'[1]Coefficient Normal'!$A$3:$H$7,2,TRUE)</f>
        <v>4.3182999999999998</v>
      </c>
      <c r="AR125" s="5">
        <f>VLOOKUP(Y125,'[1]Coefficient Normal'!$A$3:$H$7,3,TRUE)</f>
        <v>-2.7900000000000001E-2</v>
      </c>
      <c r="AS125" s="5">
        <f>VLOOKUP(Y125,'[1]Coefficient Normal'!$A$3:$H$7,4,TRUE)</f>
        <v>1.0497000000000001</v>
      </c>
      <c r="AT125" s="5">
        <f>VLOOKUP(Y125,'[1]Coefficient Normal'!$A$3:$H$7,5,TRUE)</f>
        <v>-0.46910000000000002</v>
      </c>
      <c r="AU125" s="5">
        <f>VLOOKUP(Y125,'[1]Coefficient Normal'!$A$3:$H$7,6,TRUE)</f>
        <v>0.29149999999999998</v>
      </c>
      <c r="AV125" s="5">
        <f>VLOOKUP(Y125,'[1]Coefficient Normal'!$A$3:$H$7,7,TRUE)</f>
        <v>-0.28610000000000002</v>
      </c>
      <c r="AW125" s="5">
        <f>VLOOKUP(Y125,'[1]Coefficient Normal'!$A$3:$H$7,8,TRUE)</f>
        <v>-0.1348</v>
      </c>
      <c r="AY125" s="5">
        <f t="shared" si="78"/>
        <v>-9.8469706098252174E-2</v>
      </c>
      <c r="BC125" s="5">
        <f>VLOOKUP(Y125,'[1]Coefficient Normal'!$A$10:$P$14,2,TRUE)</f>
        <v>-2.1276999999999999</v>
      </c>
      <c r="BD125" s="5">
        <f>VLOOKUP(Y125,'[1]Coefficient Normal'!$A$10:$P$14,3,TRUE)</f>
        <v>0.14760000000000001</v>
      </c>
      <c r="BE125" s="5">
        <f>VLOOKUP(Y125,'[1]Coefficient Normal'!$A$10:$P$14,4,TRUE)</f>
        <v>-0.21829999999999999</v>
      </c>
      <c r="BF125" s="5">
        <f>VLOOKUP(Y125,'[1]Coefficient Normal'!$A$10:$P$14,5,TRUE)</f>
        <v>0.42270000000000002</v>
      </c>
      <c r="BG125" s="5">
        <f>VLOOKUP(Y125,'[1]Coefficient Normal'!$A$10:$P$14,6,TRUE)</f>
        <v>-0.53720000000000001</v>
      </c>
      <c r="BH125" s="5">
        <f>VLOOKUP(Y125,'[1]Coefficient Normal'!$A$10:$P$14,7,TRUE)</f>
        <v>1.252</v>
      </c>
      <c r="BI125" s="5">
        <f>VLOOKUP(Y125,'[1]Coefficient Normal'!$A$10:$P$14,8,TRUE)</f>
        <v>-5.9999999999999995E-4</v>
      </c>
      <c r="BJ125" s="5">
        <f>VLOOKUP(Y125,'[1]Coefficient Normal'!$A$10:$P$14,9,TRUE)</f>
        <v>5.3E-3</v>
      </c>
      <c r="BK125" s="5">
        <f>VLOOKUP(Y125,'[1]Coefficient Normal'!$A$10:$P$14,10,TRUE)</f>
        <v>-4.8500000000000001E-2</v>
      </c>
      <c r="BL125" s="5">
        <f>VLOOKUP(Y125,'[1]Coefficient Normal'!$A$10:$P$14,11,TRUE)</f>
        <v>1.2999999999999999E-3</v>
      </c>
      <c r="BM125" s="5">
        <f>VLOOKUP(Y125,'[1]Coefficient Normal'!$A$10:$P$14,12,TRUE)</f>
        <v>-0.56599999999999995</v>
      </c>
      <c r="BN125" s="5">
        <f>VLOOKUP(Y125,'[1]Coefficient Normal'!$A$10:$P$14,13,TRUE)</f>
        <v>-3.2099999999999997E-2</v>
      </c>
      <c r="BO125" s="5">
        <f>VLOOKUP(Y125,'[1]Coefficient Normal'!$A$10:$P$14,14,TRUE)</f>
        <v>0.84970000000000001</v>
      </c>
      <c r="BP125" s="5">
        <f>VLOOKUP(Y125,'[1]Coefficient Normal'!$A$10:$P$14,15,TRUE)</f>
        <v>9.01E-2</v>
      </c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D125" s="6">
        <f t="shared" si="79"/>
        <v>1</v>
      </c>
      <c r="CE125" s="6">
        <f t="shared" si="80"/>
        <v>1</v>
      </c>
      <c r="CF125" s="6">
        <f t="shared" si="81"/>
        <v>1</v>
      </c>
      <c r="CG125" s="5">
        <f t="shared" si="82"/>
        <v>1.0893192760087838</v>
      </c>
      <c r="CI125">
        <f t="shared" si="83"/>
        <v>-1.6094379124341003</v>
      </c>
      <c r="CN125" s="5">
        <f t="shared" si="84"/>
        <v>-1.5109682063358481</v>
      </c>
      <c r="CO125" s="5">
        <f t="shared" si="85"/>
        <v>-1.6459267925980565</v>
      </c>
      <c r="CP125" s="5">
        <f t="shared" si="86"/>
        <v>0.6706974246136157</v>
      </c>
      <c r="CQ125" s="5">
        <f t="shared" si="87"/>
        <v>-0.76514774854841916</v>
      </c>
      <c r="CR125" s="5">
        <f t="shared" si="88"/>
        <v>2.7491971028006073</v>
      </c>
      <c r="CS125" s="5">
        <f t="shared" si="89"/>
        <v>5.8992546019071369E-2</v>
      </c>
      <c r="CT125" s="5">
        <f t="shared" si="90"/>
        <v>-1.0598874677131811</v>
      </c>
      <c r="CU125" s="7">
        <f t="shared" si="105"/>
        <v>0.34649479998843213</v>
      </c>
      <c r="CV125">
        <f>VLOOKUP(Y125,'[1]Coefficient Normal'!$A$10:$P$14,16,TRUE)</f>
        <v>0.50170000000000003</v>
      </c>
      <c r="CW125">
        <v>0.3</v>
      </c>
    </row>
    <row r="126" spans="1:101" x14ac:dyDescent="0.25">
      <c r="A126">
        <v>75</v>
      </c>
      <c r="B126">
        <v>3</v>
      </c>
      <c r="D126" t="str">
        <f t="shared" si="72"/>
        <v>Normal</v>
      </c>
      <c r="F126" s="1">
        <v>0.2</v>
      </c>
      <c r="K126">
        <v>0.5</v>
      </c>
      <c r="L126">
        <f t="shared" si="91"/>
        <v>500</v>
      </c>
      <c r="M126">
        <v>9.5250000000000005E-3</v>
      </c>
      <c r="N126">
        <f t="shared" si="91"/>
        <v>9.5250000000000004</v>
      </c>
      <c r="O126" s="3">
        <f t="shared" si="92"/>
        <v>52.493438320209975</v>
      </c>
      <c r="P126" s="1">
        <v>100</v>
      </c>
      <c r="Q126" s="4" t="s">
        <v>75</v>
      </c>
      <c r="R126" s="1">
        <f t="shared" si="93"/>
        <v>14</v>
      </c>
      <c r="S126" s="1">
        <f t="shared" si="94"/>
        <v>15</v>
      </c>
      <c r="T126" s="1">
        <f t="shared" si="95"/>
        <v>483000</v>
      </c>
      <c r="U126" s="1">
        <f t="shared" si="96"/>
        <v>565000</v>
      </c>
      <c r="V126" s="1">
        <f t="shared" si="97"/>
        <v>2.8799444073326219</v>
      </c>
      <c r="W126" s="3">
        <f>100*IF(Q126='[1]Estimation Model Normal-Slip'!$J$8,'[1]Estimation Model Normal-Slip'!$O$8,IF(Q126='[1]Estimation Model Normal-Slip'!$J$9,'[1]Estimation Model Normal-Slip'!$O$9,IF(Q126='[1]Estimation Model Normal-Slip'!$J$10,'[1]Estimation Model Normal-Slip'!$O$10,IF(Q126='[1]Estimation Model Normal-Slip'!$J$11,'[1]Estimation Model Normal-Slip'!$O$11,IF(Q126='[1]Estimation Model Normal-Slip'!$J$12,'[1]Estimation Model Normal-Slip'!$O$12,IF(Q126='[1]Estimation Model Normal-Slip'!$J$13,'[1]Estimation Model Normal-Slip'!$O$13,2))))))</f>
        <v>2.7690517990613435</v>
      </c>
      <c r="X126" s="1">
        <f t="shared" si="98"/>
        <v>1.0577709909520427</v>
      </c>
      <c r="Y126" s="1">
        <v>75</v>
      </c>
      <c r="Z126" s="1" t="s">
        <v>78</v>
      </c>
      <c r="AA126" t="s">
        <v>80</v>
      </c>
      <c r="AB126">
        <f t="shared" si="99"/>
        <v>18.5</v>
      </c>
      <c r="AC126" s="1">
        <f t="shared" si="100"/>
        <v>40</v>
      </c>
      <c r="AD126">
        <f t="shared" si="101"/>
        <v>0</v>
      </c>
      <c r="AE126">
        <f t="shared" si="102"/>
        <v>0</v>
      </c>
      <c r="AF126">
        <v>0.9</v>
      </c>
      <c r="AG126" s="1">
        <v>1.2</v>
      </c>
      <c r="AH126" s="1">
        <f t="shared" si="73"/>
        <v>2.4</v>
      </c>
      <c r="AI126">
        <f t="shared" si="103"/>
        <v>25.335757420374399</v>
      </c>
      <c r="AJ126">
        <f>IF(AA126="medium dense",'[1]Coefficient Normal'!$E$18 + ('[1]Coefficient Normal'!$E$19*AH126) + ('[1]Coefficient Normal'!$E$20*(AH126^2)) + ('[1]Coefficient Normal'!$E$21*(AH126^3)) + ('[1]Coefficient Normal'!$E$22*(AH126^4)),IF(AA126="dense",'[1]Coefficient Normal'!$F$18 + ('[1]Coefficient Normal'!$F$19*AH126) + ('[1]Coefficient Normal'!$F$20*(AH126^2)) + ('[1]Coefficient Normal'!$F$21*(AH126^3)) + ('[1]Coefficient Normal'!$F$22*(AH126^4)),IF(AA126="very dense",'[1]Coefficient Normal'!$G$18 + ('[1]Coefficient Normal'!$G$19*AH126) + ('[1]Coefficient Normal'!$G$20*(AH126^2)) + ('[1]Coefficient Normal'!$G$21*(AH126^3)) + ('[1]Coefficient Normal'!$G$22*(AH126^4)),0)))</f>
        <v>15.970859354576</v>
      </c>
      <c r="AK126">
        <f t="shared" si="74"/>
        <v>80</v>
      </c>
      <c r="AL126">
        <f t="shared" si="75"/>
        <v>362.27653883579364</v>
      </c>
      <c r="AM126">
        <f t="shared" si="104"/>
        <v>5.8924078396237283</v>
      </c>
      <c r="AN126">
        <f t="shared" si="76"/>
        <v>3.9606881774094269</v>
      </c>
      <c r="AO126">
        <f t="shared" si="77"/>
        <v>3.2322167346868085</v>
      </c>
      <c r="AQ126" s="5">
        <f>VLOOKUP(Y126,'[1]Coefficient Normal'!$A$3:$H$7,2,TRUE)</f>
        <v>5.5951000000000004</v>
      </c>
      <c r="AR126" s="5">
        <f>VLOOKUP(Y126,'[1]Coefficient Normal'!$A$3:$H$7,3,TRUE)</f>
        <v>1.6E-2</v>
      </c>
      <c r="AS126" s="5">
        <f>VLOOKUP(Y126,'[1]Coefficient Normal'!$A$3:$H$7,4,TRUE)</f>
        <v>1.2641</v>
      </c>
      <c r="AT126" s="5">
        <f>VLOOKUP(Y126,'[1]Coefficient Normal'!$A$3:$H$7,5,TRUE)</f>
        <v>-0.52429999999999999</v>
      </c>
      <c r="AU126" s="5">
        <f>VLOOKUP(Y126,'[1]Coefficient Normal'!$A$3:$H$7,6,TRUE)</f>
        <v>0.35830000000000001</v>
      </c>
      <c r="AV126" s="5">
        <f>VLOOKUP(Y126,'[1]Coefficient Normal'!$A$3:$H$7,7,TRUE)</f>
        <v>-0.35920000000000002</v>
      </c>
      <c r="AW126" s="5">
        <f>VLOOKUP(Y126,'[1]Coefficient Normal'!$A$3:$H$7,8,TRUE)</f>
        <v>-0.2482</v>
      </c>
      <c r="AY126" s="5">
        <f t="shared" si="78"/>
        <v>0.17619681713022817</v>
      </c>
      <c r="BC126" s="5">
        <f>VLOOKUP(Y126,'[1]Coefficient Normal'!$A$10:$P$14,2,TRUE)</f>
        <v>-2.3450000000000002</v>
      </c>
      <c r="BD126" s="5">
        <f>VLOOKUP(Y126,'[1]Coefficient Normal'!$A$10:$P$14,3,TRUE)</f>
        <v>0.19470000000000001</v>
      </c>
      <c r="BE126" s="5">
        <f>VLOOKUP(Y126,'[1]Coefficient Normal'!$A$10:$P$14,4,TRUE)</f>
        <v>-0.2044</v>
      </c>
      <c r="BF126" s="5">
        <f>VLOOKUP(Y126,'[1]Coefficient Normal'!$A$10:$P$14,5,TRUE)</f>
        <v>0.4143</v>
      </c>
      <c r="BG126" s="5">
        <f>VLOOKUP(Y126,'[1]Coefficient Normal'!$A$10:$P$14,6,TRUE)</f>
        <v>-0.55710000000000004</v>
      </c>
      <c r="BH126" s="5">
        <f>VLOOKUP(Y126,'[1]Coefficient Normal'!$A$10:$P$14,7,TRUE)</f>
        <v>1.0931</v>
      </c>
      <c r="BI126" s="5">
        <f>VLOOKUP(Y126,'[1]Coefficient Normal'!$A$10:$P$14,8,TRUE)</f>
        <v>1E-4</v>
      </c>
      <c r="BJ126" s="5">
        <f>VLOOKUP(Y126,'[1]Coefficient Normal'!$A$10:$P$14,9,TRUE)</f>
        <v>3.5000000000000001E-3</v>
      </c>
      <c r="BK126" s="5">
        <f>VLOOKUP(Y126,'[1]Coefficient Normal'!$A$10:$P$14,10,TRUE)</f>
        <v>-4.07E-2</v>
      </c>
      <c r="BL126" s="5">
        <f>VLOOKUP(Y126,'[1]Coefficient Normal'!$A$10:$P$14,11,TRUE)</f>
        <v>1.6000000000000001E-3</v>
      </c>
      <c r="BM126" s="5">
        <f>VLOOKUP(Y126,'[1]Coefficient Normal'!$A$10:$P$14,12,TRUE)</f>
        <v>-0.65949999999999998</v>
      </c>
      <c r="BN126" s="5">
        <f>VLOOKUP(Y126,'[1]Coefficient Normal'!$A$10:$P$14,13,TRUE)</f>
        <v>-3.0099999999999998E-2</v>
      </c>
      <c r="BO126" s="5">
        <f>VLOOKUP(Y126,'[1]Coefficient Normal'!$A$10:$P$14,14,TRUE)</f>
        <v>0.84219999999999995</v>
      </c>
      <c r="BP126" s="5">
        <f>VLOOKUP(Y126,'[1]Coefficient Normal'!$A$10:$P$14,15,TRUE)</f>
        <v>0.50680000000000003</v>
      </c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D126" s="6">
        <f t="shared" si="79"/>
        <v>1</v>
      </c>
      <c r="CE126" s="6">
        <f t="shared" si="80"/>
        <v>1</v>
      </c>
      <c r="CF126" s="6">
        <f t="shared" si="81"/>
        <v>0</v>
      </c>
      <c r="CG126" s="5">
        <f t="shared" si="82"/>
        <v>1.1389230770543735</v>
      </c>
      <c r="CI126">
        <f t="shared" si="83"/>
        <v>-1.6094379124341003</v>
      </c>
      <c r="CN126" s="5">
        <f t="shared" si="84"/>
        <v>-1.7856347295643284</v>
      </c>
      <c r="CO126" s="5">
        <f t="shared" si="85"/>
        <v>-2.0337006006905591</v>
      </c>
      <c r="CP126" s="5">
        <f t="shared" si="86"/>
        <v>0.7711459881416155</v>
      </c>
      <c r="CQ126" s="5">
        <f t="shared" si="87"/>
        <v>-0.66066510056998362</v>
      </c>
      <c r="CR126" s="5">
        <f t="shared" si="88"/>
        <v>2.4412245679561106</v>
      </c>
      <c r="CS126" s="5">
        <f t="shared" si="89"/>
        <v>0.38615229428994552</v>
      </c>
      <c r="CT126" s="5">
        <f t="shared" si="90"/>
        <v>-1.4408428508728706</v>
      </c>
      <c r="CU126" s="7">
        <f t="shared" si="105"/>
        <v>0.23672814804672532</v>
      </c>
      <c r="CV126">
        <f>VLOOKUP(Y126,'[1]Coefficient Normal'!$A$10:$P$14,16,TRUE)</f>
        <v>0.43780000000000002</v>
      </c>
      <c r="CW126">
        <v>0.3</v>
      </c>
    </row>
    <row r="127" spans="1:101" x14ac:dyDescent="0.25">
      <c r="A127">
        <v>76</v>
      </c>
      <c r="B127">
        <v>4</v>
      </c>
      <c r="D127" t="str">
        <f t="shared" si="72"/>
        <v>Normal</v>
      </c>
      <c r="F127" s="1">
        <v>0.25</v>
      </c>
      <c r="K127">
        <v>1.0668</v>
      </c>
      <c r="L127">
        <f t="shared" si="91"/>
        <v>1066.8</v>
      </c>
      <c r="M127">
        <v>9.5250000000000005E-3</v>
      </c>
      <c r="N127">
        <f t="shared" si="91"/>
        <v>9.5250000000000004</v>
      </c>
      <c r="O127" s="3">
        <f t="shared" si="92"/>
        <v>111.99999999999999</v>
      </c>
      <c r="P127" s="1">
        <v>300</v>
      </c>
      <c r="Q127" s="4" t="s">
        <v>70</v>
      </c>
      <c r="R127" s="1">
        <f t="shared" si="93"/>
        <v>8</v>
      </c>
      <c r="S127" s="1">
        <f t="shared" si="94"/>
        <v>10</v>
      </c>
      <c r="T127" s="1">
        <f t="shared" si="95"/>
        <v>359000</v>
      </c>
      <c r="U127" s="1">
        <f t="shared" si="96"/>
        <v>455000</v>
      </c>
      <c r="V127" s="1">
        <f t="shared" si="97"/>
        <v>1.9969902892117808</v>
      </c>
      <c r="W127" s="3">
        <f>100*IF(Q127='[1]Estimation Model Normal-Slip'!$J$8,'[1]Estimation Model Normal-Slip'!$O$8,IF(Q127='[1]Estimation Model Normal-Slip'!$J$9,'[1]Estimation Model Normal-Slip'!$O$9,IF(Q127='[1]Estimation Model Normal-Slip'!$J$10,'[1]Estimation Model Normal-Slip'!$O$10,IF(Q127='[1]Estimation Model Normal-Slip'!$J$11,'[1]Estimation Model Normal-Slip'!$O$11,IF(Q127='[1]Estimation Model Normal-Slip'!$J$12,'[1]Estimation Model Normal-Slip'!$O$12,IF(Q127='[1]Estimation Model Normal-Slip'!$J$13,'[1]Estimation Model Normal-Slip'!$O$13,2))))))</f>
        <v>1.9041242414694344</v>
      </c>
      <c r="X127" s="1">
        <f t="shared" si="98"/>
        <v>0.69164119173371341</v>
      </c>
      <c r="Y127" s="1">
        <v>90</v>
      </c>
      <c r="Z127" s="1" t="s">
        <v>78</v>
      </c>
      <c r="AA127" t="s">
        <v>81</v>
      </c>
      <c r="AB127">
        <f t="shared" si="99"/>
        <v>19</v>
      </c>
      <c r="AC127" s="1">
        <f t="shared" si="100"/>
        <v>43</v>
      </c>
      <c r="AD127">
        <f t="shared" si="101"/>
        <v>0</v>
      </c>
      <c r="AE127">
        <f t="shared" si="102"/>
        <v>0</v>
      </c>
      <c r="AF127">
        <v>0.9</v>
      </c>
      <c r="AG127" s="1">
        <v>2.5</v>
      </c>
      <c r="AH127" s="1">
        <f t="shared" si="73"/>
        <v>2.3434570678665168</v>
      </c>
      <c r="AI127">
        <f t="shared" si="103"/>
        <v>127.53838306794918</v>
      </c>
      <c r="AJ127">
        <f>IF(AA127="medium dense",'[1]Coefficient Normal'!$E$18 + ('[1]Coefficient Normal'!$E$19*AH127) + ('[1]Coefficient Normal'!$E$20*(AH127^2)) + ('[1]Coefficient Normal'!$E$21*(AH127^3)) + ('[1]Coefficient Normal'!$E$22*(AH127^4)),IF(AA127="dense",'[1]Coefficient Normal'!$F$18 + ('[1]Coefficient Normal'!$F$19*AH127) + ('[1]Coefficient Normal'!$F$20*(AH127^2)) + ('[1]Coefficient Normal'!$F$21*(AH127^3)) + ('[1]Coefficient Normal'!$F$22*(AH127^4)),IF(AA127="very dense",'[1]Coefficient Normal'!$G$18 + ('[1]Coefficient Normal'!$G$19*AH127) + ('[1]Coefficient Normal'!$G$20*(AH127^2)) + ('[1]Coefficient Normal'!$G$21*(AH127^3)) + ('[1]Coefficient Normal'!$G$22*(AH127^4)),0)))</f>
        <v>18.621858727008274</v>
      </c>
      <c r="AK127">
        <f t="shared" si="74"/>
        <v>80</v>
      </c>
      <c r="AL127">
        <f t="shared" si="75"/>
        <v>1808.5527496736904</v>
      </c>
      <c r="AM127">
        <f t="shared" si="104"/>
        <v>7.5002822186049887</v>
      </c>
      <c r="AN127">
        <f t="shared" si="76"/>
        <v>4.7184988712950942</v>
      </c>
      <c r="AO127">
        <f t="shared" si="77"/>
        <v>4.848417362964117</v>
      </c>
      <c r="AQ127" s="5">
        <f>VLOOKUP(Y127,'[1]Coefficient Normal'!$A$3:$H$7,2,TRUE)</f>
        <v>14.575100000000001</v>
      </c>
      <c r="AR127" s="5">
        <f>VLOOKUP(Y127,'[1]Coefficient Normal'!$A$3:$H$7,3,TRUE)</f>
        <v>0.1356</v>
      </c>
      <c r="AS127" s="5">
        <f>VLOOKUP(Y127,'[1]Coefficient Normal'!$A$3:$H$7,4,TRUE)</f>
        <v>2.9990000000000001</v>
      </c>
      <c r="AT127" s="5">
        <f>VLOOKUP(Y127,'[1]Coefficient Normal'!$A$3:$H$7,5,TRUE)</f>
        <v>-0.94710000000000005</v>
      </c>
      <c r="AU127" s="5">
        <f>VLOOKUP(Y127,'[1]Coefficient Normal'!$A$3:$H$7,6,TRUE)</f>
        <v>0.6603</v>
      </c>
      <c r="AV127" s="5">
        <f>VLOOKUP(Y127,'[1]Coefficient Normal'!$A$3:$H$7,7,TRUE)</f>
        <v>-1.2488999999999999</v>
      </c>
      <c r="AW127" s="5">
        <f>VLOOKUP(Y127,'[1]Coefficient Normal'!$A$3:$H$7,8,TRUE)</f>
        <v>-0.44140000000000001</v>
      </c>
      <c r="AY127" s="5">
        <f t="shared" si="78"/>
        <v>2.3065291097276841E-2</v>
      </c>
      <c r="BC127" s="5">
        <f>VLOOKUP(Y127,'[1]Coefficient Normal'!$A$10:$P$14,2,TRUE)</f>
        <v>5.1353999999999997</v>
      </c>
      <c r="BD127" s="5">
        <f>VLOOKUP(Y127,'[1]Coefficient Normal'!$A$10:$P$14,3,TRUE)</f>
        <v>-4.9599999999999998E-2</v>
      </c>
      <c r="BE127" s="5">
        <f>VLOOKUP(Y127,'[1]Coefficient Normal'!$A$10:$P$14,4,TRUE)</f>
        <v>0.44590000000000002</v>
      </c>
      <c r="BF127" s="5">
        <f>VLOOKUP(Y127,'[1]Coefficient Normal'!$A$10:$P$14,5,TRUE)</f>
        <v>-0.83709999999999996</v>
      </c>
      <c r="BG127" s="5">
        <f>VLOOKUP(Y127,'[1]Coefficient Normal'!$A$10:$P$14,6,TRUE)</f>
        <v>0.63090000000000002</v>
      </c>
      <c r="BH127" s="5">
        <f>VLOOKUP(Y127,'[1]Coefficient Normal'!$A$10:$P$14,7,TRUE)</f>
        <v>0.91390000000000005</v>
      </c>
      <c r="BI127" s="5">
        <f>VLOOKUP(Y127,'[1]Coefficient Normal'!$A$10:$P$14,8,TRUE)</f>
        <v>2.5000000000000001E-3</v>
      </c>
      <c r="BJ127" s="5">
        <f>VLOOKUP(Y127,'[1]Coefficient Normal'!$A$10:$P$14,9,TRUE)</f>
        <v>1.6000000000000001E-3</v>
      </c>
      <c r="BK127" s="5">
        <f>VLOOKUP(Y127,'[1]Coefficient Normal'!$A$10:$P$14,10,TRUE)</f>
        <v>-9.7500000000000003E-2</v>
      </c>
      <c r="BL127" s="5">
        <f>VLOOKUP(Y127,'[1]Coefficient Normal'!$A$10:$P$14,11,TRUE)</f>
        <v>1.1999999999999999E-3</v>
      </c>
      <c r="BM127" s="5">
        <f>VLOOKUP(Y127,'[1]Coefficient Normal'!$A$10:$P$14,12,TRUE)</f>
        <v>0.46479999999999999</v>
      </c>
      <c r="BN127" s="5">
        <f>VLOOKUP(Y127,'[1]Coefficient Normal'!$A$10:$P$14,13,TRUE)</f>
        <v>8.0000000000000004E-4</v>
      </c>
      <c r="BO127" s="5">
        <f>VLOOKUP(Y127,'[1]Coefficient Normal'!$A$10:$P$14,14,TRUE)</f>
        <v>6.7900000000000002E-2</v>
      </c>
      <c r="BP127" s="5">
        <f>VLOOKUP(Y127,'[1]Coefficient Normal'!$A$10:$P$14,15,TRUE)</f>
        <v>0.58979999999999999</v>
      </c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D127" s="6">
        <f t="shared" si="79"/>
        <v>1</v>
      </c>
      <c r="CE127" s="6">
        <f t="shared" si="80"/>
        <v>1</v>
      </c>
      <c r="CF127" s="6">
        <f t="shared" si="81"/>
        <v>0</v>
      </c>
      <c r="CG127" s="5">
        <f t="shared" si="82"/>
        <v>1.2696459576698729</v>
      </c>
      <c r="CI127">
        <f t="shared" si="83"/>
        <v>-1.3862943611198906</v>
      </c>
      <c r="CN127" s="5">
        <f t="shared" si="84"/>
        <v>-1.4093596522171674</v>
      </c>
      <c r="CO127" s="5">
        <f t="shared" si="85"/>
        <v>-1.7893877853405444</v>
      </c>
      <c r="CP127" s="5">
        <f t="shared" si="86"/>
        <v>-0.23403754401623666</v>
      </c>
      <c r="CQ127" s="5">
        <f t="shared" si="87"/>
        <v>2.1619093021456997</v>
      </c>
      <c r="CR127" s="5">
        <f t="shared" si="88"/>
        <v>-6.2784862451942356</v>
      </c>
      <c r="CS127" s="5">
        <f t="shared" si="89"/>
        <v>4.0796210557198086E-2</v>
      </c>
      <c r="CT127" s="5">
        <f t="shared" si="90"/>
        <v>-0.96380606184811912</v>
      </c>
      <c r="CU127" s="7">
        <f t="shared" si="105"/>
        <v>0.38143834176838154</v>
      </c>
      <c r="CV127">
        <f>VLOOKUP(Y127,'[1]Coefficient Normal'!$A$10:$P$14,16,TRUE)</f>
        <v>0.34749999999999998</v>
      </c>
      <c r="CW127">
        <v>0.3</v>
      </c>
    </row>
    <row r="128" spans="1:101" x14ac:dyDescent="0.25">
      <c r="A128">
        <v>77</v>
      </c>
      <c r="B128">
        <v>5</v>
      </c>
      <c r="D128" t="str">
        <f t="shared" si="72"/>
        <v>Normal</v>
      </c>
      <c r="F128" s="1">
        <v>0.28000000000000003</v>
      </c>
      <c r="K128">
        <v>0.60960000000000003</v>
      </c>
      <c r="L128">
        <f t="shared" si="91"/>
        <v>609.6</v>
      </c>
      <c r="M128">
        <v>9.5250000000000005E-3</v>
      </c>
      <c r="N128">
        <f t="shared" si="91"/>
        <v>9.5250000000000004</v>
      </c>
      <c r="O128" s="3">
        <f t="shared" si="92"/>
        <v>64</v>
      </c>
      <c r="P128" s="1">
        <v>30</v>
      </c>
      <c r="Q128" s="4" t="s">
        <v>75</v>
      </c>
      <c r="R128" s="1">
        <f t="shared" si="93"/>
        <v>14</v>
      </c>
      <c r="S128" s="1">
        <f t="shared" si="94"/>
        <v>15</v>
      </c>
      <c r="T128" s="1">
        <f t="shared" si="95"/>
        <v>483000</v>
      </c>
      <c r="U128" s="1">
        <f t="shared" si="96"/>
        <v>565000</v>
      </c>
      <c r="V128" s="1">
        <f t="shared" si="97"/>
        <v>2.8799444073326219</v>
      </c>
      <c r="W128" s="3">
        <f>100*IF(Q128='[1]Estimation Model Normal-Slip'!$J$8,'[1]Estimation Model Normal-Slip'!$O$8,IF(Q128='[1]Estimation Model Normal-Slip'!$J$9,'[1]Estimation Model Normal-Slip'!$O$9,IF(Q128='[1]Estimation Model Normal-Slip'!$J$10,'[1]Estimation Model Normal-Slip'!$O$10,IF(Q128='[1]Estimation Model Normal-Slip'!$J$11,'[1]Estimation Model Normal-Slip'!$O$11,IF(Q128='[1]Estimation Model Normal-Slip'!$J$12,'[1]Estimation Model Normal-Slip'!$O$12,IF(Q128='[1]Estimation Model Normal-Slip'!$J$13,'[1]Estimation Model Normal-Slip'!$O$13,2))))))</f>
        <v>2.7690517990613435</v>
      </c>
      <c r="X128" s="1">
        <f t="shared" si="98"/>
        <v>1.0577709909520427</v>
      </c>
      <c r="Y128" s="1">
        <v>45</v>
      </c>
      <c r="Z128" s="1" t="s">
        <v>78</v>
      </c>
      <c r="AA128" t="s">
        <v>79</v>
      </c>
      <c r="AB128">
        <f t="shared" si="99"/>
        <v>18</v>
      </c>
      <c r="AC128" s="1">
        <f t="shared" si="100"/>
        <v>37</v>
      </c>
      <c r="AD128">
        <f t="shared" si="101"/>
        <v>0</v>
      </c>
      <c r="AE128">
        <f t="shared" si="102"/>
        <v>0</v>
      </c>
      <c r="AF128">
        <v>0.9</v>
      </c>
      <c r="AG128" s="1">
        <v>1</v>
      </c>
      <c r="AH128" s="1">
        <f t="shared" si="73"/>
        <v>1.8</v>
      </c>
      <c r="AI128">
        <f t="shared" si="103"/>
        <v>22.643916192420797</v>
      </c>
      <c r="AJ128">
        <f>IF(AA128="medium dense",'[1]Coefficient Normal'!$E$18 + ('[1]Coefficient Normal'!$E$19*AH128) + ('[1]Coefficient Normal'!$E$20*(AH128^2)) + ('[1]Coefficient Normal'!$E$21*(AH128^3)) + ('[1]Coefficient Normal'!$E$22*(AH128^4)),IF(AA128="dense",'[1]Coefficient Normal'!$F$18 + ('[1]Coefficient Normal'!$F$19*AH128) + ('[1]Coefficient Normal'!$F$20*(AH128^2)) + ('[1]Coefficient Normal'!$F$21*(AH128^3)) + ('[1]Coefficient Normal'!$F$22*(AH128^4)),IF(AA128="very dense",'[1]Coefficient Normal'!$G$18 + ('[1]Coefficient Normal'!$G$19*AH128) + ('[1]Coefficient Normal'!$G$20*(AH128^2)) + ('[1]Coefficient Normal'!$G$21*(AH128^3)) + ('[1]Coefficient Normal'!$G$22*(AH128^4)),0)))</f>
        <v>12.698394373823998</v>
      </c>
      <c r="AK128">
        <f t="shared" si="74"/>
        <v>64.071522599936642</v>
      </c>
      <c r="AL128">
        <f t="shared" si="75"/>
        <v>353.62475395575746</v>
      </c>
      <c r="AM128">
        <f t="shared" si="104"/>
        <v>5.8682363338442034</v>
      </c>
      <c r="AN128">
        <f t="shared" si="76"/>
        <v>4.1588830833596715</v>
      </c>
      <c r="AO128">
        <f t="shared" si="77"/>
        <v>3.1198912150732698</v>
      </c>
      <c r="AQ128" s="5">
        <f>VLOOKUP(Y128,'[1]Coefficient Normal'!$A$3:$H$7,2,TRUE)</f>
        <v>3.7532999999999999</v>
      </c>
      <c r="AR128" s="5">
        <f>VLOOKUP(Y128,'[1]Coefficient Normal'!$A$3:$H$7,3,TRUE)</f>
        <v>0.14510000000000001</v>
      </c>
      <c r="AS128" s="5">
        <f>VLOOKUP(Y128,'[1]Coefficient Normal'!$A$3:$H$7,4,TRUE)</f>
        <v>1.2497</v>
      </c>
      <c r="AT128" s="5">
        <f>VLOOKUP(Y128,'[1]Coefficient Normal'!$A$3:$H$7,5,TRUE)</f>
        <v>-0.46100000000000002</v>
      </c>
      <c r="AU128" s="5">
        <f>VLOOKUP(Y128,'[1]Coefficient Normal'!$A$3:$H$7,6,TRUE)</f>
        <v>0.39140000000000003</v>
      </c>
      <c r="AV128" s="5">
        <f>VLOOKUP(Y128,'[1]Coefficient Normal'!$A$3:$H$7,7,TRUE)</f>
        <v>-0.21310000000000001</v>
      </c>
      <c r="AW128" s="5">
        <f>VLOOKUP(Y128,'[1]Coefficient Normal'!$A$3:$H$7,8,TRUE)</f>
        <v>-0.34139999999999998</v>
      </c>
      <c r="AY128" s="5">
        <f t="shared" si="78"/>
        <v>-0.19061367663895701</v>
      </c>
      <c r="BC128" s="5">
        <f>VLOOKUP(Y128,'[1]Coefficient Normal'!$A$10:$P$14,2,TRUE)</f>
        <v>-1.1082000000000001</v>
      </c>
      <c r="BD128" s="5">
        <f>VLOOKUP(Y128,'[1]Coefficient Normal'!$A$10:$P$14,3,TRUE)</f>
        <v>0.10630000000000001</v>
      </c>
      <c r="BE128" s="5">
        <f>VLOOKUP(Y128,'[1]Coefficient Normal'!$A$10:$P$14,4,TRUE)</f>
        <v>-0.1439</v>
      </c>
      <c r="BF128" s="5">
        <f>VLOOKUP(Y128,'[1]Coefficient Normal'!$A$10:$P$14,5,TRUE)</f>
        <v>0.27879999999999999</v>
      </c>
      <c r="BG128" s="5">
        <f>VLOOKUP(Y128,'[1]Coefficient Normal'!$A$10:$P$14,6,TRUE)</f>
        <v>-0.31030000000000002</v>
      </c>
      <c r="BH128" s="5">
        <f>VLOOKUP(Y128,'[1]Coefficient Normal'!$A$10:$P$14,7,TRUE)</f>
        <v>1.2553000000000001</v>
      </c>
      <c r="BI128" s="5">
        <f>VLOOKUP(Y128,'[1]Coefficient Normal'!$A$10:$P$14,8,TRUE)</f>
        <v>2.9999999999999997E-4</v>
      </c>
      <c r="BJ128" s="5">
        <f>VLOOKUP(Y128,'[1]Coefficient Normal'!$A$10:$P$14,9,TRUE)</f>
        <v>5.1999999999999998E-3</v>
      </c>
      <c r="BK128" s="5">
        <f>VLOOKUP(Y128,'[1]Coefficient Normal'!$A$10:$P$14,10,TRUE)</f>
        <v>-8.5900000000000004E-2</v>
      </c>
      <c r="BL128" s="5">
        <f>VLOOKUP(Y128,'[1]Coefficient Normal'!$A$10:$P$14,11,TRUE)</f>
        <v>5.9999999999999995E-4</v>
      </c>
      <c r="BM128" s="5">
        <f>VLOOKUP(Y128,'[1]Coefficient Normal'!$A$10:$P$14,12,TRUE)</f>
        <v>-0.21759999999999999</v>
      </c>
      <c r="BN128" s="5">
        <f>VLOOKUP(Y128,'[1]Coefficient Normal'!$A$10:$P$14,13,TRUE)</f>
        <v>-2.69E-2</v>
      </c>
      <c r="BO128" s="5">
        <f>VLOOKUP(Y128,'[1]Coefficient Normal'!$A$10:$P$14,14,TRUE)</f>
        <v>0.57389999999999997</v>
      </c>
      <c r="BP128" s="5">
        <f>VLOOKUP(Y128,'[1]Coefficient Normal'!$A$10:$P$14,15,TRUE)</f>
        <v>0.34460000000000002</v>
      </c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D128" s="6">
        <f t="shared" si="79"/>
        <v>1</v>
      </c>
      <c r="CE128" s="6">
        <f t="shared" si="80"/>
        <v>1</v>
      </c>
      <c r="CF128" s="6">
        <f t="shared" si="81"/>
        <v>1</v>
      </c>
      <c r="CG128" s="5">
        <f t="shared" si="82"/>
        <v>0.93649317485772643</v>
      </c>
      <c r="CI128">
        <f t="shared" si="83"/>
        <v>-1.2729656758128873</v>
      </c>
      <c r="CN128" s="5">
        <f t="shared" si="84"/>
        <v>-1.0823519991739303</v>
      </c>
      <c r="CO128" s="5">
        <f t="shared" si="85"/>
        <v>-1.0136152600200012</v>
      </c>
      <c r="CP128" s="5">
        <f t="shared" si="86"/>
        <v>0.44208927176113311</v>
      </c>
      <c r="CQ128" s="5">
        <f t="shared" si="87"/>
        <v>-0.44895234584904353</v>
      </c>
      <c r="CR128" s="5">
        <f t="shared" si="88"/>
        <v>1.6360642898757638</v>
      </c>
      <c r="CS128" s="5">
        <f t="shared" si="89"/>
        <v>0.15358369081139006</v>
      </c>
      <c r="CT128" s="5">
        <f t="shared" si="90"/>
        <v>-0.33903035342075799</v>
      </c>
      <c r="CU128" s="7">
        <f t="shared" si="105"/>
        <v>0.71246082313784431</v>
      </c>
      <c r="CV128">
        <f>VLOOKUP(Y128,'[1]Coefficient Normal'!$A$10:$P$14,16,TRUE)</f>
        <v>0.3997</v>
      </c>
      <c r="CW128">
        <v>0.3</v>
      </c>
    </row>
    <row r="129" spans="1:101" x14ac:dyDescent="0.25">
      <c r="A129">
        <v>78</v>
      </c>
      <c r="B129">
        <v>6</v>
      </c>
      <c r="D129" t="str">
        <f t="shared" si="72"/>
        <v>Normal</v>
      </c>
      <c r="F129" s="1">
        <v>0.18</v>
      </c>
      <c r="K129">
        <v>0.40960000000000002</v>
      </c>
      <c r="L129">
        <f t="shared" si="91"/>
        <v>409.6</v>
      </c>
      <c r="M129">
        <v>9.5250000000000005E-3</v>
      </c>
      <c r="N129">
        <f t="shared" si="91"/>
        <v>9.5250000000000004</v>
      </c>
      <c r="O129" s="3">
        <f t="shared" si="92"/>
        <v>43.00262467191601</v>
      </c>
      <c r="P129" s="1">
        <v>50</v>
      </c>
      <c r="Q129" s="4" t="s">
        <v>77</v>
      </c>
      <c r="R129" s="1">
        <f t="shared" si="93"/>
        <v>15</v>
      </c>
      <c r="S129" s="1">
        <f t="shared" si="94"/>
        <v>20</v>
      </c>
      <c r="T129" s="1">
        <f t="shared" si="95"/>
        <v>552000</v>
      </c>
      <c r="U129" s="1">
        <f t="shared" si="96"/>
        <v>625000</v>
      </c>
      <c r="V129" s="1">
        <f t="shared" si="97"/>
        <v>2.9888368774026359</v>
      </c>
      <c r="W129" s="3">
        <f>100*IF(Q129='[1]Estimation Model Normal-Slip'!$J$8,'[1]Estimation Model Normal-Slip'!$O$8,IF(Q129='[1]Estimation Model Normal-Slip'!$J$9,'[1]Estimation Model Normal-Slip'!$O$9,IF(Q129='[1]Estimation Model Normal-Slip'!$J$10,'[1]Estimation Model Normal-Slip'!$O$10,IF(Q129='[1]Estimation Model Normal-Slip'!$J$11,'[1]Estimation Model Normal-Slip'!$O$11,IF(Q129='[1]Estimation Model Normal-Slip'!$J$12,'[1]Estimation Model Normal-Slip'!$O$12,IF(Q129='[1]Estimation Model Normal-Slip'!$J$13,'[1]Estimation Model Normal-Slip'!$O$13,2))))))</f>
        <v>2.8464933991254466</v>
      </c>
      <c r="X129" s="1">
        <f t="shared" si="98"/>
        <v>1.0948843075076633</v>
      </c>
      <c r="Y129" s="1">
        <v>60</v>
      </c>
      <c r="Z129" s="1" t="s">
        <v>78</v>
      </c>
      <c r="AA129" t="s">
        <v>80</v>
      </c>
      <c r="AB129">
        <f t="shared" si="99"/>
        <v>18.5</v>
      </c>
      <c r="AC129" s="1">
        <f t="shared" si="100"/>
        <v>40</v>
      </c>
      <c r="AD129">
        <f t="shared" si="101"/>
        <v>0</v>
      </c>
      <c r="AE129">
        <f t="shared" si="102"/>
        <v>0</v>
      </c>
      <c r="AF129">
        <v>0.9</v>
      </c>
      <c r="AG129" s="1">
        <v>1.2</v>
      </c>
      <c r="AH129" s="1">
        <f t="shared" si="73"/>
        <v>2.9296874999999996</v>
      </c>
      <c r="AI129">
        <f t="shared" si="103"/>
        <v>20.755052478770708</v>
      </c>
      <c r="AJ129">
        <f>IF(AA129="medium dense",'[1]Coefficient Normal'!$E$18 + ('[1]Coefficient Normal'!$E$19*AH129) + ('[1]Coefficient Normal'!$E$20*(AH129^2)) + ('[1]Coefficient Normal'!$E$21*(AH129^3)) + ('[1]Coefficient Normal'!$E$22*(AH129^4)),IF(AA129="dense",'[1]Coefficient Normal'!$F$18 + ('[1]Coefficient Normal'!$F$19*AH129) + ('[1]Coefficient Normal'!$F$20*(AH129^2)) + ('[1]Coefficient Normal'!$F$21*(AH129^3)) + ('[1]Coefficient Normal'!$F$22*(AH129^4)),IF(AA129="very dense",'[1]Coefficient Normal'!$G$18 + ('[1]Coefficient Normal'!$G$19*AH129) + ('[1]Coefficient Normal'!$G$20*(AH129^2)) + ('[1]Coefficient Normal'!$G$21*(AH129^3)) + ('[1]Coefficient Normal'!$G$22*(AH129^4)),0)))</f>
        <v>16.165411783848704</v>
      </c>
      <c r="AK129">
        <f t="shared" si="74"/>
        <v>80</v>
      </c>
      <c r="AL129">
        <f t="shared" si="75"/>
        <v>271.14542759995038</v>
      </c>
      <c r="AM129">
        <f t="shared" si="104"/>
        <v>5.6026553101537404</v>
      </c>
      <c r="AN129">
        <f t="shared" si="76"/>
        <v>3.7612611527125335</v>
      </c>
      <c r="AO129">
        <f t="shared" si="77"/>
        <v>3.0327897099899146</v>
      </c>
      <c r="AQ129" s="5">
        <f>VLOOKUP(Y129,'[1]Coefficient Normal'!$A$3:$H$7,2,TRUE)</f>
        <v>4.3182999999999998</v>
      </c>
      <c r="AR129" s="5">
        <f>VLOOKUP(Y129,'[1]Coefficient Normal'!$A$3:$H$7,3,TRUE)</f>
        <v>-2.7900000000000001E-2</v>
      </c>
      <c r="AS129" s="5">
        <f>VLOOKUP(Y129,'[1]Coefficient Normal'!$A$3:$H$7,4,TRUE)</f>
        <v>1.0497000000000001</v>
      </c>
      <c r="AT129" s="5">
        <f>VLOOKUP(Y129,'[1]Coefficient Normal'!$A$3:$H$7,5,TRUE)</f>
        <v>-0.46910000000000002</v>
      </c>
      <c r="AU129" s="5">
        <f>VLOOKUP(Y129,'[1]Coefficient Normal'!$A$3:$H$7,6,TRUE)</f>
        <v>0.29149999999999998</v>
      </c>
      <c r="AV129" s="5">
        <f>VLOOKUP(Y129,'[1]Coefficient Normal'!$A$3:$H$7,7,TRUE)</f>
        <v>-0.28610000000000002</v>
      </c>
      <c r="AW129" s="5">
        <f>VLOOKUP(Y129,'[1]Coefficient Normal'!$A$3:$H$7,8,TRUE)</f>
        <v>-0.1348</v>
      </c>
      <c r="AY129" s="5">
        <f t="shared" si="78"/>
        <v>-0.18476915335014066</v>
      </c>
      <c r="BC129" s="5">
        <f>VLOOKUP(Y129,'[1]Coefficient Normal'!$A$10:$P$14,2,TRUE)</f>
        <v>-2.1276999999999999</v>
      </c>
      <c r="BD129" s="5">
        <f>VLOOKUP(Y129,'[1]Coefficient Normal'!$A$10:$P$14,3,TRUE)</f>
        <v>0.14760000000000001</v>
      </c>
      <c r="BE129" s="5">
        <f>VLOOKUP(Y129,'[1]Coefficient Normal'!$A$10:$P$14,4,TRUE)</f>
        <v>-0.21829999999999999</v>
      </c>
      <c r="BF129" s="5">
        <f>VLOOKUP(Y129,'[1]Coefficient Normal'!$A$10:$P$14,5,TRUE)</f>
        <v>0.42270000000000002</v>
      </c>
      <c r="BG129" s="5">
        <f>VLOOKUP(Y129,'[1]Coefficient Normal'!$A$10:$P$14,6,TRUE)</f>
        <v>-0.53720000000000001</v>
      </c>
      <c r="BH129" s="5">
        <f>VLOOKUP(Y129,'[1]Coefficient Normal'!$A$10:$P$14,7,TRUE)</f>
        <v>1.252</v>
      </c>
      <c r="BI129" s="5">
        <f>VLOOKUP(Y129,'[1]Coefficient Normal'!$A$10:$P$14,8,TRUE)</f>
        <v>-5.9999999999999995E-4</v>
      </c>
      <c r="BJ129" s="5">
        <f>VLOOKUP(Y129,'[1]Coefficient Normal'!$A$10:$P$14,9,TRUE)</f>
        <v>5.3E-3</v>
      </c>
      <c r="BK129" s="5">
        <f>VLOOKUP(Y129,'[1]Coefficient Normal'!$A$10:$P$14,10,TRUE)</f>
        <v>-4.8500000000000001E-2</v>
      </c>
      <c r="BL129" s="5">
        <f>VLOOKUP(Y129,'[1]Coefficient Normal'!$A$10:$P$14,11,TRUE)</f>
        <v>1.2999999999999999E-3</v>
      </c>
      <c r="BM129" s="5">
        <f>VLOOKUP(Y129,'[1]Coefficient Normal'!$A$10:$P$14,12,TRUE)</f>
        <v>-0.56599999999999995</v>
      </c>
      <c r="BN129" s="5">
        <f>VLOOKUP(Y129,'[1]Coefficient Normal'!$A$10:$P$14,13,TRUE)</f>
        <v>-3.2099999999999997E-2</v>
      </c>
      <c r="BO129" s="5">
        <f>VLOOKUP(Y129,'[1]Coefficient Normal'!$A$10:$P$14,14,TRUE)</f>
        <v>0.84970000000000001</v>
      </c>
      <c r="BP129" s="5">
        <f>VLOOKUP(Y129,'[1]Coefficient Normal'!$A$10:$P$14,15,TRUE)</f>
        <v>9.01E-2</v>
      </c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D129" s="6">
        <f t="shared" si="79"/>
        <v>1</v>
      </c>
      <c r="CE129" s="6">
        <f t="shared" si="80"/>
        <v>1</v>
      </c>
      <c r="CF129" s="6">
        <f t="shared" si="81"/>
        <v>1</v>
      </c>
      <c r="CG129" s="5">
        <f t="shared" si="82"/>
        <v>1.0304503805862284</v>
      </c>
      <c r="CI129">
        <f t="shared" si="83"/>
        <v>-1.7147984280919266</v>
      </c>
      <c r="CN129" s="5">
        <f t="shared" si="84"/>
        <v>-1.5300292747417861</v>
      </c>
      <c r="CO129" s="5">
        <f t="shared" si="85"/>
        <v>-1.5766192484657444</v>
      </c>
      <c r="CP129" s="5">
        <f t="shared" si="86"/>
        <v>0.55516214614036996</v>
      </c>
      <c r="CQ129" s="5">
        <f t="shared" si="87"/>
        <v>-0.66205799369079832</v>
      </c>
      <c r="CR129" s="5">
        <f t="shared" si="88"/>
        <v>2.3682423996019861</v>
      </c>
      <c r="CS129" s="5">
        <f t="shared" si="89"/>
        <v>0.47949086306397387</v>
      </c>
      <c r="CT129" s="5">
        <f t="shared" si="90"/>
        <v>-0.96348183335021309</v>
      </c>
      <c r="CU129" s="7">
        <f t="shared" si="105"/>
        <v>0.3815620350003287</v>
      </c>
      <c r="CV129">
        <f>VLOOKUP(Y129,'[1]Coefficient Normal'!$A$10:$P$14,16,TRUE)</f>
        <v>0.50170000000000003</v>
      </c>
      <c r="CW129">
        <v>0.3</v>
      </c>
    </row>
    <row r="130" spans="1:101" x14ac:dyDescent="0.25">
      <c r="A130">
        <v>79</v>
      </c>
      <c r="B130">
        <v>7</v>
      </c>
      <c r="D130" t="str">
        <f t="shared" si="72"/>
        <v>Normal</v>
      </c>
      <c r="F130" s="1">
        <v>0.4</v>
      </c>
      <c r="K130">
        <v>0.89600000000000002</v>
      </c>
      <c r="L130">
        <f t="shared" si="91"/>
        <v>896</v>
      </c>
      <c r="M130">
        <v>9.5250000000000005E-3</v>
      </c>
      <c r="N130">
        <f t="shared" si="91"/>
        <v>9.5250000000000004</v>
      </c>
      <c r="O130" s="3">
        <f t="shared" si="92"/>
        <v>94.068241469816272</v>
      </c>
      <c r="P130" s="1">
        <v>100</v>
      </c>
      <c r="Q130" s="4" t="s">
        <v>70</v>
      </c>
      <c r="R130" s="1">
        <f t="shared" si="93"/>
        <v>8</v>
      </c>
      <c r="S130" s="1">
        <f t="shared" si="94"/>
        <v>10</v>
      </c>
      <c r="T130" s="1">
        <f t="shared" si="95"/>
        <v>359000</v>
      </c>
      <c r="U130" s="1">
        <f t="shared" si="96"/>
        <v>455000</v>
      </c>
      <c r="V130" s="1">
        <f t="shared" si="97"/>
        <v>1.9969902892117808</v>
      </c>
      <c r="W130" s="3">
        <f>100*IF(Q130='[1]Estimation Model Normal-Slip'!$J$8,'[1]Estimation Model Normal-Slip'!$O$8,IF(Q130='[1]Estimation Model Normal-Slip'!$J$9,'[1]Estimation Model Normal-Slip'!$O$9,IF(Q130='[1]Estimation Model Normal-Slip'!$J$10,'[1]Estimation Model Normal-Slip'!$O$10,IF(Q130='[1]Estimation Model Normal-Slip'!$J$11,'[1]Estimation Model Normal-Slip'!$O$11,IF(Q130='[1]Estimation Model Normal-Slip'!$J$12,'[1]Estimation Model Normal-Slip'!$O$12,IF(Q130='[1]Estimation Model Normal-Slip'!$J$13,'[1]Estimation Model Normal-Slip'!$O$13,2))))))</f>
        <v>1.9041242414694344</v>
      </c>
      <c r="X130" s="1">
        <f t="shared" si="98"/>
        <v>0.69164119173371341</v>
      </c>
      <c r="Y130" s="1">
        <v>75</v>
      </c>
      <c r="Z130" s="1" t="s">
        <v>78</v>
      </c>
      <c r="AA130" t="s">
        <v>81</v>
      </c>
      <c r="AB130">
        <f t="shared" si="99"/>
        <v>19</v>
      </c>
      <c r="AC130" s="1">
        <f t="shared" si="100"/>
        <v>43</v>
      </c>
      <c r="AD130">
        <f t="shared" si="101"/>
        <v>0</v>
      </c>
      <c r="AE130">
        <f t="shared" si="102"/>
        <v>0</v>
      </c>
      <c r="AF130">
        <v>0.9</v>
      </c>
      <c r="AG130" s="1">
        <v>0.8</v>
      </c>
      <c r="AH130" s="1">
        <f t="shared" si="73"/>
        <v>1.8</v>
      </c>
      <c r="AI130">
        <f t="shared" si="103"/>
        <v>34.278032614587922</v>
      </c>
      <c r="AJ130">
        <f>IF(AA130="medium dense",'[1]Coefficient Normal'!$E$18 + ('[1]Coefficient Normal'!$E$19*AH130) + ('[1]Coefficient Normal'!$E$20*(AH130^2)) + ('[1]Coefficient Normal'!$E$21*(AH130^3)) + ('[1]Coefficient Normal'!$E$22*(AH130^4)),IF(AA130="dense",'[1]Coefficient Normal'!$F$18 + ('[1]Coefficient Normal'!$F$19*AH130) + ('[1]Coefficient Normal'!$F$20*(AH130^2)) + ('[1]Coefficient Normal'!$F$21*(AH130^3)) + ('[1]Coefficient Normal'!$F$22*(AH130^4)),IF(AA130="very dense",'[1]Coefficient Normal'!$G$18 + ('[1]Coefficient Normal'!$G$19*AH130) + ('[1]Coefficient Normal'!$G$20*(AH130^2)) + ('[1]Coefficient Normal'!$G$21*(AH130^3)) + ('[1]Coefficient Normal'!$G$22*(AH130^4)),0)))</f>
        <v>18.784824717152006</v>
      </c>
      <c r="AK130">
        <f t="shared" si="74"/>
        <v>80</v>
      </c>
      <c r="AL130">
        <f t="shared" si="75"/>
        <v>865.97444478783666</v>
      </c>
      <c r="AM130">
        <f t="shared" si="104"/>
        <v>6.7638553986441545</v>
      </c>
      <c r="AN130">
        <f t="shared" si="76"/>
        <v>4.5440204919621658</v>
      </c>
      <c r="AO130">
        <f t="shared" si="77"/>
        <v>3.5345047004428238</v>
      </c>
      <c r="AQ130" s="5">
        <f>VLOOKUP(Y130,'[1]Coefficient Normal'!$A$3:$H$7,2,TRUE)</f>
        <v>5.5951000000000004</v>
      </c>
      <c r="AR130" s="5">
        <f>VLOOKUP(Y130,'[1]Coefficient Normal'!$A$3:$H$7,3,TRUE)</f>
        <v>1.6E-2</v>
      </c>
      <c r="AS130" s="5">
        <f>VLOOKUP(Y130,'[1]Coefficient Normal'!$A$3:$H$7,4,TRUE)</f>
        <v>1.2641</v>
      </c>
      <c r="AT130" s="5">
        <f>VLOOKUP(Y130,'[1]Coefficient Normal'!$A$3:$H$7,5,TRUE)</f>
        <v>-0.52429999999999999</v>
      </c>
      <c r="AU130" s="5">
        <f>VLOOKUP(Y130,'[1]Coefficient Normal'!$A$3:$H$7,6,TRUE)</f>
        <v>0.35830000000000001</v>
      </c>
      <c r="AV130" s="5">
        <f>VLOOKUP(Y130,'[1]Coefficient Normal'!$A$3:$H$7,7,TRUE)</f>
        <v>-0.35920000000000002</v>
      </c>
      <c r="AW130" s="5">
        <f>VLOOKUP(Y130,'[1]Coefficient Normal'!$A$3:$H$7,8,TRUE)</f>
        <v>-0.2482</v>
      </c>
      <c r="AY130" s="5">
        <f t="shared" si="78"/>
        <v>8.8509920075637738E-2</v>
      </c>
      <c r="BC130" s="5">
        <f>VLOOKUP(Y130,'[1]Coefficient Normal'!$A$10:$P$14,2,TRUE)</f>
        <v>-2.3450000000000002</v>
      </c>
      <c r="BD130" s="5">
        <f>VLOOKUP(Y130,'[1]Coefficient Normal'!$A$10:$P$14,3,TRUE)</f>
        <v>0.19470000000000001</v>
      </c>
      <c r="BE130" s="5">
        <f>VLOOKUP(Y130,'[1]Coefficient Normal'!$A$10:$P$14,4,TRUE)</f>
        <v>-0.2044</v>
      </c>
      <c r="BF130" s="5">
        <f>VLOOKUP(Y130,'[1]Coefficient Normal'!$A$10:$P$14,5,TRUE)</f>
        <v>0.4143</v>
      </c>
      <c r="BG130" s="5">
        <f>VLOOKUP(Y130,'[1]Coefficient Normal'!$A$10:$P$14,6,TRUE)</f>
        <v>-0.55710000000000004</v>
      </c>
      <c r="BH130" s="5">
        <f>VLOOKUP(Y130,'[1]Coefficient Normal'!$A$10:$P$14,7,TRUE)</f>
        <v>1.0931</v>
      </c>
      <c r="BI130" s="5">
        <f>VLOOKUP(Y130,'[1]Coefficient Normal'!$A$10:$P$14,8,TRUE)</f>
        <v>1E-4</v>
      </c>
      <c r="BJ130" s="5">
        <f>VLOOKUP(Y130,'[1]Coefficient Normal'!$A$10:$P$14,9,TRUE)</f>
        <v>3.5000000000000001E-3</v>
      </c>
      <c r="BK130" s="5">
        <f>VLOOKUP(Y130,'[1]Coefficient Normal'!$A$10:$P$14,10,TRUE)</f>
        <v>-4.07E-2</v>
      </c>
      <c r="BL130" s="5">
        <f>VLOOKUP(Y130,'[1]Coefficient Normal'!$A$10:$P$14,11,TRUE)</f>
        <v>1.6000000000000001E-3</v>
      </c>
      <c r="BM130" s="5">
        <f>VLOOKUP(Y130,'[1]Coefficient Normal'!$A$10:$P$14,12,TRUE)</f>
        <v>-0.65949999999999998</v>
      </c>
      <c r="BN130" s="5">
        <f>VLOOKUP(Y130,'[1]Coefficient Normal'!$A$10:$P$14,13,TRUE)</f>
        <v>-3.0099999999999998E-2</v>
      </c>
      <c r="BO130" s="5">
        <f>VLOOKUP(Y130,'[1]Coefficient Normal'!$A$10:$P$14,14,TRUE)</f>
        <v>0.84219999999999995</v>
      </c>
      <c r="BP130" s="5">
        <f>VLOOKUP(Y130,'[1]Coefficient Normal'!$A$10:$P$14,15,TRUE)</f>
        <v>0.50680000000000003</v>
      </c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D130" s="6">
        <f t="shared" si="79"/>
        <v>1</v>
      </c>
      <c r="CE130" s="6">
        <f t="shared" si="80"/>
        <v>1</v>
      </c>
      <c r="CF130" s="6">
        <f t="shared" si="81"/>
        <v>0</v>
      </c>
      <c r="CG130" s="5">
        <f t="shared" si="82"/>
        <v>1.2063369896131648</v>
      </c>
      <c r="CI130">
        <f t="shared" si="83"/>
        <v>-0.916290731874155</v>
      </c>
      <c r="CN130" s="5">
        <f t="shared" si="84"/>
        <v>-1.0048006519497927</v>
      </c>
      <c r="CO130" s="5">
        <f t="shared" si="85"/>
        <v>-1.2121281936344583</v>
      </c>
      <c r="CP130" s="5">
        <f t="shared" si="86"/>
        <v>0.88472078978503377</v>
      </c>
      <c r="CQ130" s="5">
        <f t="shared" si="87"/>
        <v>-0.72245276077051324</v>
      </c>
      <c r="CR130" s="5">
        <f t="shared" si="88"/>
        <v>2.8022652916582733</v>
      </c>
      <c r="CS130" s="5">
        <f t="shared" si="89"/>
        <v>6.1177861852614784E-2</v>
      </c>
      <c r="CT130" s="5">
        <f t="shared" si="90"/>
        <v>-0.53141701110905004</v>
      </c>
      <c r="CU130" s="7">
        <f t="shared" si="105"/>
        <v>0.58777150055444438</v>
      </c>
      <c r="CV130">
        <f>VLOOKUP(Y130,'[1]Coefficient Normal'!$A$10:$P$14,16,TRUE)</f>
        <v>0.43780000000000002</v>
      </c>
      <c r="CW130">
        <v>0.3</v>
      </c>
    </row>
    <row r="131" spans="1:101" x14ac:dyDescent="0.25">
      <c r="A131">
        <v>80</v>
      </c>
      <c r="B131">
        <v>8</v>
      </c>
      <c r="D131" t="str">
        <f t="shared" si="72"/>
        <v>Normal</v>
      </c>
      <c r="F131" s="1">
        <v>1.2</v>
      </c>
      <c r="K131">
        <v>0.5</v>
      </c>
      <c r="L131">
        <f t="shared" si="91"/>
        <v>500</v>
      </c>
      <c r="M131">
        <v>9.5250000000000005E-3</v>
      </c>
      <c r="N131">
        <f t="shared" si="91"/>
        <v>9.5250000000000004</v>
      </c>
      <c r="O131" s="3">
        <f t="shared" si="92"/>
        <v>52.493438320209975</v>
      </c>
      <c r="P131" s="1">
        <v>300</v>
      </c>
      <c r="Q131" s="4" t="s">
        <v>70</v>
      </c>
      <c r="R131" s="1">
        <f t="shared" si="93"/>
        <v>8</v>
      </c>
      <c r="S131" s="1">
        <f t="shared" si="94"/>
        <v>10</v>
      </c>
      <c r="T131" s="1">
        <f t="shared" si="95"/>
        <v>359000</v>
      </c>
      <c r="U131" s="1">
        <f t="shared" si="96"/>
        <v>455000</v>
      </c>
      <c r="V131" s="1">
        <f t="shared" si="97"/>
        <v>1.9969902892117808</v>
      </c>
      <c r="W131" s="3">
        <f>100*IF(Q131='[1]Estimation Model Normal-Slip'!$J$8,'[1]Estimation Model Normal-Slip'!$O$8,IF(Q131='[1]Estimation Model Normal-Slip'!$J$9,'[1]Estimation Model Normal-Slip'!$O$9,IF(Q131='[1]Estimation Model Normal-Slip'!$J$10,'[1]Estimation Model Normal-Slip'!$O$10,IF(Q131='[1]Estimation Model Normal-Slip'!$J$11,'[1]Estimation Model Normal-Slip'!$O$11,IF(Q131='[1]Estimation Model Normal-Slip'!$J$12,'[1]Estimation Model Normal-Slip'!$O$12,IF(Q131='[1]Estimation Model Normal-Slip'!$J$13,'[1]Estimation Model Normal-Slip'!$O$13,2))))))</f>
        <v>1.9041242414694344</v>
      </c>
      <c r="X131" s="1">
        <f t="shared" si="98"/>
        <v>0.69164119173371341</v>
      </c>
      <c r="Y131" s="1">
        <v>90</v>
      </c>
      <c r="Z131" s="1" t="s">
        <v>78</v>
      </c>
      <c r="AA131" t="s">
        <v>79</v>
      </c>
      <c r="AB131">
        <f t="shared" si="99"/>
        <v>18</v>
      </c>
      <c r="AC131" s="1">
        <f t="shared" si="100"/>
        <v>37</v>
      </c>
      <c r="AD131">
        <f t="shared" si="101"/>
        <v>0</v>
      </c>
      <c r="AE131">
        <f t="shared" si="102"/>
        <v>0</v>
      </c>
      <c r="AF131">
        <v>0.9</v>
      </c>
      <c r="AG131" s="1">
        <v>2</v>
      </c>
      <c r="AH131" s="1">
        <f t="shared" si="73"/>
        <v>4</v>
      </c>
      <c r="AI131">
        <f t="shared" si="103"/>
        <v>37.145531811713909</v>
      </c>
      <c r="AJ131">
        <f>IF(AA131="medium dense",'[1]Coefficient Normal'!$E$18 + ('[1]Coefficient Normal'!$E$19*AH131) + ('[1]Coefficient Normal'!$E$20*(AH131^2)) + ('[1]Coefficient Normal'!$E$21*(AH131^3)) + ('[1]Coefficient Normal'!$E$22*(AH131^4)),IF(AA131="dense",'[1]Coefficient Normal'!$F$18 + ('[1]Coefficient Normal'!$F$19*AH131) + ('[1]Coefficient Normal'!$F$20*(AH131^2)) + ('[1]Coefficient Normal'!$F$21*(AH131^3)) + ('[1]Coefficient Normal'!$F$22*(AH131^4)),IF(AA131="very dense",'[1]Coefficient Normal'!$G$18 + ('[1]Coefficient Normal'!$G$19*AH131) + ('[1]Coefficient Normal'!$G$20*(AH131^2)) + ('[1]Coefficient Normal'!$G$21*(AH131^3)) + ('[1]Coefficient Normal'!$G$22*(AH131^4)),0)))</f>
        <v>14.286272930000003</v>
      </c>
      <c r="AK131">
        <f t="shared" si="74"/>
        <v>64.071522599936642</v>
      </c>
      <c r="AL131">
        <f t="shared" si="75"/>
        <v>401.31383858985748</v>
      </c>
      <c r="AM131">
        <f t="shared" si="104"/>
        <v>5.9947437610786407</v>
      </c>
      <c r="AN131">
        <f t="shared" si="76"/>
        <v>3.9606881774094269</v>
      </c>
      <c r="AO131">
        <f t="shared" si="77"/>
        <v>3.6148434896829706</v>
      </c>
      <c r="AQ131" s="5">
        <f>VLOOKUP(Y131,'[1]Coefficient Normal'!$A$3:$H$7,2,TRUE)</f>
        <v>14.575100000000001</v>
      </c>
      <c r="AR131" s="5">
        <f>VLOOKUP(Y131,'[1]Coefficient Normal'!$A$3:$H$7,3,TRUE)</f>
        <v>0.1356</v>
      </c>
      <c r="AS131" s="5">
        <f>VLOOKUP(Y131,'[1]Coefficient Normal'!$A$3:$H$7,4,TRUE)</f>
        <v>2.9990000000000001</v>
      </c>
      <c r="AT131" s="5">
        <f>VLOOKUP(Y131,'[1]Coefficient Normal'!$A$3:$H$7,5,TRUE)</f>
        <v>-0.94710000000000005</v>
      </c>
      <c r="AU131" s="5">
        <f>VLOOKUP(Y131,'[1]Coefficient Normal'!$A$3:$H$7,6,TRUE)</f>
        <v>0.6603</v>
      </c>
      <c r="AV131" s="5">
        <f>VLOOKUP(Y131,'[1]Coefficient Normal'!$A$3:$H$7,7,TRUE)</f>
        <v>-1.2488999999999999</v>
      </c>
      <c r="AW131" s="5">
        <f>VLOOKUP(Y131,'[1]Coefficient Normal'!$A$3:$H$7,8,TRUE)</f>
        <v>-0.44140000000000001</v>
      </c>
      <c r="AY131" s="5">
        <f t="shared" si="78"/>
        <v>0.89288001558423113</v>
      </c>
      <c r="BC131" s="5">
        <f>VLOOKUP(Y131,'[1]Coefficient Normal'!$A$10:$P$14,2,TRUE)</f>
        <v>5.1353999999999997</v>
      </c>
      <c r="BD131" s="5">
        <f>VLOOKUP(Y131,'[1]Coefficient Normal'!$A$10:$P$14,3,TRUE)</f>
        <v>-4.9599999999999998E-2</v>
      </c>
      <c r="BE131" s="5">
        <f>VLOOKUP(Y131,'[1]Coefficient Normal'!$A$10:$P$14,4,TRUE)</f>
        <v>0.44590000000000002</v>
      </c>
      <c r="BF131" s="5">
        <f>VLOOKUP(Y131,'[1]Coefficient Normal'!$A$10:$P$14,5,TRUE)</f>
        <v>-0.83709999999999996</v>
      </c>
      <c r="BG131" s="5">
        <f>VLOOKUP(Y131,'[1]Coefficient Normal'!$A$10:$P$14,6,TRUE)</f>
        <v>0.63090000000000002</v>
      </c>
      <c r="BH131" s="5">
        <f>VLOOKUP(Y131,'[1]Coefficient Normal'!$A$10:$P$14,7,TRUE)</f>
        <v>0.91390000000000005</v>
      </c>
      <c r="BI131" s="5">
        <f>VLOOKUP(Y131,'[1]Coefficient Normal'!$A$10:$P$14,8,TRUE)</f>
        <v>2.5000000000000001E-3</v>
      </c>
      <c r="BJ131" s="5">
        <f>VLOOKUP(Y131,'[1]Coefficient Normal'!$A$10:$P$14,9,TRUE)</f>
        <v>1.6000000000000001E-3</v>
      </c>
      <c r="BK131" s="5">
        <f>VLOOKUP(Y131,'[1]Coefficient Normal'!$A$10:$P$14,10,TRUE)</f>
        <v>-9.7500000000000003E-2</v>
      </c>
      <c r="BL131" s="5">
        <f>VLOOKUP(Y131,'[1]Coefficient Normal'!$A$10:$P$14,11,TRUE)</f>
        <v>1.1999999999999999E-3</v>
      </c>
      <c r="BM131" s="5">
        <f>VLOOKUP(Y131,'[1]Coefficient Normal'!$A$10:$P$14,12,TRUE)</f>
        <v>0.46479999999999999</v>
      </c>
      <c r="BN131" s="5">
        <f>VLOOKUP(Y131,'[1]Coefficient Normal'!$A$10:$P$14,13,TRUE)</f>
        <v>8.0000000000000004E-4</v>
      </c>
      <c r="BO131" s="5">
        <f>VLOOKUP(Y131,'[1]Coefficient Normal'!$A$10:$P$14,14,TRUE)</f>
        <v>6.7900000000000002E-2</v>
      </c>
      <c r="BP131" s="5">
        <f>VLOOKUP(Y131,'[1]Coefficient Normal'!$A$10:$P$14,15,TRUE)</f>
        <v>0.58979999999999999</v>
      </c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D131" s="6">
        <f t="shared" si="79"/>
        <v>1</v>
      </c>
      <c r="CE131" s="6">
        <f t="shared" si="80"/>
        <v>1</v>
      </c>
      <c r="CF131" s="6">
        <f t="shared" si="81"/>
        <v>0</v>
      </c>
      <c r="CG131" s="5">
        <f t="shared" si="82"/>
        <v>0.97225595551353683</v>
      </c>
      <c r="CI131">
        <f t="shared" si="83"/>
        <v>0.18232155679395459</v>
      </c>
      <c r="CN131" s="5">
        <f t="shared" si="84"/>
        <v>-0.71055845879027657</v>
      </c>
      <c r="CO131" s="5">
        <f t="shared" si="85"/>
        <v>-0.69084469329936637</v>
      </c>
      <c r="CP131" s="5">
        <f t="shared" si="86"/>
        <v>-0.19645013359950758</v>
      </c>
      <c r="CQ131" s="5">
        <f t="shared" si="87"/>
        <v>1.6118587120496366</v>
      </c>
      <c r="CR131" s="5">
        <f t="shared" si="88"/>
        <v>-5.0182000023989302</v>
      </c>
      <c r="CS131" s="5">
        <f t="shared" si="89"/>
        <v>-0.43730655621526948</v>
      </c>
      <c r="CT131" s="5">
        <f t="shared" si="90"/>
        <v>0.40445732653656241</v>
      </c>
      <c r="CU131" s="7">
        <f t="shared" si="105"/>
        <v>1.4984890891045519</v>
      </c>
      <c r="CV131">
        <f>VLOOKUP(Y131,'[1]Coefficient Normal'!$A$10:$P$14,16,TRUE)</f>
        <v>0.34749999999999998</v>
      </c>
      <c r="CW131">
        <v>0.3</v>
      </c>
    </row>
  </sheetData>
  <dataValidations disablePrompts="1" count="1">
    <dataValidation type="list" allowBlank="1" showInputMessage="1" showErrorMessage="1" sqref="Q112:Q131" xr:uid="{00000000-0002-0000-0000-000000000000}">
      <formula1>"Grade-B,X-42,X-52,X-60,X-70,X-80"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88"/>
  <sheetViews>
    <sheetView topLeftCell="AV1" zoomScale="70" zoomScaleNormal="70" workbookViewId="0">
      <selection activeCell="BT2" sqref="BT2"/>
    </sheetView>
    <sheetView tabSelected="1" topLeftCell="H52" zoomScale="85" zoomScaleNormal="85" workbookViewId="1">
      <selection activeCell="R69" sqref="R69"/>
    </sheetView>
  </sheetViews>
  <sheetFormatPr defaultRowHeight="15" x14ac:dyDescent="0.25"/>
  <cols>
    <col min="4" max="4" width="17.42578125" customWidth="1"/>
    <col min="5" max="5" width="15.42578125" customWidth="1"/>
    <col min="6" max="6" width="16.85546875" customWidth="1"/>
    <col min="7" max="7" width="17.140625" customWidth="1"/>
    <col min="8" max="8" width="16.85546875" customWidth="1"/>
    <col min="9" max="9" width="22.140625" customWidth="1"/>
    <col min="10" max="10" width="16.42578125" customWidth="1"/>
    <col min="11" max="11" width="14.28515625" customWidth="1"/>
    <col min="12" max="12" width="15.28515625" customWidth="1"/>
    <col min="13" max="15" width="15.85546875" customWidth="1"/>
    <col min="16" max="16" width="22.85546875" customWidth="1"/>
    <col min="17" max="17" width="15.85546875" customWidth="1"/>
    <col min="18" max="20" width="14" customWidth="1"/>
    <col min="21" max="25" width="20.7109375" customWidth="1"/>
    <col min="26" max="34" width="15.42578125" customWidth="1"/>
    <col min="35" max="42" width="11.5703125" customWidth="1"/>
    <col min="43" max="47" width="20.140625" customWidth="1"/>
    <col min="48" max="61" width="13.85546875" customWidth="1"/>
    <col min="62" max="71" width="14.42578125" customWidth="1"/>
    <col min="72" max="78" width="17.140625" customWidth="1"/>
    <col min="79" max="79" width="23.140625" customWidth="1"/>
    <col min="80" max="84" width="16.85546875" customWidth="1"/>
    <col min="85" max="90" width="25.5703125" customWidth="1"/>
    <col min="91" max="94" width="29" customWidth="1"/>
  </cols>
  <sheetData>
    <row r="1" spans="1:94" x14ac:dyDescent="0.25">
      <c r="A1" t="s">
        <v>0</v>
      </c>
      <c r="B1" t="s">
        <v>82</v>
      </c>
      <c r="C1" t="s">
        <v>83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58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87</v>
      </c>
      <c r="AR1" t="s">
        <v>39</v>
      </c>
      <c r="AS1" t="s">
        <v>102</v>
      </c>
      <c r="AT1" t="s">
        <v>103</v>
      </c>
      <c r="AU1" t="s">
        <v>104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84</v>
      </c>
      <c r="BU1" t="s">
        <v>88</v>
      </c>
      <c r="BV1" t="s">
        <v>89</v>
      </c>
      <c r="BW1" t="s">
        <v>56</v>
      </c>
      <c r="BX1" t="s">
        <v>54</v>
      </c>
      <c r="BY1" t="s">
        <v>55</v>
      </c>
      <c r="BZ1" t="s">
        <v>57</v>
      </c>
      <c r="CA1" t="s">
        <v>85</v>
      </c>
      <c r="CB1" t="s">
        <v>59</v>
      </c>
      <c r="CC1" t="s">
        <v>105</v>
      </c>
      <c r="CD1" t="s">
        <v>106</v>
      </c>
      <c r="CE1" t="s">
        <v>86</v>
      </c>
      <c r="CF1" t="s">
        <v>107</v>
      </c>
      <c r="CG1" t="s">
        <v>60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  <c r="CO1" t="s">
        <v>68</v>
      </c>
      <c r="CP1" t="s">
        <v>69</v>
      </c>
    </row>
    <row r="2" spans="1:94" x14ac:dyDescent="0.25">
      <c r="A2">
        <v>1</v>
      </c>
      <c r="B2">
        <v>105</v>
      </c>
      <c r="C2" t="str">
        <f>IF(AND(B2&gt;=0,B2&lt;=10),"Normal",IF(AND(B2&gt;10,B2&lt;90),"SSTens",IF(AND(B2&gt;=90,B2&lt;170),"SSComp",IF(AND(B2&gt;=170,B2&lt;=180),"Reverse"))))</f>
        <v>SSComp</v>
      </c>
      <c r="D2">
        <v>0.20319999999999999</v>
      </c>
      <c r="E2">
        <f>D2*1000</f>
        <v>203.2</v>
      </c>
      <c r="I2">
        <v>15</v>
      </c>
      <c r="AI2">
        <v>0.2</v>
      </c>
      <c r="AV2">
        <f t="shared" ref="AV2:AV21" si="0">-6.50785 + 0.98692*D2 + 0.01601*I2 + (-0.04575 * BT2)</f>
        <v>-5.3809078560000003</v>
      </c>
      <c r="AW2">
        <f t="shared" ref="AW2:AW21" si="1">0.34262 + (-0.10918 * D2) + 0.00197 * I2+ 0.0027*BT2</f>
        <v>0.30948462400000004</v>
      </c>
      <c r="BT2">
        <f t="shared" ref="BT2:BT21" si="2">IF(AND(B2&gt;95,B2&lt;=120),B2-120,0)</f>
        <v>-15</v>
      </c>
      <c r="BZ2">
        <f t="shared" ref="BZ2:BZ21" si="3" xml:space="preserve"> 4.54097 - 0.01093*I2</f>
        <v>4.3770199999999999</v>
      </c>
      <c r="CA2">
        <f t="shared" ref="CA2:CA21" si="4">(LN(AI2) - AV2) / BZ2</f>
        <v>0.86165243557623683</v>
      </c>
      <c r="CE2">
        <f t="shared" ref="CE2:CE21" si="5">IF(CA2&gt;=1,5,ATANH(CA2))</f>
        <v>1.2997253384540037</v>
      </c>
      <c r="CM2">
        <f t="shared" ref="CM2:CM21" si="6">(CE2 / AW2) - 4</f>
        <v>0.19964430431284885</v>
      </c>
      <c r="CN2">
        <f>MIN(EXP(CM2),100)</f>
        <v>1.2209683877232429</v>
      </c>
      <c r="CO2">
        <v>0.57099999999999995</v>
      </c>
      <c r="CP2">
        <v>0.3</v>
      </c>
    </row>
    <row r="3" spans="1:94" x14ac:dyDescent="0.25">
      <c r="A3">
        <v>2</v>
      </c>
      <c r="B3">
        <v>145</v>
      </c>
      <c r="C3" t="str">
        <f t="shared" ref="C3:C21" si="7">IF(AND(B3&gt;=0,B3&lt;=10),"Normal",IF(AND(B3&gt;10,B3&lt;90),"SSTens",IF(AND(B3&gt;=90,B3&lt;170),"SSComp",IF(AND(B3&gt;=170,B3&lt;=180),"Reverse"))))</f>
        <v>SSComp</v>
      </c>
      <c r="D3">
        <v>0.30480000000000002</v>
      </c>
      <c r="E3">
        <f t="shared" ref="E3:E21" si="8">D3*1000</f>
        <v>304.8</v>
      </c>
      <c r="I3">
        <v>30</v>
      </c>
      <c r="AI3">
        <v>0.1</v>
      </c>
      <c r="AV3">
        <f t="shared" si="0"/>
        <v>-5.7267367840000007</v>
      </c>
      <c r="AW3">
        <f t="shared" si="1"/>
        <v>0.36844193599999997</v>
      </c>
      <c r="BT3">
        <f t="shared" si="2"/>
        <v>0</v>
      </c>
      <c r="BZ3">
        <f t="shared" si="3"/>
        <v>4.2130700000000001</v>
      </c>
      <c r="CA3">
        <f t="shared" si="4"/>
        <v>0.81274502702446316</v>
      </c>
      <c r="CE3">
        <f t="shared" si="5"/>
        <v>1.135063192462112</v>
      </c>
      <c r="CM3">
        <f t="shared" si="6"/>
        <v>-0.91928881716083488</v>
      </c>
      <c r="CN3">
        <f t="shared" ref="CN3:CN21" si="9">MIN(EXP(CM3),100)</f>
        <v>0.39880256179319534</v>
      </c>
      <c r="CO3">
        <v>0.57099999999999995</v>
      </c>
      <c r="CP3">
        <v>0.3</v>
      </c>
    </row>
    <row r="4" spans="1:94" x14ac:dyDescent="0.25">
      <c r="A4">
        <v>3</v>
      </c>
      <c r="B4">
        <v>165</v>
      </c>
      <c r="C4" t="str">
        <f t="shared" si="7"/>
        <v>SSComp</v>
      </c>
      <c r="D4">
        <v>0.40639999999999998</v>
      </c>
      <c r="E4">
        <f t="shared" si="8"/>
        <v>406.4</v>
      </c>
      <c r="I4">
        <v>50</v>
      </c>
      <c r="AI4">
        <v>0.2</v>
      </c>
      <c r="AV4">
        <f t="shared" si="0"/>
        <v>-5.3062657120000001</v>
      </c>
      <c r="AW4">
        <f t="shared" si="1"/>
        <v>0.396749248</v>
      </c>
      <c r="BT4">
        <f t="shared" si="2"/>
        <v>0</v>
      </c>
      <c r="BZ4">
        <f t="shared" si="3"/>
        <v>3.9944699999999997</v>
      </c>
      <c r="CA4">
        <f t="shared" si="4"/>
        <v>0.92548643488770721</v>
      </c>
      <c r="CE4">
        <f t="shared" si="5"/>
        <v>1.6259763586968217</v>
      </c>
      <c r="CM4">
        <f t="shared" si="6"/>
        <v>9.8246857160575018E-2</v>
      </c>
      <c r="CN4">
        <f t="shared" si="9"/>
        <v>1.1032350929790506</v>
      </c>
      <c r="CO4">
        <v>0.57099999999999995</v>
      </c>
      <c r="CP4">
        <v>0.3</v>
      </c>
    </row>
    <row r="5" spans="1:94" x14ac:dyDescent="0.25">
      <c r="A5">
        <v>4</v>
      </c>
      <c r="B5">
        <v>105</v>
      </c>
      <c r="C5" t="str">
        <f t="shared" si="7"/>
        <v>SSComp</v>
      </c>
      <c r="D5">
        <v>0.50800000000000001</v>
      </c>
      <c r="E5">
        <f t="shared" si="8"/>
        <v>508</v>
      </c>
      <c r="I5">
        <v>100</v>
      </c>
      <c r="AI5">
        <v>0.7</v>
      </c>
      <c r="AV5">
        <f t="shared" si="0"/>
        <v>-3.7192446400000003</v>
      </c>
      <c r="AW5">
        <f t="shared" si="1"/>
        <v>0.44365656000000003</v>
      </c>
      <c r="BT5">
        <f t="shared" si="2"/>
        <v>-15</v>
      </c>
      <c r="BZ5">
        <f t="shared" si="3"/>
        <v>3.4479699999999998</v>
      </c>
      <c r="CA5">
        <f t="shared" si="4"/>
        <v>0.97523171491088034</v>
      </c>
      <c r="CE5">
        <f t="shared" si="5"/>
        <v>2.1894384933683062</v>
      </c>
      <c r="CM5">
        <f t="shared" si="6"/>
        <v>0.93498505548595112</v>
      </c>
      <c r="CN5">
        <f t="shared" si="9"/>
        <v>2.5471753911561468</v>
      </c>
      <c r="CO5">
        <v>0.57099999999999995</v>
      </c>
      <c r="CP5">
        <v>0.3</v>
      </c>
    </row>
    <row r="6" spans="1:94" x14ac:dyDescent="0.25">
      <c r="A6">
        <v>5</v>
      </c>
      <c r="B6">
        <v>145</v>
      </c>
      <c r="C6" t="str">
        <f t="shared" si="7"/>
        <v>SSComp</v>
      </c>
      <c r="D6">
        <v>0.60960000000000003</v>
      </c>
      <c r="E6">
        <f t="shared" si="8"/>
        <v>609.6</v>
      </c>
      <c r="I6">
        <v>15</v>
      </c>
      <c r="AI6">
        <v>0.2</v>
      </c>
      <c r="AV6">
        <f t="shared" si="0"/>
        <v>-5.6660735680000007</v>
      </c>
      <c r="AW6">
        <f t="shared" si="1"/>
        <v>0.30561387200000001</v>
      </c>
      <c r="BT6">
        <f t="shared" si="2"/>
        <v>0</v>
      </c>
      <c r="BZ6">
        <f t="shared" si="3"/>
        <v>4.3770199999999999</v>
      </c>
      <c r="CA6">
        <f t="shared" si="4"/>
        <v>0.92680308876036677</v>
      </c>
      <c r="CE6">
        <f t="shared" si="5"/>
        <v>1.6352321269547774</v>
      </c>
      <c r="CM6">
        <f t="shared" si="6"/>
        <v>1.3506475876028867</v>
      </c>
      <c r="CN6">
        <f t="shared" si="9"/>
        <v>3.8599243606680402</v>
      </c>
      <c r="CO6">
        <v>0.57099999999999995</v>
      </c>
      <c r="CP6">
        <v>0.3</v>
      </c>
    </row>
    <row r="7" spans="1:94" x14ac:dyDescent="0.25">
      <c r="A7">
        <v>6</v>
      </c>
      <c r="B7">
        <v>165</v>
      </c>
      <c r="C7" t="str">
        <f t="shared" si="7"/>
        <v>SSComp</v>
      </c>
      <c r="D7">
        <v>0.76200000000000001</v>
      </c>
      <c r="E7">
        <f t="shared" si="8"/>
        <v>762</v>
      </c>
      <c r="I7">
        <v>30</v>
      </c>
      <c r="AI7">
        <v>0.3</v>
      </c>
      <c r="AV7">
        <f t="shared" si="0"/>
        <v>-5.2755169600000009</v>
      </c>
      <c r="AW7">
        <f t="shared" si="1"/>
        <v>0.31852483999999998</v>
      </c>
      <c r="BT7">
        <f t="shared" si="2"/>
        <v>0</v>
      </c>
      <c r="BZ7">
        <f t="shared" si="3"/>
        <v>4.2130700000000001</v>
      </c>
      <c r="CA7">
        <f t="shared" si="4"/>
        <v>0.96640790579650115</v>
      </c>
      <c r="CE7">
        <f t="shared" si="5"/>
        <v>2.0348365057620685</v>
      </c>
      <c r="CM7">
        <f t="shared" si="6"/>
        <v>2.38831340677251</v>
      </c>
      <c r="CN7">
        <f t="shared" si="9"/>
        <v>10.895102831591004</v>
      </c>
      <c r="CO7">
        <v>0.57099999999999995</v>
      </c>
      <c r="CP7">
        <v>0.3</v>
      </c>
    </row>
    <row r="8" spans="1:94" x14ac:dyDescent="0.25">
      <c r="A8">
        <v>7</v>
      </c>
      <c r="B8">
        <v>105</v>
      </c>
      <c r="C8" t="str">
        <f t="shared" si="7"/>
        <v>SSComp</v>
      </c>
      <c r="D8">
        <v>0.86360000000000003</v>
      </c>
      <c r="E8">
        <f t="shared" si="8"/>
        <v>863.6</v>
      </c>
      <c r="I8">
        <v>50</v>
      </c>
      <c r="AI8">
        <v>0.5</v>
      </c>
      <c r="AV8">
        <f t="shared" si="0"/>
        <v>-4.1687958880000009</v>
      </c>
      <c r="AW8">
        <f t="shared" si="1"/>
        <v>0.30633215199999997</v>
      </c>
      <c r="BT8">
        <f t="shared" si="2"/>
        <v>-15</v>
      </c>
      <c r="BZ8">
        <f t="shared" si="3"/>
        <v>3.9944699999999997</v>
      </c>
      <c r="CA8">
        <f t="shared" si="4"/>
        <v>0.87011511100097283</v>
      </c>
      <c r="CE8">
        <f t="shared" si="5"/>
        <v>1.3335533378406192</v>
      </c>
      <c r="CM8">
        <f t="shared" si="6"/>
        <v>0.35329210183794046</v>
      </c>
      <c r="CN8">
        <f t="shared" si="9"/>
        <v>1.4237469618042953</v>
      </c>
      <c r="CO8">
        <v>0.57099999999999995</v>
      </c>
      <c r="CP8">
        <v>0.3</v>
      </c>
    </row>
    <row r="9" spans="1:94" x14ac:dyDescent="0.25">
      <c r="A9">
        <v>8</v>
      </c>
      <c r="B9">
        <v>145</v>
      </c>
      <c r="C9" t="str">
        <f t="shared" si="7"/>
        <v>SSComp</v>
      </c>
      <c r="D9">
        <v>1.0668</v>
      </c>
      <c r="E9">
        <f t="shared" si="8"/>
        <v>1066.8</v>
      </c>
      <c r="I9">
        <v>100</v>
      </c>
      <c r="AI9">
        <v>0.65</v>
      </c>
      <c r="AV9">
        <f t="shared" si="0"/>
        <v>-3.8540037440000008</v>
      </c>
      <c r="AW9">
        <f t="shared" si="1"/>
        <v>0.423146776</v>
      </c>
      <c r="BT9">
        <f t="shared" si="2"/>
        <v>0</v>
      </c>
      <c r="BZ9">
        <f t="shared" si="3"/>
        <v>3.4479699999999998</v>
      </c>
      <c r="CA9">
        <f t="shared" si="4"/>
        <v>0.99282210341376143</v>
      </c>
      <c r="CE9">
        <f t="shared" si="5"/>
        <v>2.8131503349727711</v>
      </c>
      <c r="CM9">
        <f t="shared" si="6"/>
        <v>2.6481667698509677</v>
      </c>
      <c r="CN9">
        <f t="shared" si="9"/>
        <v>14.128114804444175</v>
      </c>
      <c r="CO9">
        <v>0.57099999999999995</v>
      </c>
      <c r="CP9">
        <v>0.3</v>
      </c>
    </row>
    <row r="10" spans="1:94" x14ac:dyDescent="0.25">
      <c r="A10">
        <v>9</v>
      </c>
      <c r="B10">
        <v>165</v>
      </c>
      <c r="C10" t="str">
        <f t="shared" si="7"/>
        <v>SSComp</v>
      </c>
      <c r="D10">
        <v>0.60960000000000003</v>
      </c>
      <c r="E10">
        <f t="shared" si="8"/>
        <v>609.6</v>
      </c>
      <c r="I10">
        <v>150</v>
      </c>
      <c r="AI10">
        <v>0.54</v>
      </c>
      <c r="AV10">
        <f t="shared" si="0"/>
        <v>-3.5047235680000006</v>
      </c>
      <c r="AW10">
        <f t="shared" si="1"/>
        <v>0.57156387200000003</v>
      </c>
      <c r="BT10">
        <f t="shared" si="2"/>
        <v>0</v>
      </c>
      <c r="BZ10">
        <f t="shared" si="3"/>
        <v>2.9014699999999998</v>
      </c>
      <c r="CA10">
        <f t="shared" si="4"/>
        <v>0.99554275197613074</v>
      </c>
      <c r="CE10">
        <f t="shared" si="5"/>
        <v>3.0520699039355779</v>
      </c>
      <c r="CM10">
        <f t="shared" si="6"/>
        <v>1.3398579816737923</v>
      </c>
      <c r="CN10">
        <f t="shared" si="9"/>
        <v>3.8185011697117019</v>
      </c>
      <c r="CO10">
        <v>0.57099999999999995</v>
      </c>
      <c r="CP10">
        <v>0.3</v>
      </c>
    </row>
    <row r="11" spans="1:94" x14ac:dyDescent="0.25">
      <c r="A11">
        <v>10</v>
      </c>
      <c r="B11">
        <v>105</v>
      </c>
      <c r="C11" t="str">
        <f t="shared" si="7"/>
        <v>SSComp</v>
      </c>
      <c r="D11">
        <v>0.60960000000000003</v>
      </c>
      <c r="E11">
        <f t="shared" si="8"/>
        <v>609.6</v>
      </c>
      <c r="I11">
        <v>200</v>
      </c>
      <c r="AI11">
        <v>0.5</v>
      </c>
      <c r="AV11">
        <f t="shared" si="0"/>
        <v>-2.0179735680000004</v>
      </c>
      <c r="AW11">
        <f t="shared" si="1"/>
        <v>0.62956387200000008</v>
      </c>
      <c r="BT11">
        <f t="shared" si="2"/>
        <v>-15</v>
      </c>
      <c r="BZ11">
        <f t="shared" si="3"/>
        <v>2.3549699999999998</v>
      </c>
      <c r="CA11">
        <f t="shared" si="4"/>
        <v>0.56256614200607868</v>
      </c>
      <c r="CE11">
        <f t="shared" si="5"/>
        <v>0.63657959947907028</v>
      </c>
      <c r="CM11">
        <f t="shared" si="6"/>
        <v>-2.9888562101621514</v>
      </c>
      <c r="CN11">
        <f t="shared" si="9"/>
        <v>5.034498788963291E-2</v>
      </c>
      <c r="CO11">
        <v>0.57099999999999995</v>
      </c>
      <c r="CP11">
        <v>0.3</v>
      </c>
    </row>
    <row r="12" spans="1:94" x14ac:dyDescent="0.25">
      <c r="A12">
        <v>11</v>
      </c>
      <c r="B12">
        <v>145</v>
      </c>
      <c r="C12" t="str">
        <f t="shared" si="7"/>
        <v>SSComp</v>
      </c>
      <c r="D12">
        <v>0.20319999999999999</v>
      </c>
      <c r="E12">
        <f t="shared" si="8"/>
        <v>203.2</v>
      </c>
      <c r="I12">
        <v>15</v>
      </c>
      <c r="AI12">
        <v>0.7</v>
      </c>
      <c r="AV12">
        <f t="shared" si="0"/>
        <v>-6.0671578560000006</v>
      </c>
      <c r="AW12">
        <f t="shared" si="1"/>
        <v>0.34998462400000002</v>
      </c>
      <c r="BT12">
        <f t="shared" si="2"/>
        <v>0</v>
      </c>
      <c r="BZ12">
        <f t="shared" si="3"/>
        <v>4.3770199999999999</v>
      </c>
      <c r="CA12">
        <f t="shared" si="4"/>
        <v>1.3046508611021352</v>
      </c>
      <c r="CE12">
        <f t="shared" si="5"/>
        <v>5</v>
      </c>
      <c r="CM12">
        <f t="shared" si="6"/>
        <v>10.286341905123237</v>
      </c>
      <c r="CN12">
        <f t="shared" si="9"/>
        <v>100</v>
      </c>
      <c r="CO12">
        <v>0.57099999999999995</v>
      </c>
      <c r="CP12">
        <v>0.3</v>
      </c>
    </row>
    <row r="13" spans="1:94" x14ac:dyDescent="0.25">
      <c r="A13">
        <v>12</v>
      </c>
      <c r="B13">
        <v>165</v>
      </c>
      <c r="C13" t="str">
        <f t="shared" si="7"/>
        <v>SSComp</v>
      </c>
      <c r="D13">
        <v>0.30480000000000002</v>
      </c>
      <c r="E13">
        <f t="shared" si="8"/>
        <v>304.8</v>
      </c>
      <c r="I13">
        <v>30</v>
      </c>
      <c r="AI13">
        <v>0.6</v>
      </c>
      <c r="AV13">
        <f t="shared" si="0"/>
        <v>-5.7267367840000007</v>
      </c>
      <c r="AW13">
        <f t="shared" si="1"/>
        <v>0.36844193599999997</v>
      </c>
      <c r="BT13">
        <f t="shared" si="2"/>
        <v>0</v>
      </c>
      <c r="BZ13">
        <f t="shared" si="3"/>
        <v>4.2130700000000001</v>
      </c>
      <c r="CA13">
        <f t="shared" si="4"/>
        <v>1.2380309750927494</v>
      </c>
      <c r="CE13">
        <f t="shared" si="5"/>
        <v>5</v>
      </c>
      <c r="CM13">
        <f t="shared" si="6"/>
        <v>9.570659339929211</v>
      </c>
      <c r="CN13">
        <f t="shared" si="9"/>
        <v>100</v>
      </c>
      <c r="CO13">
        <v>0.57099999999999995</v>
      </c>
      <c r="CP13">
        <v>0.3</v>
      </c>
    </row>
    <row r="14" spans="1:94" x14ac:dyDescent="0.25">
      <c r="A14">
        <v>13</v>
      </c>
      <c r="B14">
        <v>105</v>
      </c>
      <c r="C14" t="str">
        <f t="shared" si="7"/>
        <v>SSComp</v>
      </c>
      <c r="D14">
        <v>0.40639999999999998</v>
      </c>
      <c r="E14">
        <f t="shared" si="8"/>
        <v>406.4</v>
      </c>
      <c r="I14">
        <v>50</v>
      </c>
      <c r="AI14">
        <v>0.5</v>
      </c>
      <c r="AV14">
        <f t="shared" si="0"/>
        <v>-4.6200157119999998</v>
      </c>
      <c r="AW14">
        <f t="shared" si="1"/>
        <v>0.35624924800000002</v>
      </c>
      <c r="BT14">
        <f t="shared" si="2"/>
        <v>-15</v>
      </c>
      <c r="BZ14">
        <f t="shared" si="3"/>
        <v>3.9944699999999997</v>
      </c>
      <c r="CA14">
        <f t="shared" si="4"/>
        <v>0.98307623575594627</v>
      </c>
      <c r="CE14">
        <f t="shared" si="5"/>
        <v>2.3818428849754718</v>
      </c>
      <c r="CM14">
        <f t="shared" si="6"/>
        <v>2.6858888779337766</v>
      </c>
      <c r="CN14">
        <f t="shared" si="9"/>
        <v>14.671236524486245</v>
      </c>
      <c r="CO14">
        <v>0.57099999999999995</v>
      </c>
      <c r="CP14">
        <v>0.3</v>
      </c>
    </row>
    <row r="15" spans="1:94" x14ac:dyDescent="0.25">
      <c r="A15">
        <v>14</v>
      </c>
      <c r="B15">
        <v>145</v>
      </c>
      <c r="C15" t="str">
        <f t="shared" si="7"/>
        <v>SSComp</v>
      </c>
      <c r="D15">
        <v>0.50800000000000001</v>
      </c>
      <c r="E15">
        <f t="shared" si="8"/>
        <v>508</v>
      </c>
      <c r="I15">
        <v>100</v>
      </c>
      <c r="AI15">
        <v>0.2</v>
      </c>
      <c r="AV15">
        <f t="shared" si="0"/>
        <v>-4.4054946400000006</v>
      </c>
      <c r="AW15">
        <f t="shared" si="1"/>
        <v>0.48415656000000001</v>
      </c>
      <c r="BT15">
        <f t="shared" si="2"/>
        <v>0</v>
      </c>
      <c r="BZ15">
        <f t="shared" si="3"/>
        <v>3.4479699999999998</v>
      </c>
      <c r="CA15">
        <f t="shared" si="4"/>
        <v>0.81092838034144732</v>
      </c>
      <c r="CE15">
        <f t="shared" si="5"/>
        <v>1.129734513403053</v>
      </c>
      <c r="CM15">
        <f t="shared" si="6"/>
        <v>-1.6665925720327883</v>
      </c>
      <c r="CN15">
        <f t="shared" si="9"/>
        <v>0.18888959802468036</v>
      </c>
      <c r="CO15">
        <v>0.57099999999999995</v>
      </c>
      <c r="CP15">
        <v>0.3</v>
      </c>
    </row>
    <row r="16" spans="1:94" x14ac:dyDescent="0.25">
      <c r="A16">
        <v>15</v>
      </c>
      <c r="B16">
        <v>165</v>
      </c>
      <c r="C16" t="str">
        <f t="shared" si="7"/>
        <v>SSComp</v>
      </c>
      <c r="D16">
        <v>0.60960000000000003</v>
      </c>
      <c r="E16">
        <f t="shared" si="8"/>
        <v>609.6</v>
      </c>
      <c r="I16">
        <v>15</v>
      </c>
      <c r="AI16">
        <v>0.4</v>
      </c>
      <c r="AV16">
        <f t="shared" si="0"/>
        <v>-5.6660735680000007</v>
      </c>
      <c r="AW16">
        <f t="shared" si="1"/>
        <v>0.30561387200000001</v>
      </c>
      <c r="BT16">
        <f t="shared" si="2"/>
        <v>0</v>
      </c>
      <c r="BZ16">
        <f t="shared" si="3"/>
        <v>4.3770199999999999</v>
      </c>
      <c r="CA16">
        <f t="shared" si="4"/>
        <v>1.0851636127150084</v>
      </c>
      <c r="CE16">
        <f t="shared" si="5"/>
        <v>5</v>
      </c>
      <c r="CM16">
        <f t="shared" si="6"/>
        <v>12.360513897091685</v>
      </c>
      <c r="CN16">
        <f t="shared" si="9"/>
        <v>100</v>
      </c>
      <c r="CO16">
        <v>0.57099999999999995</v>
      </c>
      <c r="CP16">
        <v>0.3</v>
      </c>
    </row>
    <row r="17" spans="1:94" x14ac:dyDescent="0.25">
      <c r="A17">
        <v>16</v>
      </c>
      <c r="B17">
        <v>105</v>
      </c>
      <c r="C17" t="str">
        <f t="shared" si="7"/>
        <v>SSComp</v>
      </c>
      <c r="D17">
        <v>0.76200000000000001</v>
      </c>
      <c r="E17">
        <f t="shared" si="8"/>
        <v>762</v>
      </c>
      <c r="I17">
        <v>30</v>
      </c>
      <c r="AI17">
        <v>0.3</v>
      </c>
      <c r="AV17">
        <f t="shared" si="0"/>
        <v>-4.5892669600000007</v>
      </c>
      <c r="AW17">
        <f t="shared" si="1"/>
        <v>0.27802484</v>
      </c>
      <c r="BT17">
        <f t="shared" si="2"/>
        <v>-15</v>
      </c>
      <c r="BZ17">
        <f t="shared" si="3"/>
        <v>4.2130700000000001</v>
      </c>
      <c r="CA17">
        <f t="shared" si="4"/>
        <v>0.80352193428404106</v>
      </c>
      <c r="CE17">
        <f t="shared" si="5"/>
        <v>1.1084729310554529</v>
      </c>
      <c r="CM17">
        <f t="shared" si="6"/>
        <v>-1.3043542960215593E-2</v>
      </c>
      <c r="CN17">
        <f t="shared" si="9"/>
        <v>0.98704115539080384</v>
      </c>
      <c r="CO17">
        <v>0.57099999999999995</v>
      </c>
      <c r="CP17">
        <v>0.3</v>
      </c>
    </row>
    <row r="18" spans="1:94" x14ac:dyDescent="0.25">
      <c r="A18">
        <v>17</v>
      </c>
      <c r="B18">
        <v>145</v>
      </c>
      <c r="C18" t="str">
        <f t="shared" si="7"/>
        <v>SSComp</v>
      </c>
      <c r="D18">
        <v>0.86360000000000003</v>
      </c>
      <c r="E18">
        <f t="shared" si="8"/>
        <v>863.6</v>
      </c>
      <c r="I18">
        <v>50</v>
      </c>
      <c r="AI18">
        <v>0.5</v>
      </c>
      <c r="AV18">
        <f t="shared" si="0"/>
        <v>-4.8550458880000011</v>
      </c>
      <c r="AW18">
        <f t="shared" si="1"/>
        <v>0.34683215199999995</v>
      </c>
      <c r="BT18">
        <f t="shared" si="2"/>
        <v>0</v>
      </c>
      <c r="BZ18">
        <f t="shared" si="3"/>
        <v>3.9944699999999997</v>
      </c>
      <c r="CA18">
        <f t="shared" si="4"/>
        <v>1.0419151245196625</v>
      </c>
      <c r="CE18">
        <f t="shared" si="5"/>
        <v>5</v>
      </c>
      <c r="CM18">
        <f t="shared" si="6"/>
        <v>10.416195185964192</v>
      </c>
      <c r="CN18">
        <f t="shared" si="9"/>
        <v>100</v>
      </c>
      <c r="CO18">
        <v>0.57099999999999995</v>
      </c>
      <c r="CP18">
        <v>0.3</v>
      </c>
    </row>
    <row r="19" spans="1:94" x14ac:dyDescent="0.25">
      <c r="A19">
        <v>18</v>
      </c>
      <c r="B19">
        <v>165</v>
      </c>
      <c r="C19" t="str">
        <f t="shared" si="7"/>
        <v>SSComp</v>
      </c>
      <c r="D19">
        <v>1.0668</v>
      </c>
      <c r="E19">
        <f t="shared" si="8"/>
        <v>1066.8</v>
      </c>
      <c r="I19">
        <v>100</v>
      </c>
      <c r="AI19">
        <v>0.7</v>
      </c>
      <c r="AV19">
        <f t="shared" si="0"/>
        <v>-3.8540037440000008</v>
      </c>
      <c r="AW19">
        <f t="shared" si="1"/>
        <v>0.423146776</v>
      </c>
      <c r="BT19">
        <f t="shared" si="2"/>
        <v>0</v>
      </c>
      <c r="BZ19">
        <f t="shared" si="3"/>
        <v>3.4479699999999998</v>
      </c>
      <c r="CA19">
        <f t="shared" si="4"/>
        <v>1.0143153217868104</v>
      </c>
      <c r="CE19">
        <f t="shared" si="5"/>
        <v>5</v>
      </c>
      <c r="CM19">
        <f t="shared" si="6"/>
        <v>7.8162308768246405</v>
      </c>
      <c r="CN19">
        <f t="shared" si="9"/>
        <v>100</v>
      </c>
      <c r="CO19">
        <v>0.57099999999999995</v>
      </c>
      <c r="CP19">
        <v>0.3</v>
      </c>
    </row>
    <row r="20" spans="1:94" x14ac:dyDescent="0.25">
      <c r="A20">
        <v>19</v>
      </c>
      <c r="B20">
        <v>115</v>
      </c>
      <c r="C20" t="str">
        <f t="shared" si="7"/>
        <v>SSComp</v>
      </c>
      <c r="D20">
        <v>0.60960000000000003</v>
      </c>
      <c r="E20">
        <f t="shared" si="8"/>
        <v>609.6</v>
      </c>
      <c r="I20">
        <v>150</v>
      </c>
      <c r="AI20">
        <v>0.6</v>
      </c>
      <c r="AV20">
        <f t="shared" si="0"/>
        <v>-3.2759735680000004</v>
      </c>
      <c r="AW20">
        <f t="shared" si="1"/>
        <v>0.55806387200000007</v>
      </c>
      <c r="BT20">
        <f t="shared" si="2"/>
        <v>-5</v>
      </c>
      <c r="BZ20">
        <f t="shared" si="3"/>
        <v>2.9014699999999998</v>
      </c>
      <c r="CA20">
        <f t="shared" si="4"/>
        <v>0.95301621048434415</v>
      </c>
      <c r="CE20">
        <f t="shared" si="5"/>
        <v>1.8636637964233149</v>
      </c>
      <c r="CM20">
        <f t="shared" si="6"/>
        <v>-0.66048298424285967</v>
      </c>
      <c r="CN20">
        <f t="shared" si="9"/>
        <v>0.51660176371546651</v>
      </c>
      <c r="CO20">
        <v>0.57099999999999995</v>
      </c>
      <c r="CP20">
        <v>0.3</v>
      </c>
    </row>
    <row r="21" spans="1:94" x14ac:dyDescent="0.25">
      <c r="A21">
        <v>20</v>
      </c>
      <c r="B21">
        <v>135</v>
      </c>
      <c r="C21" t="str">
        <f t="shared" si="7"/>
        <v>SSComp</v>
      </c>
      <c r="D21">
        <v>0.60960000000000003</v>
      </c>
      <c r="E21">
        <f t="shared" si="8"/>
        <v>609.6</v>
      </c>
      <c r="I21">
        <v>200</v>
      </c>
      <c r="AI21">
        <v>1.5</v>
      </c>
      <c r="AV21">
        <f t="shared" si="0"/>
        <v>-2.7042235680000006</v>
      </c>
      <c r="AW21">
        <f t="shared" si="1"/>
        <v>0.67006387200000006</v>
      </c>
      <c r="BT21">
        <f t="shared" si="2"/>
        <v>0</v>
      </c>
      <c r="BZ21">
        <f t="shared" si="3"/>
        <v>2.3549699999999998</v>
      </c>
      <c r="CA21">
        <f t="shared" si="4"/>
        <v>1.3204791042383408</v>
      </c>
      <c r="CE21">
        <f t="shared" si="5"/>
        <v>5</v>
      </c>
      <c r="CM21">
        <f t="shared" si="6"/>
        <v>3.4619752070441425</v>
      </c>
      <c r="CN21">
        <f t="shared" si="9"/>
        <v>31.879883737745445</v>
      </c>
      <c r="CO21">
        <v>0.57099999999999995</v>
      </c>
      <c r="CP21">
        <v>0.3</v>
      </c>
    </row>
    <row r="23" spans="1:94" x14ac:dyDescent="0.25"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12</v>
      </c>
      <c r="S23" t="s">
        <v>16</v>
      </c>
      <c r="T23" t="s">
        <v>17</v>
      </c>
      <c r="U23" t="s">
        <v>18</v>
      </c>
      <c r="V23" t="s">
        <v>19</v>
      </c>
      <c r="W23" t="s">
        <v>20</v>
      </c>
      <c r="X23" t="s">
        <v>21</v>
      </c>
      <c r="Y23" t="s">
        <v>22</v>
      </c>
      <c r="Z23" t="s">
        <v>23</v>
      </c>
      <c r="AB23" t="s">
        <v>25</v>
      </c>
      <c r="AI23" t="s">
        <v>58</v>
      </c>
      <c r="AK23" t="s">
        <v>33</v>
      </c>
      <c r="AQ23" t="s">
        <v>87</v>
      </c>
      <c r="AR23" t="s">
        <v>39</v>
      </c>
      <c r="AV23" t="s">
        <v>40</v>
      </c>
      <c r="AW23" t="s">
        <v>41</v>
      </c>
      <c r="AX23" t="s">
        <v>42</v>
      </c>
      <c r="BJ23" t="s">
        <v>90</v>
      </c>
      <c r="BK23" t="s">
        <v>91</v>
      </c>
      <c r="BL23" t="s">
        <v>92</v>
      </c>
      <c r="BM23" t="s">
        <v>93</v>
      </c>
      <c r="BN23" t="s">
        <v>94</v>
      </c>
      <c r="BO23" t="s">
        <v>95</v>
      </c>
      <c r="BP23" t="s">
        <v>96</v>
      </c>
      <c r="BQ23" t="s">
        <v>97</v>
      </c>
      <c r="BR23" t="s">
        <v>98</v>
      </c>
      <c r="BS23" t="s">
        <v>99</v>
      </c>
      <c r="BU23" t="s">
        <v>88</v>
      </c>
      <c r="BV23" t="s">
        <v>89</v>
      </c>
      <c r="BW23" t="s">
        <v>56</v>
      </c>
      <c r="BZ23" t="s">
        <v>57</v>
      </c>
      <c r="CM23" t="s">
        <v>66</v>
      </c>
      <c r="CN23" t="s">
        <v>67</v>
      </c>
      <c r="CO23" t="s">
        <v>68</v>
      </c>
      <c r="CP23" t="s">
        <v>69</v>
      </c>
    </row>
    <row r="24" spans="1:94" x14ac:dyDescent="0.25">
      <c r="A24">
        <v>21</v>
      </c>
      <c r="B24">
        <v>15</v>
      </c>
      <c r="C24" t="str">
        <f>IF(AND(B24&gt;=0,B24&lt;=10),"Normal",IF(AND(B24&gt;10,B24&lt;90),"SSTens",IF(AND(B24&gt;=90,B24&lt;170),"SSComp",IF(AND(B24&gt;=170,B24&lt;=180),"Reverse"))))</f>
        <v>SSTens</v>
      </c>
      <c r="D24">
        <v>0.20319999999999999</v>
      </c>
      <c r="E24">
        <f t="shared" ref="E24:E43" si="10">D24*1000</f>
        <v>203.2</v>
      </c>
      <c r="F24">
        <v>5.5599999999999998E-3</v>
      </c>
      <c r="G24">
        <f t="shared" ref="G24:G43" si="11">F24*1000</f>
        <v>5.56</v>
      </c>
      <c r="H24">
        <f t="shared" ref="H24:H43" si="12">D24/F24</f>
        <v>36.546762589928058</v>
      </c>
      <c r="I24">
        <v>15</v>
      </c>
      <c r="J24" t="s">
        <v>70</v>
      </c>
      <c r="K24">
        <f>IF(J24="Grade-B",3,IF(J24="X-42",3,IF(J24="X-52",8,IF(J24="X-60",8,IF(J24="X-70",14,IF(J24="X-80",15,8))))))</f>
        <v>8</v>
      </c>
      <c r="L24">
        <f>IF(J24="Grade-B",8,IF(J24="X-42",9,IF(J24="X-52",10,IF(J24="X-60",12,IF(J24="X-70",15,IF(J24="X-80",20,10))))))</f>
        <v>10</v>
      </c>
      <c r="M24">
        <f>IF(J24="Grade-B",241,IF(J24="X-42",290,IF(J24="X-52",359,IF(J24="X-60",414,IF(J24="X-70",483,IF(J24="X-80",552,359))))))*1000</f>
        <v>359000</v>
      </c>
      <c r="N24">
        <f>IF(J24="Grade-B",344,IF(J24="X-42",414,IF(J24="X-52",455,IF(J24="X-60",517,IF(J24="X-70",565,IF(J24="X-80",625,M24*1.2/1000))))))*1000</f>
        <v>455000</v>
      </c>
      <c r="O24">
        <f>N24/200000000*(1+K24/(1+L24)*(N24/M24)^L24)*100</f>
        <v>1.9969902892117808</v>
      </c>
      <c r="S24" t="s">
        <v>78</v>
      </c>
      <c r="T24" t="s">
        <v>79</v>
      </c>
      <c r="U24">
        <f>IF(T24="medium dense",18,IF(T24="dense",18.5,IF(T24="very dense",19,IF(T24="soft",17.5,IF(T24="medium stiff",18,IF(T24="stiff",18.5,0))))))</f>
        <v>18</v>
      </c>
      <c r="V24">
        <f>IF(T24="medium dense",37,IF(T24="dense",40,IF(T24="very dense",43,0)))</f>
        <v>37</v>
      </c>
      <c r="W24">
        <f>IF(T24="soft",37.5,IF(T24="medium stiff",75,IF(T24="stiff",125,0)))</f>
        <v>0</v>
      </c>
      <c r="X24">
        <f>IF(T24="soft",1.1,IF(T24="medium stiff",0.72,IF(T24="stiff",0.4,0)))</f>
        <v>0</v>
      </c>
      <c r="Y24">
        <v>0.9</v>
      </c>
      <c r="Z24">
        <v>1</v>
      </c>
      <c r="AB24">
        <f t="shared" ref="AB24:AB43" si="13">IF(S24="clay",X24*W24,IF(S24="sand",Z24*U24*TAN(RADIANS(Y24*V24))))*PI()*D24</f>
        <v>7.5479720641402661</v>
      </c>
      <c r="AI24">
        <v>0.75</v>
      </c>
      <c r="AK24">
        <f t="shared" ref="AK24:AK43" si="14">0.00081*AB24+0.00314*LN(O24)</f>
        <v>8.2856107139974745E-3</v>
      </c>
      <c r="AQ24">
        <f t="shared" ref="AQ24:AQ43" si="15">-0.15507+AK24*LN(H24)+0.05203*LN(I24)</f>
        <v>1.5646389426880153E-2</v>
      </c>
      <c r="AR24">
        <f t="shared" ref="AR24:AR43" si="16">IF(I24&lt;15,AQ24+0.75,IF(I24&gt;50,AQ24+1.5,AQ24+1))</f>
        <v>1.0156463894268801</v>
      </c>
      <c r="AV24">
        <v>-2.307229</v>
      </c>
      <c r="AW24">
        <v>0.5852366</v>
      </c>
      <c r="AX24">
        <v>0.201322</v>
      </c>
      <c r="BJ24">
        <v>1.4274935</v>
      </c>
      <c r="BK24">
        <v>-7.1050000000000002E-3</v>
      </c>
      <c r="BL24">
        <v>5.1415999999999996E-3</v>
      </c>
      <c r="BM24">
        <v>-1.4290590000000001</v>
      </c>
      <c r="BN24">
        <v>4.9200300000000002E-2</v>
      </c>
      <c r="BO24">
        <v>0.14513599999999999</v>
      </c>
      <c r="BP24">
        <v>2.0170299999999999E-2</v>
      </c>
      <c r="BQ24">
        <v>-1.032025</v>
      </c>
      <c r="BR24">
        <f t="shared" ref="BR24:BR43" si="17">BU24*(LN(AI24)-AQ24)*(BJ24+BK24*AB24+BL24*H24)</f>
        <v>-0.47373050310383741</v>
      </c>
      <c r="BS24">
        <f t="shared" ref="BS24:BS43" si="18">BV24*(LN(AI24)-AR24)*(BM24+BN24*AB24+BO24*I24+BP24*H24+BQ24*LN(O24))</f>
        <v>0</v>
      </c>
      <c r="BU24">
        <f t="shared" ref="BU24:BU43" si="19">IF(AI24&lt;EXP(AQ24),1,0)</f>
        <v>1</v>
      </c>
      <c r="BV24">
        <f t="shared" ref="BV24:BV43" si="20">IF(AI24&gt;EXP(AR24),1,0)</f>
        <v>0</v>
      </c>
      <c r="BW24">
        <f t="shared" ref="BW24:BW43" si="21">IF(S24="sand",1,0)</f>
        <v>1</v>
      </c>
      <c r="BZ24">
        <f t="shared" ref="BZ24:BZ43" si="22">BR24+BS24</f>
        <v>-0.47373050310383741</v>
      </c>
      <c r="CM24">
        <f t="shared" ref="CM24:CM43" si="23">AV24+BZ24*AI24+AW24*LN(H24)+BW24*AX24*LN(AB24)</f>
        <v>-0.14957085894174343</v>
      </c>
      <c r="CN24">
        <f>MIN(EXP(CM24),40)</f>
        <v>0.86107742082312089</v>
      </c>
      <c r="CO24">
        <v>0.72299999999999998</v>
      </c>
      <c r="CP24">
        <v>0.3</v>
      </c>
    </row>
    <row r="25" spans="1:94" x14ac:dyDescent="0.25">
      <c r="A25">
        <v>22</v>
      </c>
      <c r="B25">
        <v>15</v>
      </c>
      <c r="C25" t="str">
        <f t="shared" ref="C25:C43" si="24">IF(AND(B25&gt;=0,B25&lt;=10),"Normal",IF(AND(B25&gt;10,B25&lt;90),"SSTens",IF(AND(B25&gt;=90,B25&lt;170),"SSComp",IF(AND(B25&gt;=170,B25&lt;=180),"Reverse"))))</f>
        <v>SSTens</v>
      </c>
      <c r="D25">
        <v>0.30480000000000002</v>
      </c>
      <c r="E25">
        <f t="shared" si="10"/>
        <v>304.8</v>
      </c>
      <c r="F25">
        <v>7.1399999999999996E-3</v>
      </c>
      <c r="G25">
        <f t="shared" si="11"/>
        <v>7.14</v>
      </c>
      <c r="H25">
        <f t="shared" si="12"/>
        <v>42.689075630252105</v>
      </c>
      <c r="I25">
        <v>30</v>
      </c>
      <c r="J25" t="s">
        <v>73</v>
      </c>
      <c r="K25">
        <f t="shared" ref="K25:K43" si="25">IF(J25="Grade-B",3,IF(J25="X-42",3,IF(J25="X-52",8,IF(J25="X-60",8,IF(J25="X-70",14,IF(J25="X-80",15,8))))))</f>
        <v>8</v>
      </c>
      <c r="L25">
        <f t="shared" ref="L25:L43" si="26">IF(J25="Grade-B",8,IF(J25="X-42",9,IF(J25="X-52",10,IF(J25="X-60",12,IF(J25="X-70",15,IF(J25="X-80",20,10))))))</f>
        <v>12</v>
      </c>
      <c r="M25">
        <f t="shared" ref="M25:M43" si="27">IF(J25="Grade-B",241,IF(J25="X-42",290,IF(J25="X-52",359,IF(J25="X-60",414,IF(J25="X-70",483,IF(J25="X-80",552,359))))))*1000</f>
        <v>414000</v>
      </c>
      <c r="N25">
        <f t="shared" ref="N25:N43" si="28">IF(J25="Grade-B",344,IF(J25="X-42",414,IF(J25="X-52",455,IF(J25="X-60",517,IF(J25="X-70",565,IF(J25="X-80",625,M25*1.2/1000))))))*1000</f>
        <v>517000</v>
      </c>
      <c r="O25">
        <f t="shared" ref="O25:O43" si="29">N25/200000000*(1+K25/(1+L25)*(N25/M25)^L25)*100</f>
        <v>2.5466769467238102</v>
      </c>
      <c r="S25" t="s">
        <v>78</v>
      </c>
      <c r="T25" t="s">
        <v>79</v>
      </c>
      <c r="U25">
        <f t="shared" ref="U25:U43" si="30">IF(T25="medium dense",18,IF(T25="dense",18.5,IF(T25="very dense",19,IF(T25="soft",17.5,IF(T25="medium stiff",18,IF(T25="stiff",18.5,0))))))</f>
        <v>18</v>
      </c>
      <c r="V25">
        <f t="shared" ref="V25:V43" si="31">IF(T25="medium dense",37,IF(T25="dense",40,IF(T25="very dense",43,0)))</f>
        <v>37</v>
      </c>
      <c r="W25">
        <f t="shared" ref="W25:W43" si="32">IF(T25="soft",37.5,IF(T25="medium stiff",75,IF(T25="stiff",125,0)))</f>
        <v>0</v>
      </c>
      <c r="X25">
        <f t="shared" ref="X25:X43" si="33">IF(T25="soft",1.1,IF(T25="medium stiff",0.72,IF(T25="stiff",0.4,0)))</f>
        <v>0</v>
      </c>
      <c r="Y25">
        <v>0.9</v>
      </c>
      <c r="Z25">
        <v>2</v>
      </c>
      <c r="AB25">
        <f t="shared" si="13"/>
        <v>22.6439161924208</v>
      </c>
      <c r="AI25">
        <v>0.75</v>
      </c>
      <c r="AK25">
        <f t="shared" si="14"/>
        <v>2.1276810678546657E-2</v>
      </c>
      <c r="AQ25">
        <f t="shared" si="15"/>
        <v>0.10176623528675607</v>
      </c>
      <c r="AR25">
        <f t="shared" si="16"/>
        <v>1.1017662352867561</v>
      </c>
      <c r="AV25">
        <v>-2.307229</v>
      </c>
      <c r="AW25">
        <v>0.5852366</v>
      </c>
      <c r="AX25">
        <v>0.201322</v>
      </c>
      <c r="BJ25">
        <v>1.4274935</v>
      </c>
      <c r="BK25">
        <v>-7.1050000000000002E-3</v>
      </c>
      <c r="BL25">
        <v>5.1415999999999996E-3</v>
      </c>
      <c r="BM25">
        <v>-1.4290590000000001</v>
      </c>
      <c r="BN25">
        <v>4.9200300000000002E-2</v>
      </c>
      <c r="BO25">
        <v>0.14513599999999999</v>
      </c>
      <c r="BP25">
        <v>2.0170299999999999E-2</v>
      </c>
      <c r="BQ25">
        <v>-1.032025</v>
      </c>
      <c r="BR25">
        <f t="shared" si="17"/>
        <v>-0.57875859530607965</v>
      </c>
      <c r="BS25">
        <f t="shared" si="18"/>
        <v>0</v>
      </c>
      <c r="BU25">
        <f t="shared" si="19"/>
        <v>1</v>
      </c>
      <c r="BV25">
        <f t="shared" si="20"/>
        <v>0</v>
      </c>
      <c r="BW25">
        <f t="shared" si="21"/>
        <v>1</v>
      </c>
      <c r="BZ25">
        <f t="shared" si="22"/>
        <v>-0.57875859530607965</v>
      </c>
      <c r="CM25">
        <f t="shared" si="23"/>
        <v>8.374965841113402E-2</v>
      </c>
      <c r="CN25">
        <f t="shared" ref="CN25:CN43" si="34">MIN(EXP(CM25),40)</f>
        <v>1.0873566491419566</v>
      </c>
      <c r="CO25">
        <v>0.72299999999999998</v>
      </c>
      <c r="CP25">
        <v>0.3</v>
      </c>
    </row>
    <row r="26" spans="1:94" x14ac:dyDescent="0.25">
      <c r="A26">
        <v>23</v>
      </c>
      <c r="B26">
        <v>15</v>
      </c>
      <c r="C26" t="str">
        <f t="shared" si="24"/>
        <v>SSTens</v>
      </c>
      <c r="D26">
        <v>0.40639999999999998</v>
      </c>
      <c r="E26">
        <f t="shared" si="10"/>
        <v>406.4</v>
      </c>
      <c r="F26">
        <v>9.5299999999999985E-3</v>
      </c>
      <c r="G26">
        <f t="shared" si="11"/>
        <v>9.5299999999999994</v>
      </c>
      <c r="H26">
        <f t="shared" si="12"/>
        <v>42.644281217208821</v>
      </c>
      <c r="I26">
        <v>50</v>
      </c>
      <c r="J26" t="s">
        <v>75</v>
      </c>
      <c r="K26">
        <f t="shared" si="25"/>
        <v>14</v>
      </c>
      <c r="L26">
        <f t="shared" si="26"/>
        <v>15</v>
      </c>
      <c r="M26">
        <f t="shared" si="27"/>
        <v>483000</v>
      </c>
      <c r="N26">
        <f t="shared" si="28"/>
        <v>565000</v>
      </c>
      <c r="O26">
        <f t="shared" si="29"/>
        <v>2.8799444073326219</v>
      </c>
      <c r="S26" t="s">
        <v>78</v>
      </c>
      <c r="T26" t="s">
        <v>79</v>
      </c>
      <c r="U26">
        <f t="shared" si="30"/>
        <v>18</v>
      </c>
      <c r="V26">
        <f t="shared" si="31"/>
        <v>37</v>
      </c>
      <c r="W26">
        <f t="shared" si="32"/>
        <v>0</v>
      </c>
      <c r="X26">
        <f t="shared" si="33"/>
        <v>0</v>
      </c>
      <c r="Y26">
        <v>0.9</v>
      </c>
      <c r="Z26">
        <v>1</v>
      </c>
      <c r="AB26">
        <f t="shared" si="13"/>
        <v>15.095944128280532</v>
      </c>
      <c r="AI26">
        <v>0.75</v>
      </c>
      <c r="AK26">
        <f t="shared" si="14"/>
        <v>1.5549115655496644E-2</v>
      </c>
      <c r="AQ26">
        <f t="shared" si="15"/>
        <v>0.10682672704917365</v>
      </c>
      <c r="AR26">
        <f t="shared" si="16"/>
        <v>1.1068267270491736</v>
      </c>
      <c r="AV26">
        <v>-2.307229</v>
      </c>
      <c r="AW26">
        <v>0.5852366</v>
      </c>
      <c r="AX26">
        <v>0.201322</v>
      </c>
      <c r="BJ26">
        <v>1.4274935</v>
      </c>
      <c r="BK26">
        <v>-7.1050000000000002E-3</v>
      </c>
      <c r="BL26">
        <v>5.1415999999999996E-3</v>
      </c>
      <c r="BM26">
        <v>-1.4290590000000001</v>
      </c>
      <c r="BN26">
        <v>4.9200300000000002E-2</v>
      </c>
      <c r="BO26">
        <v>0.14513599999999999</v>
      </c>
      <c r="BP26">
        <v>2.0170299999999999E-2</v>
      </c>
      <c r="BQ26">
        <v>-1.032025</v>
      </c>
      <c r="BR26">
        <f t="shared" si="17"/>
        <v>-0.60734497651924468</v>
      </c>
      <c r="BS26">
        <f t="shared" si="18"/>
        <v>0</v>
      </c>
      <c r="BU26">
        <f t="shared" si="19"/>
        <v>1</v>
      </c>
      <c r="BV26">
        <f t="shared" si="20"/>
        <v>0</v>
      </c>
      <c r="BW26">
        <f t="shared" si="21"/>
        <v>1</v>
      </c>
      <c r="BZ26">
        <f t="shared" si="22"/>
        <v>-0.60734497651924468</v>
      </c>
      <c r="CM26">
        <f t="shared" si="23"/>
        <v>-1.9933595677024019E-2</v>
      </c>
      <c r="CN26">
        <f t="shared" si="34"/>
        <v>0.9802637648971958</v>
      </c>
      <c r="CO26">
        <v>0.72299999999999998</v>
      </c>
      <c r="CP26">
        <v>0.3</v>
      </c>
    </row>
    <row r="27" spans="1:94" x14ac:dyDescent="0.25">
      <c r="A27">
        <v>24</v>
      </c>
      <c r="B27">
        <v>30</v>
      </c>
      <c r="C27" t="str">
        <f t="shared" si="24"/>
        <v>SSTens</v>
      </c>
      <c r="D27">
        <v>0.50800000000000001</v>
      </c>
      <c r="E27">
        <f t="shared" si="10"/>
        <v>508</v>
      </c>
      <c r="F27">
        <v>1.1130000000000001E-2</v>
      </c>
      <c r="G27">
        <f t="shared" si="11"/>
        <v>11.13</v>
      </c>
      <c r="H27">
        <f t="shared" si="12"/>
        <v>45.642407906558844</v>
      </c>
      <c r="I27">
        <v>100</v>
      </c>
      <c r="J27" t="s">
        <v>77</v>
      </c>
      <c r="K27">
        <f t="shared" si="25"/>
        <v>15</v>
      </c>
      <c r="L27">
        <f t="shared" si="26"/>
        <v>20</v>
      </c>
      <c r="M27">
        <f t="shared" si="27"/>
        <v>552000</v>
      </c>
      <c r="N27">
        <f t="shared" si="28"/>
        <v>625000</v>
      </c>
      <c r="O27">
        <f t="shared" si="29"/>
        <v>2.9888368774026359</v>
      </c>
      <c r="S27" t="s">
        <v>78</v>
      </c>
      <c r="T27" t="s">
        <v>79</v>
      </c>
      <c r="U27">
        <f t="shared" si="30"/>
        <v>18</v>
      </c>
      <c r="V27">
        <f t="shared" si="31"/>
        <v>37</v>
      </c>
      <c r="W27">
        <f t="shared" si="32"/>
        <v>0</v>
      </c>
      <c r="X27">
        <f t="shared" si="33"/>
        <v>0</v>
      </c>
      <c r="Y27">
        <v>0.9</v>
      </c>
      <c r="Z27">
        <v>2</v>
      </c>
      <c r="AB27">
        <f t="shared" si="13"/>
        <v>37.739860320701332</v>
      </c>
      <c r="AI27">
        <v>0.75</v>
      </c>
      <c r="AK27">
        <f t="shared" si="14"/>
        <v>3.4007223585342139E-2</v>
      </c>
      <c r="AQ27">
        <f t="shared" si="15"/>
        <v>0.21447307251904243</v>
      </c>
      <c r="AR27">
        <f t="shared" si="16"/>
        <v>1.7144730725190425</v>
      </c>
      <c r="AV27">
        <v>-2.307229</v>
      </c>
      <c r="AW27">
        <v>0.5852366</v>
      </c>
      <c r="AX27">
        <v>0.201322</v>
      </c>
      <c r="BJ27">
        <v>1.4274935</v>
      </c>
      <c r="BK27">
        <v>-7.1050000000000002E-3</v>
      </c>
      <c r="BL27">
        <v>5.1415999999999996E-3</v>
      </c>
      <c r="BM27">
        <v>-1.4290590000000001</v>
      </c>
      <c r="BN27">
        <v>4.9200300000000002E-2</v>
      </c>
      <c r="BO27">
        <v>0.14513599999999999</v>
      </c>
      <c r="BP27">
        <v>2.0170299999999999E-2</v>
      </c>
      <c r="BQ27">
        <v>-1.032025</v>
      </c>
      <c r="BR27">
        <f t="shared" si="17"/>
        <v>-0.70001772829745168</v>
      </c>
      <c r="BS27">
        <f t="shared" si="18"/>
        <v>0</v>
      </c>
      <c r="BU27">
        <f t="shared" si="19"/>
        <v>1</v>
      </c>
      <c r="BV27">
        <f t="shared" si="20"/>
        <v>0</v>
      </c>
      <c r="BW27">
        <f t="shared" si="21"/>
        <v>1</v>
      </c>
      <c r="BZ27">
        <f t="shared" si="22"/>
        <v>-0.70001772829745168</v>
      </c>
      <c r="CM27">
        <f t="shared" si="23"/>
        <v>0.13479469944695044</v>
      </c>
      <c r="CN27">
        <f t="shared" si="34"/>
        <v>1.1443018344350007</v>
      </c>
      <c r="CO27">
        <v>0.72299999999999998</v>
      </c>
      <c r="CP27">
        <v>0.3</v>
      </c>
    </row>
    <row r="28" spans="1:94" x14ac:dyDescent="0.25">
      <c r="A28">
        <v>25</v>
      </c>
      <c r="B28">
        <v>30</v>
      </c>
      <c r="C28" t="str">
        <f t="shared" si="24"/>
        <v>SSTens</v>
      </c>
      <c r="D28">
        <v>0.60960000000000003</v>
      </c>
      <c r="E28">
        <f t="shared" si="10"/>
        <v>609.6</v>
      </c>
      <c r="F28">
        <v>9.5299999999999985E-3</v>
      </c>
      <c r="G28">
        <f t="shared" si="11"/>
        <v>9.5299999999999994</v>
      </c>
      <c r="H28">
        <f t="shared" si="12"/>
        <v>63.966421825813235</v>
      </c>
      <c r="I28">
        <v>15</v>
      </c>
      <c r="J28" t="s">
        <v>70</v>
      </c>
      <c r="K28">
        <f t="shared" si="25"/>
        <v>8</v>
      </c>
      <c r="L28">
        <f t="shared" si="26"/>
        <v>10</v>
      </c>
      <c r="M28">
        <f t="shared" si="27"/>
        <v>359000</v>
      </c>
      <c r="N28">
        <f t="shared" si="28"/>
        <v>455000</v>
      </c>
      <c r="O28">
        <f t="shared" si="29"/>
        <v>1.9969902892117808</v>
      </c>
      <c r="S28" t="s">
        <v>78</v>
      </c>
      <c r="T28" t="s">
        <v>80</v>
      </c>
      <c r="U28">
        <f t="shared" si="30"/>
        <v>18.5</v>
      </c>
      <c r="V28">
        <f t="shared" si="31"/>
        <v>40</v>
      </c>
      <c r="W28">
        <f t="shared" si="32"/>
        <v>0</v>
      </c>
      <c r="X28">
        <f t="shared" si="33"/>
        <v>0</v>
      </c>
      <c r="Y28">
        <v>0.9</v>
      </c>
      <c r="Z28">
        <v>1</v>
      </c>
      <c r="AB28">
        <f t="shared" si="13"/>
        <v>25.741129539100392</v>
      </c>
      <c r="AI28">
        <v>2.75</v>
      </c>
      <c r="AK28">
        <f t="shared" si="14"/>
        <v>2.3022068268715178E-2</v>
      </c>
      <c r="AQ28">
        <f t="shared" si="15"/>
        <v>8.1563860325678486E-2</v>
      </c>
      <c r="AR28">
        <f t="shared" si="16"/>
        <v>1.0815638603256785</v>
      </c>
      <c r="AV28">
        <v>-2.307229</v>
      </c>
      <c r="AW28">
        <v>0.5852366</v>
      </c>
      <c r="AX28">
        <v>0.201322</v>
      </c>
      <c r="BJ28">
        <v>1.4274935</v>
      </c>
      <c r="BK28">
        <v>-7.1050000000000002E-3</v>
      </c>
      <c r="BL28">
        <v>5.1415999999999996E-3</v>
      </c>
      <c r="BM28">
        <v>-1.4290590000000001</v>
      </c>
      <c r="BN28">
        <v>4.9200300000000002E-2</v>
      </c>
      <c r="BO28">
        <v>0.14513599999999999</v>
      </c>
      <c r="BP28">
        <v>2.0170299999999999E-2</v>
      </c>
      <c r="BQ28">
        <v>-1.032025</v>
      </c>
      <c r="BR28">
        <f t="shared" si="17"/>
        <v>0</v>
      </c>
      <c r="BS28">
        <f t="shared" si="18"/>
        <v>0</v>
      </c>
      <c r="BU28">
        <f t="shared" si="19"/>
        <v>0</v>
      </c>
      <c r="BV28">
        <f t="shared" si="20"/>
        <v>0</v>
      </c>
      <c r="BW28">
        <f t="shared" si="21"/>
        <v>1</v>
      </c>
      <c r="BZ28">
        <f t="shared" si="22"/>
        <v>0</v>
      </c>
      <c r="CM28">
        <f t="shared" si="23"/>
        <v>0.78030645715329561</v>
      </c>
      <c r="CN28">
        <f t="shared" si="34"/>
        <v>2.1821408957267043</v>
      </c>
      <c r="CO28">
        <v>0.72299999999999998</v>
      </c>
      <c r="CP28">
        <v>0.3</v>
      </c>
    </row>
    <row r="29" spans="1:94" x14ac:dyDescent="0.25">
      <c r="A29">
        <v>26</v>
      </c>
      <c r="B29">
        <v>30</v>
      </c>
      <c r="C29" t="str">
        <f t="shared" si="24"/>
        <v>SSTens</v>
      </c>
      <c r="D29">
        <v>0.76200000000000001</v>
      </c>
      <c r="E29">
        <f t="shared" si="10"/>
        <v>762</v>
      </c>
      <c r="F29">
        <v>1.2699999999999999E-2</v>
      </c>
      <c r="G29">
        <f t="shared" si="11"/>
        <v>12.7</v>
      </c>
      <c r="H29">
        <f t="shared" si="12"/>
        <v>60</v>
      </c>
      <c r="I29">
        <v>30</v>
      </c>
      <c r="J29" t="s">
        <v>73</v>
      </c>
      <c r="K29">
        <f t="shared" si="25"/>
        <v>8</v>
      </c>
      <c r="L29">
        <f t="shared" si="26"/>
        <v>12</v>
      </c>
      <c r="M29">
        <f t="shared" si="27"/>
        <v>414000</v>
      </c>
      <c r="N29">
        <f t="shared" si="28"/>
        <v>517000</v>
      </c>
      <c r="O29">
        <f t="shared" si="29"/>
        <v>2.5466769467238102</v>
      </c>
      <c r="S29" t="s">
        <v>78</v>
      </c>
      <c r="T29" t="s">
        <v>80</v>
      </c>
      <c r="U29">
        <f t="shared" si="30"/>
        <v>18.5</v>
      </c>
      <c r="V29">
        <f t="shared" si="31"/>
        <v>40</v>
      </c>
      <c r="W29">
        <f t="shared" si="32"/>
        <v>0</v>
      </c>
      <c r="X29">
        <f t="shared" si="33"/>
        <v>0</v>
      </c>
      <c r="Y29">
        <v>0.9</v>
      </c>
      <c r="Z29">
        <v>2</v>
      </c>
      <c r="AB29">
        <f t="shared" si="13"/>
        <v>64.352823847750969</v>
      </c>
      <c r="AI29">
        <v>3.5</v>
      </c>
      <c r="AK29">
        <f t="shared" si="14"/>
        <v>5.5061025879364095E-2</v>
      </c>
      <c r="AQ29">
        <f t="shared" si="15"/>
        <v>0.24733311166742666</v>
      </c>
      <c r="AR29">
        <f t="shared" si="16"/>
        <v>1.2473331116674267</v>
      </c>
      <c r="AV29">
        <v>-2.307229</v>
      </c>
      <c r="AW29">
        <v>0.5852366</v>
      </c>
      <c r="AX29">
        <v>0.201322</v>
      </c>
      <c r="BJ29">
        <v>1.4274935</v>
      </c>
      <c r="BK29">
        <v>-7.1050000000000002E-3</v>
      </c>
      <c r="BL29">
        <v>5.1415999999999996E-3</v>
      </c>
      <c r="BM29">
        <v>-1.4290590000000001</v>
      </c>
      <c r="BN29">
        <v>4.9200300000000002E-2</v>
      </c>
      <c r="BO29">
        <v>0.14513599999999999</v>
      </c>
      <c r="BP29">
        <v>2.0170299999999999E-2</v>
      </c>
      <c r="BQ29">
        <v>-1.032025</v>
      </c>
      <c r="BR29">
        <f t="shared" si="17"/>
        <v>0</v>
      </c>
      <c r="BS29">
        <f t="shared" si="18"/>
        <v>3.440732629929924E-2</v>
      </c>
      <c r="BU29">
        <f t="shared" si="19"/>
        <v>0</v>
      </c>
      <c r="BV29">
        <f t="shared" si="20"/>
        <v>1</v>
      </c>
      <c r="BW29">
        <f t="shared" si="21"/>
        <v>1</v>
      </c>
      <c r="BZ29">
        <f t="shared" si="22"/>
        <v>3.440732629929924E-2</v>
      </c>
      <c r="CM29">
        <f t="shared" si="23"/>
        <v>1.0477384074527265</v>
      </c>
      <c r="CN29">
        <f t="shared" si="34"/>
        <v>2.8511955782437828</v>
      </c>
      <c r="CO29">
        <v>0.72299999999999998</v>
      </c>
      <c r="CP29">
        <v>0.3</v>
      </c>
    </row>
    <row r="30" spans="1:94" x14ac:dyDescent="0.25">
      <c r="A30">
        <v>27</v>
      </c>
      <c r="B30">
        <v>45</v>
      </c>
      <c r="C30" t="str">
        <f t="shared" si="24"/>
        <v>SSTens</v>
      </c>
      <c r="D30">
        <v>0.86360000000000003</v>
      </c>
      <c r="E30">
        <f t="shared" si="10"/>
        <v>863.6</v>
      </c>
      <c r="F30">
        <v>1.1130000000000001E-2</v>
      </c>
      <c r="G30">
        <f t="shared" si="11"/>
        <v>11.13</v>
      </c>
      <c r="H30">
        <f t="shared" si="12"/>
        <v>77.592093441150041</v>
      </c>
      <c r="I30">
        <v>50</v>
      </c>
      <c r="J30" t="s">
        <v>75</v>
      </c>
      <c r="K30">
        <f t="shared" si="25"/>
        <v>14</v>
      </c>
      <c r="L30">
        <f t="shared" si="26"/>
        <v>15</v>
      </c>
      <c r="M30">
        <f t="shared" si="27"/>
        <v>483000</v>
      </c>
      <c r="N30">
        <f t="shared" si="28"/>
        <v>565000</v>
      </c>
      <c r="O30">
        <f t="shared" si="29"/>
        <v>2.8799444073326219</v>
      </c>
      <c r="S30" t="s">
        <v>78</v>
      </c>
      <c r="T30" t="s">
        <v>80</v>
      </c>
      <c r="U30">
        <f t="shared" si="30"/>
        <v>18.5</v>
      </c>
      <c r="V30">
        <f t="shared" si="31"/>
        <v>40</v>
      </c>
      <c r="W30">
        <f t="shared" si="32"/>
        <v>0</v>
      </c>
      <c r="X30">
        <f t="shared" si="33"/>
        <v>0</v>
      </c>
      <c r="Y30">
        <v>0.9</v>
      </c>
      <c r="Z30">
        <v>1</v>
      </c>
      <c r="AB30">
        <f t="shared" si="13"/>
        <v>36.46660018039222</v>
      </c>
      <c r="AI30">
        <v>1.5</v>
      </c>
      <c r="AK30">
        <f t="shared" si="14"/>
        <v>3.2859347057707114E-2</v>
      </c>
      <c r="AQ30">
        <f t="shared" si="15"/>
        <v>0.19145887314252977</v>
      </c>
      <c r="AR30">
        <f t="shared" si="16"/>
        <v>1.1914588731425297</v>
      </c>
      <c r="AV30">
        <v>-2.307229</v>
      </c>
      <c r="AW30">
        <v>0.5852366</v>
      </c>
      <c r="AX30">
        <v>0.201322</v>
      </c>
      <c r="BJ30">
        <v>1.4274935</v>
      </c>
      <c r="BK30">
        <v>-7.1050000000000002E-3</v>
      </c>
      <c r="BL30">
        <v>5.1415999999999996E-3</v>
      </c>
      <c r="BM30">
        <v>-1.4290590000000001</v>
      </c>
      <c r="BN30">
        <v>4.9200300000000002E-2</v>
      </c>
      <c r="BO30">
        <v>0.14513599999999999</v>
      </c>
      <c r="BP30">
        <v>2.0170299999999999E-2</v>
      </c>
      <c r="BQ30">
        <v>-1.032025</v>
      </c>
      <c r="BR30">
        <f t="shared" si="17"/>
        <v>0</v>
      </c>
      <c r="BS30">
        <f t="shared" si="18"/>
        <v>0</v>
      </c>
      <c r="BU30">
        <f t="shared" si="19"/>
        <v>0</v>
      </c>
      <c r="BV30">
        <f t="shared" si="20"/>
        <v>0</v>
      </c>
      <c r="BW30">
        <f t="shared" si="21"/>
        <v>1</v>
      </c>
      <c r="BZ30">
        <f t="shared" si="22"/>
        <v>0</v>
      </c>
      <c r="CM30">
        <f t="shared" si="23"/>
        <v>0.963441685919739</v>
      </c>
      <c r="CN30">
        <f t="shared" si="34"/>
        <v>2.6207005981990892</v>
      </c>
      <c r="CO30">
        <v>0.72299999999999998</v>
      </c>
      <c r="CP30">
        <v>0.3</v>
      </c>
    </row>
    <row r="31" spans="1:94" x14ac:dyDescent="0.25">
      <c r="A31">
        <v>28</v>
      </c>
      <c r="B31">
        <v>45</v>
      </c>
      <c r="C31" t="str">
        <f t="shared" si="24"/>
        <v>SSTens</v>
      </c>
      <c r="D31">
        <v>1.0668</v>
      </c>
      <c r="E31">
        <f t="shared" si="10"/>
        <v>1066.8</v>
      </c>
      <c r="F31">
        <v>1.2699999999999999E-2</v>
      </c>
      <c r="G31">
        <f t="shared" si="11"/>
        <v>12.7</v>
      </c>
      <c r="H31">
        <f t="shared" si="12"/>
        <v>84</v>
      </c>
      <c r="I31">
        <v>100</v>
      </c>
      <c r="J31" t="s">
        <v>77</v>
      </c>
      <c r="K31">
        <f t="shared" si="25"/>
        <v>15</v>
      </c>
      <c r="L31">
        <f t="shared" si="26"/>
        <v>20</v>
      </c>
      <c r="M31">
        <f t="shared" si="27"/>
        <v>552000</v>
      </c>
      <c r="N31">
        <f t="shared" si="28"/>
        <v>625000</v>
      </c>
      <c r="O31">
        <f t="shared" si="29"/>
        <v>2.9888368774026359</v>
      </c>
      <c r="S31" t="s">
        <v>78</v>
      </c>
      <c r="T31" t="s">
        <v>81</v>
      </c>
      <c r="U31">
        <f t="shared" si="30"/>
        <v>19</v>
      </c>
      <c r="V31">
        <f t="shared" si="31"/>
        <v>43</v>
      </c>
      <c r="W31">
        <f t="shared" si="32"/>
        <v>0</v>
      </c>
      <c r="X31">
        <f t="shared" si="33"/>
        <v>0</v>
      </c>
      <c r="Y31">
        <v>0.9</v>
      </c>
      <c r="Z31">
        <v>2</v>
      </c>
      <c r="AB31">
        <f t="shared" si="13"/>
        <v>102.03070645435936</v>
      </c>
      <c r="AI31">
        <v>1.5</v>
      </c>
      <c r="AK31">
        <f t="shared" si="14"/>
        <v>8.6082808953605136E-2</v>
      </c>
      <c r="AQ31">
        <f t="shared" si="15"/>
        <v>0.46595416078021362</v>
      </c>
      <c r="AR31">
        <f t="shared" si="16"/>
        <v>1.9659541607802136</v>
      </c>
      <c r="AV31">
        <v>-2.307229</v>
      </c>
      <c r="AW31">
        <v>0.5852366</v>
      </c>
      <c r="AX31">
        <v>0.201322</v>
      </c>
      <c r="BJ31">
        <v>1.4274935</v>
      </c>
      <c r="BK31">
        <v>-7.1050000000000002E-3</v>
      </c>
      <c r="BL31">
        <v>5.1415999999999996E-3</v>
      </c>
      <c r="BM31">
        <v>-1.4290590000000001</v>
      </c>
      <c r="BN31">
        <v>4.9200300000000002E-2</v>
      </c>
      <c r="BO31">
        <v>0.14513599999999999</v>
      </c>
      <c r="BP31">
        <v>2.0170299999999999E-2</v>
      </c>
      <c r="BQ31">
        <v>-1.032025</v>
      </c>
      <c r="BR31">
        <f t="shared" si="17"/>
        <v>-6.8622394401109219E-2</v>
      </c>
      <c r="BS31">
        <f t="shared" si="18"/>
        <v>0</v>
      </c>
      <c r="BU31">
        <f t="shared" si="19"/>
        <v>1</v>
      </c>
      <c r="BV31">
        <f t="shared" si="20"/>
        <v>0</v>
      </c>
      <c r="BW31">
        <f t="shared" si="21"/>
        <v>1</v>
      </c>
      <c r="BZ31">
        <f t="shared" si="22"/>
        <v>-6.8622394401109219E-2</v>
      </c>
      <c r="CM31">
        <f t="shared" si="23"/>
        <v>1.1140829412852633</v>
      </c>
      <c r="CN31">
        <f t="shared" si="34"/>
        <v>3.0467728280542432</v>
      </c>
      <c r="CO31">
        <v>0.72299999999999998</v>
      </c>
      <c r="CP31">
        <v>0.3</v>
      </c>
    </row>
    <row r="32" spans="1:94" x14ac:dyDescent="0.25">
      <c r="A32">
        <v>29</v>
      </c>
      <c r="B32">
        <v>45</v>
      </c>
      <c r="C32" t="str">
        <f t="shared" si="24"/>
        <v>SSTens</v>
      </c>
      <c r="D32">
        <v>0.60960000000000003</v>
      </c>
      <c r="E32">
        <f t="shared" si="10"/>
        <v>609.6</v>
      </c>
      <c r="F32">
        <v>1.1130000000000001E-2</v>
      </c>
      <c r="G32">
        <f t="shared" si="11"/>
        <v>11.13</v>
      </c>
      <c r="H32">
        <f t="shared" si="12"/>
        <v>54.770889487870619</v>
      </c>
      <c r="I32">
        <v>150</v>
      </c>
      <c r="J32" t="s">
        <v>100</v>
      </c>
      <c r="K32">
        <f t="shared" si="25"/>
        <v>3</v>
      </c>
      <c r="L32">
        <f t="shared" si="26"/>
        <v>9</v>
      </c>
      <c r="M32">
        <f t="shared" si="27"/>
        <v>290000</v>
      </c>
      <c r="N32">
        <f t="shared" si="28"/>
        <v>414000</v>
      </c>
      <c r="O32">
        <f t="shared" si="29"/>
        <v>1.7363704307629526</v>
      </c>
      <c r="S32" t="s">
        <v>78</v>
      </c>
      <c r="T32" t="s">
        <v>81</v>
      </c>
      <c r="U32">
        <f t="shared" si="30"/>
        <v>19</v>
      </c>
      <c r="V32">
        <f t="shared" si="31"/>
        <v>43</v>
      </c>
      <c r="W32">
        <f t="shared" si="32"/>
        <v>0</v>
      </c>
      <c r="X32">
        <f t="shared" si="33"/>
        <v>0</v>
      </c>
      <c r="Y32">
        <v>0.9</v>
      </c>
      <c r="Z32">
        <v>1</v>
      </c>
      <c r="AB32">
        <f t="shared" si="13"/>
        <v>29.151630415531248</v>
      </c>
      <c r="AI32">
        <v>1.5</v>
      </c>
      <c r="AK32">
        <f t="shared" si="14"/>
        <v>2.5345463138869703E-2</v>
      </c>
      <c r="AQ32">
        <f t="shared" si="15"/>
        <v>0.20709526914689702</v>
      </c>
      <c r="AR32">
        <f t="shared" si="16"/>
        <v>1.707095269146897</v>
      </c>
      <c r="AV32">
        <v>-2.307229</v>
      </c>
      <c r="AW32">
        <v>0.5852366</v>
      </c>
      <c r="AX32">
        <v>0.201322</v>
      </c>
      <c r="BJ32">
        <v>1.4274935</v>
      </c>
      <c r="BK32">
        <v>-7.1050000000000002E-3</v>
      </c>
      <c r="BL32">
        <v>5.1415999999999996E-3</v>
      </c>
      <c r="BM32">
        <v>-1.4290590000000001</v>
      </c>
      <c r="BN32">
        <v>4.9200300000000002E-2</v>
      </c>
      <c r="BO32">
        <v>0.14513599999999999</v>
      </c>
      <c r="BP32">
        <v>2.0170299999999999E-2</v>
      </c>
      <c r="BQ32">
        <v>-1.032025</v>
      </c>
      <c r="BR32">
        <f t="shared" si="17"/>
        <v>0</v>
      </c>
      <c r="BS32">
        <f t="shared" si="18"/>
        <v>0</v>
      </c>
      <c r="BU32">
        <f t="shared" si="19"/>
        <v>0</v>
      </c>
      <c r="BV32">
        <f t="shared" si="20"/>
        <v>0</v>
      </c>
      <c r="BW32">
        <f t="shared" si="21"/>
        <v>1</v>
      </c>
      <c r="BZ32">
        <f t="shared" si="22"/>
        <v>0</v>
      </c>
      <c r="CM32">
        <f t="shared" si="23"/>
        <v>0.71452669621160059</v>
      </c>
      <c r="CN32">
        <f t="shared" si="34"/>
        <v>2.0432193898872777</v>
      </c>
      <c r="CO32">
        <v>0.72299999999999998</v>
      </c>
      <c r="CP32">
        <v>0.3</v>
      </c>
    </row>
    <row r="33" spans="1:97" x14ac:dyDescent="0.25">
      <c r="A33">
        <v>30</v>
      </c>
      <c r="B33">
        <v>60</v>
      </c>
      <c r="C33" t="str">
        <f t="shared" si="24"/>
        <v>SSTens</v>
      </c>
      <c r="D33">
        <v>0.60960000000000003</v>
      </c>
      <c r="E33">
        <f t="shared" si="10"/>
        <v>609.6</v>
      </c>
      <c r="F33">
        <v>1.1130000000000001E-2</v>
      </c>
      <c r="G33">
        <f t="shared" si="11"/>
        <v>11.13</v>
      </c>
      <c r="H33">
        <f t="shared" si="12"/>
        <v>54.770889487870619</v>
      </c>
      <c r="I33">
        <v>200</v>
      </c>
      <c r="J33" t="s">
        <v>101</v>
      </c>
      <c r="K33">
        <f t="shared" si="25"/>
        <v>3</v>
      </c>
      <c r="L33">
        <f t="shared" si="26"/>
        <v>8</v>
      </c>
      <c r="M33">
        <f t="shared" si="27"/>
        <v>241000</v>
      </c>
      <c r="N33">
        <f t="shared" si="28"/>
        <v>344000</v>
      </c>
      <c r="O33">
        <f t="shared" si="29"/>
        <v>1.1599577949833839</v>
      </c>
      <c r="S33" t="s">
        <v>78</v>
      </c>
      <c r="T33" t="s">
        <v>81</v>
      </c>
      <c r="U33">
        <f t="shared" si="30"/>
        <v>19</v>
      </c>
      <c r="V33">
        <f t="shared" si="31"/>
        <v>43</v>
      </c>
      <c r="W33">
        <f t="shared" si="32"/>
        <v>0</v>
      </c>
      <c r="X33">
        <f t="shared" si="33"/>
        <v>0</v>
      </c>
      <c r="Y33">
        <v>0.9</v>
      </c>
      <c r="Z33">
        <v>2</v>
      </c>
      <c r="AB33">
        <f t="shared" si="13"/>
        <v>58.303260831062495</v>
      </c>
      <c r="AI33">
        <v>2.75</v>
      </c>
      <c r="AK33">
        <f t="shared" si="14"/>
        <v>4.7691565842539682E-2</v>
      </c>
      <c r="AQ33">
        <f t="shared" si="15"/>
        <v>0.31151836593386051</v>
      </c>
      <c r="AR33">
        <f t="shared" si="16"/>
        <v>1.8115183659338605</v>
      </c>
      <c r="AV33">
        <v>-2.307229</v>
      </c>
      <c r="AW33">
        <v>0.5852366</v>
      </c>
      <c r="AX33">
        <v>0.201322</v>
      </c>
      <c r="BJ33">
        <v>1.4274935</v>
      </c>
      <c r="BK33">
        <v>-7.1050000000000002E-3</v>
      </c>
      <c r="BL33">
        <v>5.1415999999999996E-3</v>
      </c>
      <c r="BM33">
        <v>-1.4290590000000001</v>
      </c>
      <c r="BN33">
        <v>4.9200300000000002E-2</v>
      </c>
      <c r="BO33">
        <v>0.14513599999999999</v>
      </c>
      <c r="BP33">
        <v>2.0170299999999999E-2</v>
      </c>
      <c r="BQ33">
        <v>-1.032025</v>
      </c>
      <c r="BR33">
        <f t="shared" si="17"/>
        <v>0</v>
      </c>
      <c r="BS33">
        <f t="shared" si="18"/>
        <v>0</v>
      </c>
      <c r="BU33">
        <f t="shared" si="19"/>
        <v>0</v>
      </c>
      <c r="BV33">
        <f t="shared" si="20"/>
        <v>0</v>
      </c>
      <c r="BW33">
        <f t="shared" si="21"/>
        <v>1</v>
      </c>
      <c r="BZ33">
        <f t="shared" si="22"/>
        <v>0</v>
      </c>
      <c r="CM33">
        <f t="shared" si="23"/>
        <v>0.85407247289628985</v>
      </c>
      <c r="CN33">
        <f t="shared" si="34"/>
        <v>2.3491944282446702</v>
      </c>
      <c r="CO33">
        <v>0.72299999999999998</v>
      </c>
      <c r="CP33">
        <v>0.3</v>
      </c>
    </row>
    <row r="34" spans="1:97" x14ac:dyDescent="0.25">
      <c r="A34">
        <v>31</v>
      </c>
      <c r="B34">
        <v>60</v>
      </c>
      <c r="C34" t="str">
        <f t="shared" si="24"/>
        <v>SSTens</v>
      </c>
      <c r="D34">
        <v>0.20319999999999999</v>
      </c>
      <c r="E34">
        <f t="shared" si="10"/>
        <v>203.2</v>
      </c>
      <c r="F34">
        <v>5.5599999999999998E-3</v>
      </c>
      <c r="G34">
        <f t="shared" si="11"/>
        <v>5.56</v>
      </c>
      <c r="H34">
        <f t="shared" si="12"/>
        <v>36.546762589928058</v>
      </c>
      <c r="I34">
        <v>15</v>
      </c>
      <c r="J34" t="s">
        <v>70</v>
      </c>
      <c r="K34">
        <f t="shared" si="25"/>
        <v>8</v>
      </c>
      <c r="L34">
        <f t="shared" si="26"/>
        <v>10</v>
      </c>
      <c r="M34">
        <f t="shared" si="27"/>
        <v>359000</v>
      </c>
      <c r="N34">
        <f t="shared" si="28"/>
        <v>455000</v>
      </c>
      <c r="O34">
        <f t="shared" si="29"/>
        <v>1.9969902892117808</v>
      </c>
      <c r="S34" t="s">
        <v>71</v>
      </c>
      <c r="T34" t="s">
        <v>72</v>
      </c>
      <c r="U34">
        <f t="shared" si="30"/>
        <v>17.5</v>
      </c>
      <c r="V34">
        <f t="shared" si="31"/>
        <v>0</v>
      </c>
      <c r="W34">
        <f t="shared" si="32"/>
        <v>37.5</v>
      </c>
      <c r="X34">
        <f t="shared" si="33"/>
        <v>1.1000000000000001</v>
      </c>
      <c r="Y34">
        <v>0.9</v>
      </c>
      <c r="Z34">
        <v>0</v>
      </c>
      <c r="AB34">
        <f t="shared" si="13"/>
        <v>26.332829622389642</v>
      </c>
      <c r="AI34">
        <v>0.75</v>
      </c>
      <c r="AK34">
        <f t="shared" si="14"/>
        <v>2.350134533617947E-2</v>
      </c>
      <c r="AQ34">
        <f t="shared" si="15"/>
        <v>7.0401619555061065E-2</v>
      </c>
      <c r="AR34">
        <f t="shared" si="16"/>
        <v>1.070401619555061</v>
      </c>
      <c r="AV34">
        <v>-2.307229</v>
      </c>
      <c r="AW34">
        <v>0.5852366</v>
      </c>
      <c r="AX34">
        <v>0.201322</v>
      </c>
      <c r="BJ34">
        <v>1.4274935</v>
      </c>
      <c r="BK34">
        <v>-7.1050000000000002E-3</v>
      </c>
      <c r="BL34">
        <v>5.1415999999999996E-3</v>
      </c>
      <c r="BM34">
        <v>-1.4290590000000001</v>
      </c>
      <c r="BN34">
        <v>4.9200300000000002E-2</v>
      </c>
      <c r="BO34">
        <v>0.14513599999999999</v>
      </c>
      <c r="BP34">
        <v>2.0170299999999999E-2</v>
      </c>
      <c r="BQ34">
        <v>-1.032025</v>
      </c>
      <c r="BR34">
        <f t="shared" si="17"/>
        <v>-0.51145365159113909</v>
      </c>
      <c r="BS34">
        <f t="shared" si="18"/>
        <v>0</v>
      </c>
      <c r="BU34">
        <f t="shared" si="19"/>
        <v>1</v>
      </c>
      <c r="BV34">
        <f t="shared" si="20"/>
        <v>0</v>
      </c>
      <c r="BW34">
        <f t="shared" si="21"/>
        <v>0</v>
      </c>
      <c r="BZ34">
        <f t="shared" si="22"/>
        <v>-0.51145365159113909</v>
      </c>
      <c r="CM34">
        <f t="shared" si="23"/>
        <v>-0.58479113632895929</v>
      </c>
      <c r="CN34">
        <f t="shared" si="34"/>
        <v>0.55722223314007857</v>
      </c>
      <c r="CO34">
        <v>0.72299999999999998</v>
      </c>
      <c r="CP34">
        <v>0.3</v>
      </c>
    </row>
    <row r="35" spans="1:97" x14ac:dyDescent="0.25">
      <c r="A35">
        <v>32</v>
      </c>
      <c r="B35">
        <v>60</v>
      </c>
      <c r="C35" t="str">
        <f t="shared" si="24"/>
        <v>SSTens</v>
      </c>
      <c r="D35">
        <v>0.30480000000000002</v>
      </c>
      <c r="E35">
        <f t="shared" si="10"/>
        <v>304.8</v>
      </c>
      <c r="F35">
        <v>7.1399999999999996E-3</v>
      </c>
      <c r="G35">
        <f t="shared" si="11"/>
        <v>7.14</v>
      </c>
      <c r="H35">
        <f t="shared" si="12"/>
        <v>42.689075630252105</v>
      </c>
      <c r="I35">
        <v>30</v>
      </c>
      <c r="J35" t="s">
        <v>73</v>
      </c>
      <c r="K35">
        <f t="shared" si="25"/>
        <v>8</v>
      </c>
      <c r="L35">
        <f t="shared" si="26"/>
        <v>12</v>
      </c>
      <c r="M35">
        <f t="shared" si="27"/>
        <v>414000</v>
      </c>
      <c r="N35">
        <f t="shared" si="28"/>
        <v>517000</v>
      </c>
      <c r="O35">
        <f t="shared" si="29"/>
        <v>2.5466769467238102</v>
      </c>
      <c r="S35" t="s">
        <v>71</v>
      </c>
      <c r="T35" t="s">
        <v>72</v>
      </c>
      <c r="U35">
        <f t="shared" si="30"/>
        <v>17.5</v>
      </c>
      <c r="V35">
        <f t="shared" si="31"/>
        <v>0</v>
      </c>
      <c r="W35">
        <f t="shared" si="32"/>
        <v>37.5</v>
      </c>
      <c r="X35">
        <f t="shared" si="33"/>
        <v>1.1000000000000001</v>
      </c>
      <c r="Y35">
        <v>0.9</v>
      </c>
      <c r="Z35">
        <v>0</v>
      </c>
      <c r="AB35">
        <f t="shared" si="13"/>
        <v>39.499244433584465</v>
      </c>
      <c r="AI35">
        <v>0.75</v>
      </c>
      <c r="AK35">
        <f t="shared" si="14"/>
        <v>3.4929626553889231E-2</v>
      </c>
      <c r="AQ35">
        <f t="shared" si="15"/>
        <v>0.15301812852026347</v>
      </c>
      <c r="AR35">
        <f t="shared" si="16"/>
        <v>1.1530181285202634</v>
      </c>
      <c r="AV35">
        <v>-2.307229</v>
      </c>
      <c r="AW35">
        <v>0.5852366</v>
      </c>
      <c r="AX35">
        <v>0.201322</v>
      </c>
      <c r="BJ35">
        <v>1.4274935</v>
      </c>
      <c r="BK35">
        <v>-7.1050000000000002E-3</v>
      </c>
      <c r="BL35">
        <v>5.1415999999999996E-3</v>
      </c>
      <c r="BM35">
        <v>-1.4290590000000001</v>
      </c>
      <c r="BN35">
        <v>4.9200300000000002E-2</v>
      </c>
      <c r="BO35">
        <v>0.14513599999999999</v>
      </c>
      <c r="BP35">
        <v>2.0170299999999999E-2</v>
      </c>
      <c r="BQ35">
        <v>-1.032025</v>
      </c>
      <c r="BR35">
        <f t="shared" si="17"/>
        <v>-0.60214698226649055</v>
      </c>
      <c r="BS35">
        <f t="shared" si="18"/>
        <v>0</v>
      </c>
      <c r="BU35">
        <f t="shared" si="19"/>
        <v>1</v>
      </c>
      <c r="BV35">
        <f t="shared" si="20"/>
        <v>0</v>
      </c>
      <c r="BW35">
        <f t="shared" si="21"/>
        <v>0</v>
      </c>
      <c r="BZ35">
        <f t="shared" si="22"/>
        <v>-0.60214698226649055</v>
      </c>
      <c r="CM35">
        <f t="shared" si="23"/>
        <v>-0.56189437101015471</v>
      </c>
      <c r="CN35">
        <f t="shared" si="34"/>
        <v>0.57012800624291049</v>
      </c>
      <c r="CO35">
        <v>0.72299999999999998</v>
      </c>
      <c r="CP35">
        <v>0.3</v>
      </c>
    </row>
    <row r="36" spans="1:97" x14ac:dyDescent="0.25">
      <c r="A36">
        <v>33</v>
      </c>
      <c r="B36">
        <v>75</v>
      </c>
      <c r="C36" t="str">
        <f t="shared" si="24"/>
        <v>SSTens</v>
      </c>
      <c r="D36">
        <v>0.40639999999999998</v>
      </c>
      <c r="E36">
        <f t="shared" si="10"/>
        <v>406.4</v>
      </c>
      <c r="F36">
        <v>9.5299999999999985E-3</v>
      </c>
      <c r="G36">
        <f t="shared" si="11"/>
        <v>9.5299999999999994</v>
      </c>
      <c r="H36">
        <f t="shared" si="12"/>
        <v>42.644281217208821</v>
      </c>
      <c r="I36">
        <v>50</v>
      </c>
      <c r="J36" t="s">
        <v>75</v>
      </c>
      <c r="K36">
        <f t="shared" si="25"/>
        <v>14</v>
      </c>
      <c r="L36">
        <f t="shared" si="26"/>
        <v>15</v>
      </c>
      <c r="M36">
        <f t="shared" si="27"/>
        <v>483000</v>
      </c>
      <c r="N36">
        <f t="shared" si="28"/>
        <v>565000</v>
      </c>
      <c r="O36">
        <f t="shared" si="29"/>
        <v>2.8799444073326219</v>
      </c>
      <c r="S36" t="s">
        <v>71</v>
      </c>
      <c r="T36" t="s">
        <v>72</v>
      </c>
      <c r="U36">
        <f t="shared" si="30"/>
        <v>17.5</v>
      </c>
      <c r="V36">
        <f t="shared" si="31"/>
        <v>0</v>
      </c>
      <c r="W36">
        <f t="shared" si="32"/>
        <v>37.5</v>
      </c>
      <c r="X36">
        <f t="shared" si="33"/>
        <v>1.1000000000000001</v>
      </c>
      <c r="Y36">
        <v>0.9</v>
      </c>
      <c r="Z36">
        <v>0</v>
      </c>
      <c r="AB36">
        <f t="shared" si="13"/>
        <v>52.665659244779285</v>
      </c>
      <c r="AI36">
        <v>0.75</v>
      </c>
      <c r="AK36">
        <f t="shared" si="14"/>
        <v>4.5980584899860635E-2</v>
      </c>
      <c r="AQ36">
        <f t="shared" si="15"/>
        <v>0.22103278039106702</v>
      </c>
      <c r="AR36">
        <f t="shared" si="16"/>
        <v>1.221032780391067</v>
      </c>
      <c r="AV36">
        <v>-2.307229</v>
      </c>
      <c r="AW36">
        <v>0.5852366</v>
      </c>
      <c r="AX36">
        <v>0.201322</v>
      </c>
      <c r="BJ36">
        <v>1.4274935</v>
      </c>
      <c r="BK36">
        <v>-7.1050000000000002E-3</v>
      </c>
      <c r="BL36">
        <v>5.1415999999999996E-3</v>
      </c>
      <c r="BM36">
        <v>-1.4290590000000001</v>
      </c>
      <c r="BN36">
        <v>4.9200300000000002E-2</v>
      </c>
      <c r="BO36">
        <v>0.14513599999999999</v>
      </c>
      <c r="BP36">
        <v>2.0170299999999999E-2</v>
      </c>
      <c r="BQ36">
        <v>-1.032025</v>
      </c>
      <c r="BR36">
        <f t="shared" si="17"/>
        <v>-0.6473721201748025</v>
      </c>
      <c r="BS36">
        <f t="shared" si="18"/>
        <v>0</v>
      </c>
      <c r="BU36">
        <f t="shared" si="19"/>
        <v>1</v>
      </c>
      <c r="BV36">
        <f t="shared" si="20"/>
        <v>0</v>
      </c>
      <c r="BW36">
        <f t="shared" si="21"/>
        <v>0</v>
      </c>
      <c r="BZ36">
        <f t="shared" si="22"/>
        <v>-0.6473721201748025</v>
      </c>
      <c r="CM36">
        <f t="shared" si="23"/>
        <v>-0.59642764612512122</v>
      </c>
      <c r="CN36">
        <f t="shared" si="34"/>
        <v>0.55077569153060479</v>
      </c>
      <c r="CO36">
        <v>0.72299999999999998</v>
      </c>
      <c r="CP36">
        <v>0.3</v>
      </c>
    </row>
    <row r="37" spans="1:97" x14ac:dyDescent="0.25">
      <c r="A37">
        <v>34</v>
      </c>
      <c r="B37">
        <v>75</v>
      </c>
      <c r="C37" t="str">
        <f t="shared" si="24"/>
        <v>SSTens</v>
      </c>
      <c r="D37">
        <v>0.50800000000000001</v>
      </c>
      <c r="E37">
        <f t="shared" si="10"/>
        <v>508</v>
      </c>
      <c r="F37">
        <v>1.1130000000000001E-2</v>
      </c>
      <c r="G37">
        <f t="shared" si="11"/>
        <v>11.13</v>
      </c>
      <c r="H37">
        <f t="shared" si="12"/>
        <v>45.642407906558844</v>
      </c>
      <c r="I37">
        <v>100</v>
      </c>
      <c r="J37" t="s">
        <v>77</v>
      </c>
      <c r="K37">
        <f t="shared" si="25"/>
        <v>15</v>
      </c>
      <c r="L37">
        <f t="shared" si="26"/>
        <v>20</v>
      </c>
      <c r="M37">
        <f t="shared" si="27"/>
        <v>552000</v>
      </c>
      <c r="N37">
        <f t="shared" si="28"/>
        <v>625000</v>
      </c>
      <c r="O37">
        <f t="shared" si="29"/>
        <v>2.9888368774026359</v>
      </c>
      <c r="S37" t="s">
        <v>71</v>
      </c>
      <c r="T37" t="s">
        <v>72</v>
      </c>
      <c r="U37">
        <f t="shared" si="30"/>
        <v>17.5</v>
      </c>
      <c r="V37">
        <f t="shared" si="31"/>
        <v>0</v>
      </c>
      <c r="W37">
        <f t="shared" si="32"/>
        <v>37.5</v>
      </c>
      <c r="X37">
        <f t="shared" si="33"/>
        <v>1.1000000000000001</v>
      </c>
      <c r="Y37">
        <v>0.9</v>
      </c>
      <c r="Z37">
        <v>0</v>
      </c>
      <c r="AB37">
        <f t="shared" si="13"/>
        <v>65.832074055974104</v>
      </c>
      <c r="AI37">
        <v>0.75</v>
      </c>
      <c r="AK37">
        <f t="shared" si="14"/>
        <v>5.6761916710913081E-2</v>
      </c>
      <c r="AQ37">
        <f t="shared" si="15"/>
        <v>0.30141505236031529</v>
      </c>
      <c r="AR37">
        <f t="shared" si="16"/>
        <v>1.8014150523603152</v>
      </c>
      <c r="AV37">
        <v>-2.307229</v>
      </c>
      <c r="AW37">
        <v>0.5852366</v>
      </c>
      <c r="AX37">
        <v>0.201322</v>
      </c>
      <c r="BJ37">
        <v>1.4274935</v>
      </c>
      <c r="BK37">
        <v>-7.1050000000000002E-3</v>
      </c>
      <c r="BL37">
        <v>5.1415999999999996E-3</v>
      </c>
      <c r="BM37">
        <v>-1.4290590000000001</v>
      </c>
      <c r="BN37">
        <v>4.9200300000000002E-2</v>
      </c>
      <c r="BO37">
        <v>0.14513599999999999</v>
      </c>
      <c r="BP37">
        <v>2.0170299999999999E-2</v>
      </c>
      <c r="BQ37">
        <v>-1.032025</v>
      </c>
      <c r="BR37">
        <f t="shared" si="17"/>
        <v>-0.70363623213972026</v>
      </c>
      <c r="BS37">
        <f t="shared" si="18"/>
        <v>0</v>
      </c>
      <c r="BU37">
        <f t="shared" si="19"/>
        <v>1</v>
      </c>
      <c r="BV37">
        <f t="shared" si="20"/>
        <v>0</v>
      </c>
      <c r="BW37">
        <f t="shared" si="21"/>
        <v>0</v>
      </c>
      <c r="BZ37">
        <f t="shared" si="22"/>
        <v>-0.70363623213972026</v>
      </c>
      <c r="CM37">
        <f t="shared" si="23"/>
        <v>-0.59886235386354869</v>
      </c>
      <c r="CN37">
        <f t="shared" si="34"/>
        <v>0.54943634481282166</v>
      </c>
      <c r="CO37">
        <v>0.72299999999999998</v>
      </c>
      <c r="CP37">
        <v>0.3</v>
      </c>
    </row>
    <row r="38" spans="1:97" x14ac:dyDescent="0.25">
      <c r="A38">
        <v>35</v>
      </c>
      <c r="B38">
        <v>75</v>
      </c>
      <c r="C38" t="str">
        <f t="shared" si="24"/>
        <v>SSTens</v>
      </c>
      <c r="D38">
        <v>0.60960000000000003</v>
      </c>
      <c r="E38">
        <f t="shared" si="10"/>
        <v>609.6</v>
      </c>
      <c r="F38">
        <v>9.5299999999999985E-3</v>
      </c>
      <c r="G38">
        <f t="shared" si="11"/>
        <v>9.5299999999999994</v>
      </c>
      <c r="H38">
        <f t="shared" si="12"/>
        <v>63.966421825813235</v>
      </c>
      <c r="I38">
        <v>15</v>
      </c>
      <c r="J38" t="s">
        <v>70</v>
      </c>
      <c r="K38">
        <f t="shared" si="25"/>
        <v>8</v>
      </c>
      <c r="L38">
        <f t="shared" si="26"/>
        <v>10</v>
      </c>
      <c r="M38">
        <f t="shared" si="27"/>
        <v>359000</v>
      </c>
      <c r="N38">
        <f t="shared" si="28"/>
        <v>455000</v>
      </c>
      <c r="O38">
        <f t="shared" si="29"/>
        <v>1.9969902892117808</v>
      </c>
      <c r="S38" t="s">
        <v>71</v>
      </c>
      <c r="T38" t="s">
        <v>74</v>
      </c>
      <c r="U38">
        <f t="shared" si="30"/>
        <v>18</v>
      </c>
      <c r="V38">
        <f t="shared" si="31"/>
        <v>0</v>
      </c>
      <c r="W38">
        <f t="shared" si="32"/>
        <v>75</v>
      </c>
      <c r="X38">
        <f t="shared" si="33"/>
        <v>0.72</v>
      </c>
      <c r="Y38">
        <v>0.9</v>
      </c>
      <c r="Z38">
        <v>0</v>
      </c>
      <c r="AB38">
        <f t="shared" si="13"/>
        <v>103.41620360793024</v>
      </c>
      <c r="AI38">
        <v>0.75</v>
      </c>
      <c r="AK38">
        <f t="shared" si="14"/>
        <v>8.5938878264467361E-2</v>
      </c>
      <c r="AQ38">
        <f t="shared" si="15"/>
        <v>0.34319449854464201</v>
      </c>
      <c r="AR38">
        <f t="shared" si="16"/>
        <v>1.343194498544642</v>
      </c>
      <c r="AV38">
        <v>-2.307229</v>
      </c>
      <c r="AW38">
        <v>0.5852366</v>
      </c>
      <c r="AX38">
        <v>0.201322</v>
      </c>
      <c r="BJ38">
        <v>1.4274935</v>
      </c>
      <c r="BK38">
        <v>-7.1050000000000002E-3</v>
      </c>
      <c r="BL38">
        <v>5.1415999999999996E-3</v>
      </c>
      <c r="BM38">
        <v>-1.4290590000000001</v>
      </c>
      <c r="BN38">
        <v>4.9200300000000002E-2</v>
      </c>
      <c r="BO38">
        <v>0.14513599999999999</v>
      </c>
      <c r="BP38">
        <v>2.0170299999999999E-2</v>
      </c>
      <c r="BQ38">
        <v>-1.032025</v>
      </c>
      <c r="BR38">
        <f t="shared" si="17"/>
        <v>-0.64451052521418639</v>
      </c>
      <c r="BS38">
        <f t="shared" si="18"/>
        <v>0</v>
      </c>
      <c r="BU38">
        <f t="shared" si="19"/>
        <v>1</v>
      </c>
      <c r="BV38">
        <f t="shared" si="20"/>
        <v>0</v>
      </c>
      <c r="BW38">
        <f t="shared" si="21"/>
        <v>0</v>
      </c>
      <c r="BZ38">
        <f t="shared" si="22"/>
        <v>-0.64451052521418639</v>
      </c>
      <c r="CM38">
        <f t="shared" si="23"/>
        <v>-0.35698842861680458</v>
      </c>
      <c r="CN38">
        <f t="shared" si="34"/>
        <v>0.69978059511718083</v>
      </c>
      <c r="CO38">
        <v>0.72299999999999998</v>
      </c>
      <c r="CP38">
        <v>0.3</v>
      </c>
    </row>
    <row r="39" spans="1:97" x14ac:dyDescent="0.25">
      <c r="A39">
        <v>36</v>
      </c>
      <c r="B39">
        <v>80</v>
      </c>
      <c r="C39" t="str">
        <f t="shared" si="24"/>
        <v>SSTens</v>
      </c>
      <c r="D39">
        <v>0.76200000000000001</v>
      </c>
      <c r="E39">
        <f t="shared" si="10"/>
        <v>762</v>
      </c>
      <c r="F39">
        <v>1.2699999999999999E-2</v>
      </c>
      <c r="G39">
        <f t="shared" si="11"/>
        <v>12.7</v>
      </c>
      <c r="H39">
        <f t="shared" si="12"/>
        <v>60</v>
      </c>
      <c r="I39">
        <v>30</v>
      </c>
      <c r="J39" t="s">
        <v>73</v>
      </c>
      <c r="K39">
        <f t="shared" si="25"/>
        <v>8</v>
      </c>
      <c r="L39">
        <f t="shared" si="26"/>
        <v>12</v>
      </c>
      <c r="M39">
        <f t="shared" si="27"/>
        <v>414000</v>
      </c>
      <c r="N39">
        <f t="shared" si="28"/>
        <v>517000</v>
      </c>
      <c r="O39">
        <f t="shared" si="29"/>
        <v>2.5466769467238102</v>
      </c>
      <c r="S39" t="s">
        <v>71</v>
      </c>
      <c r="T39" t="s">
        <v>74</v>
      </c>
      <c r="U39">
        <f t="shared" si="30"/>
        <v>18</v>
      </c>
      <c r="V39">
        <f t="shared" si="31"/>
        <v>0</v>
      </c>
      <c r="W39">
        <f t="shared" si="32"/>
        <v>75</v>
      </c>
      <c r="X39">
        <f t="shared" si="33"/>
        <v>0.72</v>
      </c>
      <c r="Y39">
        <v>0.9</v>
      </c>
      <c r="Z39">
        <v>0</v>
      </c>
      <c r="AB39">
        <f t="shared" si="13"/>
        <v>129.2702545099128</v>
      </c>
      <c r="AI39">
        <v>1.5</v>
      </c>
      <c r="AK39">
        <f t="shared" si="14"/>
        <v>0.10764414471571518</v>
      </c>
      <c r="AQ39">
        <f t="shared" si="15"/>
        <v>0.46262651833971924</v>
      </c>
      <c r="AR39">
        <f t="shared" si="16"/>
        <v>1.4626265183397194</v>
      </c>
      <c r="AV39">
        <v>-2.307229</v>
      </c>
      <c r="AW39">
        <v>0.5852366</v>
      </c>
      <c r="AX39">
        <v>0.201322</v>
      </c>
      <c r="BJ39">
        <v>1.4274935</v>
      </c>
      <c r="BK39">
        <v>-7.1050000000000002E-3</v>
      </c>
      <c r="BL39">
        <v>5.1415999999999996E-3</v>
      </c>
      <c r="BM39">
        <v>-1.4290590000000001</v>
      </c>
      <c r="BN39">
        <v>4.9200300000000002E-2</v>
      </c>
      <c r="BO39">
        <v>0.14513599999999999</v>
      </c>
      <c r="BP39">
        <v>2.0170299999999999E-2</v>
      </c>
      <c r="BQ39">
        <v>-1.032025</v>
      </c>
      <c r="BR39">
        <f t="shared" si="17"/>
        <v>-4.6730844270599627E-2</v>
      </c>
      <c r="BS39">
        <f t="shared" si="18"/>
        <v>0</v>
      </c>
      <c r="BU39">
        <f t="shared" si="19"/>
        <v>1</v>
      </c>
      <c r="BV39">
        <f t="shared" si="20"/>
        <v>0</v>
      </c>
      <c r="BW39">
        <f t="shared" si="21"/>
        <v>0</v>
      </c>
      <c r="BZ39">
        <f t="shared" si="22"/>
        <v>-4.6730844270599627E-2</v>
      </c>
      <c r="CM39">
        <f t="shared" si="23"/>
        <v>1.8835024417450885E-2</v>
      </c>
      <c r="CN39">
        <f t="shared" si="34"/>
        <v>1.0190135223999457</v>
      </c>
      <c r="CO39">
        <v>0.72299999999999998</v>
      </c>
      <c r="CP39">
        <v>0.3</v>
      </c>
    </row>
    <row r="40" spans="1:97" x14ac:dyDescent="0.25">
      <c r="A40">
        <v>37</v>
      </c>
      <c r="B40">
        <v>80</v>
      </c>
      <c r="C40" t="str">
        <f t="shared" si="24"/>
        <v>SSTens</v>
      </c>
      <c r="D40">
        <v>0.86360000000000003</v>
      </c>
      <c r="E40">
        <f t="shared" si="10"/>
        <v>863.6</v>
      </c>
      <c r="F40">
        <v>1.1130000000000001E-2</v>
      </c>
      <c r="G40">
        <f t="shared" si="11"/>
        <v>11.13</v>
      </c>
      <c r="H40">
        <f t="shared" si="12"/>
        <v>77.592093441150041</v>
      </c>
      <c r="I40">
        <v>50</v>
      </c>
      <c r="J40" t="s">
        <v>75</v>
      </c>
      <c r="K40">
        <f t="shared" si="25"/>
        <v>14</v>
      </c>
      <c r="L40">
        <f t="shared" si="26"/>
        <v>15</v>
      </c>
      <c r="M40">
        <f t="shared" si="27"/>
        <v>483000</v>
      </c>
      <c r="N40">
        <f t="shared" si="28"/>
        <v>565000</v>
      </c>
      <c r="O40">
        <f t="shared" si="29"/>
        <v>2.8799444073326219</v>
      </c>
      <c r="S40" t="s">
        <v>71</v>
      </c>
      <c r="T40" t="s">
        <v>74</v>
      </c>
      <c r="U40">
        <f t="shared" si="30"/>
        <v>18</v>
      </c>
      <c r="V40">
        <f t="shared" si="31"/>
        <v>0</v>
      </c>
      <c r="W40">
        <f t="shared" si="32"/>
        <v>75</v>
      </c>
      <c r="X40">
        <f t="shared" si="33"/>
        <v>0.72</v>
      </c>
      <c r="Y40">
        <v>0.9</v>
      </c>
      <c r="Z40">
        <v>0</v>
      </c>
      <c r="AB40">
        <f t="shared" si="13"/>
        <v>146.50628844456784</v>
      </c>
      <c r="AI40">
        <v>1.5</v>
      </c>
      <c r="AK40">
        <f t="shared" si="14"/>
        <v>0.12199149455168937</v>
      </c>
      <c r="AQ40">
        <f t="shared" si="15"/>
        <v>0.57931434087634726</v>
      </c>
      <c r="AR40">
        <f t="shared" si="16"/>
        <v>1.5793143408763473</v>
      </c>
      <c r="AV40">
        <v>-2.307229</v>
      </c>
      <c r="AW40">
        <v>0.5852366</v>
      </c>
      <c r="AX40">
        <v>0.201322</v>
      </c>
      <c r="BJ40">
        <v>1.4274935</v>
      </c>
      <c r="BK40">
        <v>-7.1050000000000002E-3</v>
      </c>
      <c r="BL40">
        <v>5.1415999999999996E-3</v>
      </c>
      <c r="BM40">
        <v>-1.4290590000000001</v>
      </c>
      <c r="BN40">
        <v>4.9200300000000002E-2</v>
      </c>
      <c r="BO40">
        <v>0.14513599999999999</v>
      </c>
      <c r="BP40">
        <v>2.0170299999999999E-2</v>
      </c>
      <c r="BQ40">
        <v>-1.032025</v>
      </c>
      <c r="BR40">
        <f t="shared" si="17"/>
        <v>-0.13656097636803749</v>
      </c>
      <c r="BS40">
        <f t="shared" si="18"/>
        <v>0</v>
      </c>
      <c r="BU40">
        <f t="shared" si="19"/>
        <v>1</v>
      </c>
      <c r="BV40">
        <f t="shared" si="20"/>
        <v>0</v>
      </c>
      <c r="BW40">
        <f t="shared" si="21"/>
        <v>0</v>
      </c>
      <c r="BZ40">
        <f t="shared" si="22"/>
        <v>-0.13656097636803749</v>
      </c>
      <c r="CM40">
        <f t="shared" si="23"/>
        <v>3.4566429204756499E-2</v>
      </c>
      <c r="CN40">
        <f t="shared" si="34"/>
        <v>1.0351707916646211</v>
      </c>
      <c r="CO40">
        <v>0.72299999999999998</v>
      </c>
      <c r="CP40">
        <v>0.3</v>
      </c>
    </row>
    <row r="41" spans="1:97" x14ac:dyDescent="0.25">
      <c r="A41">
        <v>38</v>
      </c>
      <c r="B41">
        <v>85</v>
      </c>
      <c r="C41" t="str">
        <f t="shared" si="24"/>
        <v>SSTens</v>
      </c>
      <c r="D41">
        <v>1.0668</v>
      </c>
      <c r="E41">
        <f t="shared" si="10"/>
        <v>1066.8</v>
      </c>
      <c r="F41">
        <v>1.2699999999999999E-2</v>
      </c>
      <c r="G41">
        <f t="shared" si="11"/>
        <v>12.7</v>
      </c>
      <c r="H41">
        <f t="shared" si="12"/>
        <v>84</v>
      </c>
      <c r="I41">
        <v>100</v>
      </c>
      <c r="J41" t="s">
        <v>77</v>
      </c>
      <c r="K41">
        <f t="shared" si="25"/>
        <v>15</v>
      </c>
      <c r="L41">
        <f t="shared" si="26"/>
        <v>20</v>
      </c>
      <c r="M41">
        <f t="shared" si="27"/>
        <v>552000</v>
      </c>
      <c r="N41">
        <f t="shared" si="28"/>
        <v>625000</v>
      </c>
      <c r="O41">
        <f t="shared" si="29"/>
        <v>2.9888368774026359</v>
      </c>
      <c r="S41" t="s">
        <v>71</v>
      </c>
      <c r="T41" t="s">
        <v>76</v>
      </c>
      <c r="U41">
        <f t="shared" si="30"/>
        <v>18.5</v>
      </c>
      <c r="V41">
        <f t="shared" si="31"/>
        <v>0</v>
      </c>
      <c r="W41">
        <f t="shared" si="32"/>
        <v>125</v>
      </c>
      <c r="X41">
        <f t="shared" si="33"/>
        <v>0.4</v>
      </c>
      <c r="Y41">
        <v>0.9</v>
      </c>
      <c r="Z41">
        <v>0</v>
      </c>
      <c r="AB41">
        <f t="shared" si="13"/>
        <v>167.57255214247957</v>
      </c>
      <c r="AI41">
        <v>1.5</v>
      </c>
      <c r="AK41">
        <f t="shared" si="14"/>
        <v>0.13917170396098252</v>
      </c>
      <c r="AQ41">
        <f t="shared" si="15"/>
        <v>0.70118132861093019</v>
      </c>
      <c r="AR41">
        <f t="shared" si="16"/>
        <v>2.2011813286109301</v>
      </c>
      <c r="AV41">
        <v>-2.307229</v>
      </c>
      <c r="AW41">
        <v>0.5852366</v>
      </c>
      <c r="AX41">
        <v>0.201322</v>
      </c>
      <c r="BJ41">
        <v>1.4274935</v>
      </c>
      <c r="BK41">
        <v>-7.1050000000000002E-3</v>
      </c>
      <c r="BL41">
        <v>5.1415999999999996E-3</v>
      </c>
      <c r="BM41">
        <v>-1.4290590000000001</v>
      </c>
      <c r="BN41">
        <v>4.9200300000000002E-2</v>
      </c>
      <c r="BO41">
        <v>0.14513599999999999</v>
      </c>
      <c r="BP41">
        <v>2.0170299999999999E-2</v>
      </c>
      <c r="BQ41">
        <v>-1.032025</v>
      </c>
      <c r="BR41">
        <f t="shared" si="17"/>
        <v>-0.19777054799268215</v>
      </c>
      <c r="BS41">
        <f t="shared" si="18"/>
        <v>0</v>
      </c>
      <c r="BU41">
        <f t="shared" si="19"/>
        <v>1</v>
      </c>
      <c r="BV41">
        <f t="shared" si="20"/>
        <v>0</v>
      </c>
      <c r="BW41">
        <f t="shared" si="21"/>
        <v>0</v>
      </c>
      <c r="BZ41">
        <f t="shared" si="22"/>
        <v>-0.19777054799268215</v>
      </c>
      <c r="CM41">
        <f t="shared" si="23"/>
        <v>-1.0808663411078889E-2</v>
      </c>
      <c r="CN41">
        <f t="shared" si="34"/>
        <v>0.98924954030109691</v>
      </c>
      <c r="CO41">
        <v>0.72299999999999998</v>
      </c>
      <c r="CP41">
        <v>0.3</v>
      </c>
    </row>
    <row r="42" spans="1:97" x14ac:dyDescent="0.25">
      <c r="A42">
        <v>39</v>
      </c>
      <c r="B42">
        <v>85</v>
      </c>
      <c r="C42" t="str">
        <f t="shared" si="24"/>
        <v>SSTens</v>
      </c>
      <c r="D42">
        <v>0.60960000000000003</v>
      </c>
      <c r="E42">
        <f t="shared" si="10"/>
        <v>609.6</v>
      </c>
      <c r="F42">
        <v>1.1130000000000001E-2</v>
      </c>
      <c r="G42">
        <f t="shared" si="11"/>
        <v>11.13</v>
      </c>
      <c r="H42">
        <f t="shared" si="12"/>
        <v>54.770889487870619</v>
      </c>
      <c r="I42">
        <v>150</v>
      </c>
      <c r="J42" t="s">
        <v>100</v>
      </c>
      <c r="K42">
        <f t="shared" si="25"/>
        <v>3</v>
      </c>
      <c r="L42">
        <f t="shared" si="26"/>
        <v>9</v>
      </c>
      <c r="M42">
        <f t="shared" si="27"/>
        <v>290000</v>
      </c>
      <c r="N42">
        <f t="shared" si="28"/>
        <v>414000</v>
      </c>
      <c r="O42">
        <f t="shared" si="29"/>
        <v>1.7363704307629526</v>
      </c>
      <c r="S42" t="s">
        <v>71</v>
      </c>
      <c r="T42" t="s">
        <v>76</v>
      </c>
      <c r="U42">
        <f t="shared" si="30"/>
        <v>18.5</v>
      </c>
      <c r="V42">
        <f t="shared" si="31"/>
        <v>0</v>
      </c>
      <c r="W42">
        <f t="shared" si="32"/>
        <v>125</v>
      </c>
      <c r="X42">
        <f t="shared" si="33"/>
        <v>0.4</v>
      </c>
      <c r="Y42">
        <v>0.9</v>
      </c>
      <c r="Z42">
        <v>0</v>
      </c>
      <c r="AB42">
        <f t="shared" si="13"/>
        <v>95.755744081416907</v>
      </c>
      <c r="AI42">
        <v>7.5</v>
      </c>
      <c r="AK42">
        <f t="shared" si="14"/>
        <v>7.9294795208237082E-2</v>
      </c>
      <c r="AQ42">
        <f t="shared" si="15"/>
        <v>0.42306301468311602</v>
      </c>
      <c r="AR42">
        <f t="shared" si="16"/>
        <v>1.923063014683116</v>
      </c>
      <c r="AV42">
        <v>-2.307229</v>
      </c>
      <c r="AW42">
        <v>0.5852366</v>
      </c>
      <c r="AX42">
        <v>0.201322</v>
      </c>
      <c r="BJ42">
        <v>1.4274935</v>
      </c>
      <c r="BK42">
        <v>-7.1050000000000002E-3</v>
      </c>
      <c r="BL42">
        <v>5.1415999999999996E-3</v>
      </c>
      <c r="BM42">
        <v>-1.4290590000000001</v>
      </c>
      <c r="BN42">
        <v>4.9200300000000002E-2</v>
      </c>
      <c r="BO42">
        <v>0.14513599999999999</v>
      </c>
      <c r="BP42">
        <v>2.0170299999999999E-2</v>
      </c>
      <c r="BQ42">
        <v>-1.032025</v>
      </c>
      <c r="BR42">
        <f t="shared" si="17"/>
        <v>0</v>
      </c>
      <c r="BS42">
        <f t="shared" si="18"/>
        <v>2.3499863959925666</v>
      </c>
      <c r="BU42">
        <f t="shared" si="19"/>
        <v>0</v>
      </c>
      <c r="BV42">
        <f t="shared" si="20"/>
        <v>1</v>
      </c>
      <c r="BW42">
        <f t="shared" si="21"/>
        <v>0</v>
      </c>
      <c r="BZ42">
        <f t="shared" si="22"/>
        <v>2.3499863959925666</v>
      </c>
      <c r="CM42">
        <f t="shared" si="23"/>
        <v>17.660464038190291</v>
      </c>
      <c r="CN42">
        <f t="shared" si="34"/>
        <v>40</v>
      </c>
      <c r="CO42">
        <v>0.72299999999999998</v>
      </c>
      <c r="CP42">
        <v>0.3</v>
      </c>
    </row>
    <row r="43" spans="1:97" x14ac:dyDescent="0.25">
      <c r="A43">
        <v>40</v>
      </c>
      <c r="B43">
        <v>85</v>
      </c>
      <c r="C43" t="str">
        <f t="shared" si="24"/>
        <v>SSTens</v>
      </c>
      <c r="D43">
        <v>0.60960000000000003</v>
      </c>
      <c r="E43">
        <f t="shared" si="10"/>
        <v>609.6</v>
      </c>
      <c r="F43">
        <v>1.1130000000000001E-2</v>
      </c>
      <c r="G43">
        <f t="shared" si="11"/>
        <v>11.13</v>
      </c>
      <c r="H43">
        <f t="shared" si="12"/>
        <v>54.770889487870619</v>
      </c>
      <c r="I43">
        <v>200</v>
      </c>
      <c r="J43" t="s">
        <v>101</v>
      </c>
      <c r="K43">
        <f t="shared" si="25"/>
        <v>3</v>
      </c>
      <c r="L43">
        <f t="shared" si="26"/>
        <v>8</v>
      </c>
      <c r="M43">
        <f t="shared" si="27"/>
        <v>241000</v>
      </c>
      <c r="N43">
        <f t="shared" si="28"/>
        <v>344000</v>
      </c>
      <c r="O43">
        <f t="shared" si="29"/>
        <v>1.1599577949833839</v>
      </c>
      <c r="S43" t="s">
        <v>71</v>
      </c>
      <c r="T43" t="s">
        <v>76</v>
      </c>
      <c r="U43">
        <f t="shared" si="30"/>
        <v>18.5</v>
      </c>
      <c r="V43">
        <f t="shared" si="31"/>
        <v>0</v>
      </c>
      <c r="W43">
        <f t="shared" si="32"/>
        <v>125</v>
      </c>
      <c r="X43">
        <f t="shared" si="33"/>
        <v>0.4</v>
      </c>
      <c r="Y43">
        <v>0.9</v>
      </c>
      <c r="Z43">
        <v>0</v>
      </c>
      <c r="AB43">
        <f t="shared" si="13"/>
        <v>95.755744081416907</v>
      </c>
      <c r="AI43">
        <v>3.5</v>
      </c>
      <c r="AK43">
        <f t="shared" si="14"/>
        <v>7.8028077275326749E-2</v>
      </c>
      <c r="AQ43">
        <f t="shared" si="15"/>
        <v>0.43296023982302467</v>
      </c>
      <c r="AR43">
        <f t="shared" si="16"/>
        <v>1.9329602398230246</v>
      </c>
      <c r="AV43">
        <v>-2.307229</v>
      </c>
      <c r="AW43">
        <v>0.5852366</v>
      </c>
      <c r="AX43">
        <v>0.201322</v>
      </c>
      <c r="BJ43">
        <v>1.4274935</v>
      </c>
      <c r="BK43">
        <v>-7.1050000000000002E-3</v>
      </c>
      <c r="BL43">
        <v>5.1415999999999996E-3</v>
      </c>
      <c r="BM43">
        <v>-1.4290590000000001</v>
      </c>
      <c r="BN43">
        <v>4.9200300000000002E-2</v>
      </c>
      <c r="BO43">
        <v>0.14513599999999999</v>
      </c>
      <c r="BP43">
        <v>2.0170299999999999E-2</v>
      </c>
      <c r="BQ43">
        <v>-1.032025</v>
      </c>
      <c r="BR43">
        <f t="shared" si="17"/>
        <v>0</v>
      </c>
      <c r="BS43">
        <f t="shared" si="18"/>
        <v>0</v>
      </c>
      <c r="BU43">
        <f t="shared" si="19"/>
        <v>0</v>
      </c>
      <c r="BV43">
        <f t="shared" si="20"/>
        <v>0</v>
      </c>
      <c r="BW43">
        <f t="shared" si="21"/>
        <v>0</v>
      </c>
      <c r="BZ43">
        <f t="shared" si="22"/>
        <v>0</v>
      </c>
      <c r="CM43">
        <f t="shared" si="23"/>
        <v>3.5566068246042359E-2</v>
      </c>
      <c r="CN43">
        <f t="shared" si="34"/>
        <v>1.0362061061865622</v>
      </c>
      <c r="CO43">
        <v>0.72299999999999998</v>
      </c>
      <c r="CP43">
        <v>0.3</v>
      </c>
    </row>
    <row r="45" spans="1:97" x14ac:dyDescent="0.25">
      <c r="D45" t="s">
        <v>1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R45" t="s">
        <v>15</v>
      </c>
      <c r="S45" t="s">
        <v>16</v>
      </c>
      <c r="T45" t="s">
        <v>17</v>
      </c>
      <c r="U45" t="s">
        <v>18</v>
      </c>
      <c r="V45" t="s">
        <v>19</v>
      </c>
      <c r="W45" t="s">
        <v>20</v>
      </c>
      <c r="X45" t="s">
        <v>21</v>
      </c>
      <c r="Y45" t="s">
        <v>22</v>
      </c>
      <c r="Z45" t="s">
        <v>23</v>
      </c>
      <c r="AB45" t="s">
        <v>25</v>
      </c>
      <c r="AH45" t="s">
        <v>31</v>
      </c>
      <c r="AI45" t="s">
        <v>58</v>
      </c>
      <c r="AS45" t="s">
        <v>102</v>
      </c>
      <c r="AT45" t="s">
        <v>103</v>
      </c>
      <c r="AU45" t="s">
        <v>104</v>
      </c>
      <c r="AV45" t="s">
        <v>40</v>
      </c>
      <c r="AW45" t="s">
        <v>41</v>
      </c>
      <c r="AX45" t="s">
        <v>42</v>
      </c>
      <c r="AY45" t="s">
        <v>43</v>
      </c>
      <c r="BZ45" t="s">
        <v>57</v>
      </c>
      <c r="CB45" t="s">
        <v>59</v>
      </c>
      <c r="CC45" t="s">
        <v>105</v>
      </c>
      <c r="CD45" t="s">
        <v>106</v>
      </c>
      <c r="CE45" t="s">
        <v>86</v>
      </c>
      <c r="CF45" t="s">
        <v>107</v>
      </c>
      <c r="CM45" t="s">
        <v>66</v>
      </c>
      <c r="CN45" t="s">
        <v>67</v>
      </c>
      <c r="CO45" t="s">
        <v>68</v>
      </c>
      <c r="CP45" t="s">
        <v>69</v>
      </c>
    </row>
    <row r="46" spans="1:97" x14ac:dyDescent="0.25">
      <c r="A46">
        <v>41</v>
      </c>
      <c r="B46">
        <v>170</v>
      </c>
      <c r="C46" t="str">
        <f>IF(AND(B46&gt;=0,B46&lt;=10),"Normal",IF(AND(B46&gt;10,B46&lt;90),"SSTens",IF(AND(B46&gt;=90,B46&lt;170),"SSComp",IF(AND(B46&gt;=170,B46&lt;=180),"Reverse"))))</f>
        <v>Reverse</v>
      </c>
      <c r="D46">
        <v>0.20319999999999999</v>
      </c>
      <c r="E46">
        <f>D46*1000</f>
        <v>203.2</v>
      </c>
      <c r="F46">
        <v>1.11252E-2</v>
      </c>
      <c r="G46">
        <f>F46*1000</f>
        <v>11.1252</v>
      </c>
      <c r="H46">
        <f>D46/F46</f>
        <v>18.264840182648403</v>
      </c>
      <c r="I46">
        <v>30</v>
      </c>
      <c r="R46">
        <v>75</v>
      </c>
      <c r="S46" t="s">
        <v>78</v>
      </c>
      <c r="T46" t="s">
        <v>79</v>
      </c>
      <c r="U46">
        <f t="shared" ref="U46:U65" si="35">IF(T46="medium dense",18,IF(T46="dense",18.5,IF(T46="very dense",19,IF(T46="soft",17.5,IF(T46="medium stiff",18,IF(T46="stiff",18.5,0))))))</f>
        <v>18</v>
      </c>
      <c r="V46">
        <f t="shared" ref="V46:V65" si="36">IF(T46="medium dense",37,IF(T46="dense",40,IF(T46="very dense",43,0)))</f>
        <v>37</v>
      </c>
      <c r="W46">
        <f t="shared" ref="W46:W65" si="37">IF(T46="soft",37.5,IF(T46="medium stiff",75,IF(T46="stiff",125,0)))</f>
        <v>0</v>
      </c>
      <c r="X46">
        <f t="shared" ref="X46:X65" si="38">IF(T46="soft",1.1,IF(T46="medium stiff",0.72,IF(T46="stiff",0.4,0)))</f>
        <v>0</v>
      </c>
      <c r="Y46">
        <v>0.9</v>
      </c>
      <c r="Z46">
        <v>1</v>
      </c>
      <c r="AB46">
        <f t="shared" ref="AB46:AB65" si="39">IF(S46="sand", PI() * D46 * Z46*U46 * TAN(RADIANS(Y46*V46)), PI() * D46 * X46 * W46)</f>
        <v>7.5479720641402661</v>
      </c>
      <c r="AH46">
        <f t="shared" ref="AH46:AH65" si="40">LN(AB46)</f>
        <v>2.0212789264051603</v>
      </c>
      <c r="AI46">
        <v>0.1</v>
      </c>
      <c r="AS46">
        <f t="shared" ref="AS46:AS65" si="41">IF(AND(R46&lt;=90,R46&gt;60),60-R46,0)</f>
        <v>-15</v>
      </c>
      <c r="AT46">
        <f t="shared" ref="AT46:AT65" si="42">IF(D46&lt;0.5,1,0)</f>
        <v>1</v>
      </c>
      <c r="AU46">
        <f t="shared" ref="AU46:AU65" si="43">LN(H46)</f>
        <v>2.9049779102855271</v>
      </c>
      <c r="AV46">
        <f t="shared" ref="AV46:AV65" si="44">-4.11127 + 0.6064 * D46 + 0.002805 * I46 + 0.038944*AS46</f>
        <v>-4.4880595200000002</v>
      </c>
      <c r="AW46">
        <f t="shared" ref="AW46:AW65" si="45">0.42882 + 0.09845 * D46 + 0.0006 * I46 + 0.01203*AS46</f>
        <v>0.28637503999999997</v>
      </c>
      <c r="AX46">
        <f t="shared" ref="AX46:AX65" si="46">2.64335 + (-0.36353*D46) + 0.00086 * I46 + (-0.05422*AS46)</f>
        <v>3.4085807039999998</v>
      </c>
      <c r="AY46">
        <f t="shared" ref="AY46:AY65" si="47">-4.57877 + (-0.04142 * (AU46*AU46)) + (0.9346 * AU46) + (0.4714 * AH46) + (0.00007*(180-R46)) + (-5.2467 * AT46 * (D46-0.5)) + (-0.28986 * (1-AT46))</f>
        <v>0.30408470123424092</v>
      </c>
      <c r="BZ46">
        <f t="shared" ref="BZ46:BZ65" si="48">2.29445 + (-0.04675*D46) + (-0.00104 * I46) + (-0.09201 * AS46)</f>
        <v>3.6339003999999999</v>
      </c>
      <c r="CB46">
        <f t="shared" ref="CB46:CB65" si="49">LN(AI46)</f>
        <v>-2.3025850929940455</v>
      </c>
      <c r="CC46">
        <f t="shared" ref="CC46:CC65" si="50">CB46-AV46</f>
        <v>2.1854744270059547</v>
      </c>
      <c r="CD46">
        <f t="shared" ref="CD46:CD65" si="51">CC46/BZ46</f>
        <v>0.60141285848284531</v>
      </c>
      <c r="CE46">
        <f t="shared" ref="CE46:CE53" si="52">IF(ISNUMBER(ATANH(CD46)),ATANH(CD46),100)</f>
        <v>0.69535770349394732</v>
      </c>
      <c r="CF46">
        <f t="shared" ref="CF46:CF65" si="53">CE46/AW46</f>
        <v>2.4281365565027855</v>
      </c>
      <c r="CM46">
        <f t="shared" ref="CM46:CM65" si="54">CF46-AX46+AY46</f>
        <v>-0.6763594462629734</v>
      </c>
      <c r="CN46">
        <f>(MIN(5,EXP(CM46)))</f>
        <v>0.50846472008565746</v>
      </c>
      <c r="CO46">
        <f t="shared" ref="CO46:CO65" si="55">$CX$56</f>
        <v>0.57229738456854751</v>
      </c>
      <c r="CP46">
        <v>0.3</v>
      </c>
      <c r="CS46" t="s">
        <v>108</v>
      </c>
    </row>
    <row r="47" spans="1:97" x14ac:dyDescent="0.25">
      <c r="A47">
        <v>42</v>
      </c>
      <c r="B47">
        <v>180</v>
      </c>
      <c r="C47" t="str">
        <f t="shared" ref="C47:C65" si="56">IF(AND(B47&gt;=0,B47&lt;=10),"Normal",IF(AND(B47&gt;10,B47&lt;90),"SSTens",IF(AND(B47&gt;=90,B47&lt;170),"SSComp",IF(AND(B47&gt;=170,B47&lt;=180),"Reverse"))))</f>
        <v>Reverse</v>
      </c>
      <c r="D47">
        <v>0.30480000000000002</v>
      </c>
      <c r="E47">
        <f t="shared" ref="E47:G65" si="57">D47*1000</f>
        <v>304.8</v>
      </c>
      <c r="F47">
        <v>7.1399999999999996E-3</v>
      </c>
      <c r="G47">
        <f t="shared" si="57"/>
        <v>7.14</v>
      </c>
      <c r="H47">
        <f t="shared" ref="H47:H65" si="58">D47/F47</f>
        <v>42.689075630252105</v>
      </c>
      <c r="I47">
        <v>30</v>
      </c>
      <c r="R47">
        <v>65</v>
      </c>
      <c r="S47" t="s">
        <v>78</v>
      </c>
      <c r="T47" t="s">
        <v>80</v>
      </c>
      <c r="U47">
        <f t="shared" si="35"/>
        <v>18.5</v>
      </c>
      <c r="V47">
        <f t="shared" si="36"/>
        <v>40</v>
      </c>
      <c r="W47">
        <f t="shared" si="37"/>
        <v>0</v>
      </c>
      <c r="X47">
        <f t="shared" si="38"/>
        <v>0</v>
      </c>
      <c r="Y47">
        <v>0.9</v>
      </c>
      <c r="Z47">
        <v>1.2</v>
      </c>
      <c r="AB47">
        <f t="shared" si="39"/>
        <v>15.444677723460234</v>
      </c>
      <c r="AH47">
        <f t="shared" si="40"/>
        <v>2.7372644600771081</v>
      </c>
      <c r="AI47">
        <v>0.1</v>
      </c>
      <c r="AS47">
        <f t="shared" si="41"/>
        <v>-5</v>
      </c>
      <c r="AT47">
        <f t="shared" si="42"/>
        <v>1</v>
      </c>
      <c r="AU47">
        <f t="shared" si="43"/>
        <v>3.7539430474609983</v>
      </c>
      <c r="AV47">
        <f t="shared" si="44"/>
        <v>-4.0370092800000004</v>
      </c>
      <c r="AW47">
        <f t="shared" si="45"/>
        <v>0.41667756</v>
      </c>
      <c r="AX47">
        <f t="shared" si="46"/>
        <v>2.8294460559999997</v>
      </c>
      <c r="AY47">
        <f t="shared" si="47"/>
        <v>0.66852317696108277</v>
      </c>
      <c r="BZ47">
        <f t="shared" si="48"/>
        <v>2.7090505999999994</v>
      </c>
      <c r="CB47">
        <f t="shared" si="49"/>
        <v>-2.3025850929940455</v>
      </c>
      <c r="CC47">
        <f t="shared" si="50"/>
        <v>1.7344241870059549</v>
      </c>
      <c r="CD47">
        <f t="shared" si="51"/>
        <v>0.64023321934479749</v>
      </c>
      <c r="CE47">
        <f t="shared" si="52"/>
        <v>0.75856886381101818</v>
      </c>
      <c r="CF47">
        <f t="shared" si="53"/>
        <v>1.8205176775322822</v>
      </c>
      <c r="CM47">
        <f t="shared" si="54"/>
        <v>-0.34040520150663467</v>
      </c>
      <c r="CN47">
        <f t="shared" ref="CN47:CN65" si="59">EXP(CM47)</f>
        <v>0.71148197077972275</v>
      </c>
      <c r="CO47">
        <f t="shared" si="55"/>
        <v>0.57229738456854751</v>
      </c>
      <c r="CP47">
        <v>0.3</v>
      </c>
    </row>
    <row r="48" spans="1:97" x14ac:dyDescent="0.25">
      <c r="A48">
        <v>43</v>
      </c>
      <c r="B48">
        <v>175</v>
      </c>
      <c r="C48" t="str">
        <f t="shared" si="56"/>
        <v>Reverse</v>
      </c>
      <c r="D48">
        <v>0.40639999999999998</v>
      </c>
      <c r="E48">
        <f t="shared" si="57"/>
        <v>406.4</v>
      </c>
      <c r="F48">
        <v>9.5299999999999985E-3</v>
      </c>
      <c r="G48">
        <f t="shared" si="57"/>
        <v>9.5299999999999994</v>
      </c>
      <c r="H48">
        <f t="shared" si="58"/>
        <v>42.644281217208821</v>
      </c>
      <c r="I48">
        <v>50</v>
      </c>
      <c r="R48">
        <v>58</v>
      </c>
      <c r="S48" t="s">
        <v>78</v>
      </c>
      <c r="T48" t="s">
        <v>81</v>
      </c>
      <c r="U48">
        <f t="shared" si="35"/>
        <v>19</v>
      </c>
      <c r="V48">
        <f t="shared" si="36"/>
        <v>43</v>
      </c>
      <c r="W48">
        <f t="shared" si="37"/>
        <v>0</v>
      </c>
      <c r="X48">
        <f t="shared" si="38"/>
        <v>0</v>
      </c>
      <c r="Y48">
        <v>0.9</v>
      </c>
      <c r="Z48">
        <v>1.5</v>
      </c>
      <c r="AB48">
        <f t="shared" si="39"/>
        <v>29.151630415531248</v>
      </c>
      <c r="AH48">
        <f t="shared" si="40"/>
        <v>3.3725108431545396</v>
      </c>
      <c r="AI48">
        <v>0.15</v>
      </c>
      <c r="AS48">
        <f t="shared" si="41"/>
        <v>0</v>
      </c>
      <c r="AT48">
        <f t="shared" si="42"/>
        <v>1</v>
      </c>
      <c r="AU48">
        <f t="shared" si="43"/>
        <v>3.7528931785981614</v>
      </c>
      <c r="AV48">
        <f t="shared" si="44"/>
        <v>-3.7245790400000001</v>
      </c>
      <c r="AW48">
        <f t="shared" si="45"/>
        <v>0.49883007999999995</v>
      </c>
      <c r="AX48">
        <f t="shared" si="46"/>
        <v>2.538611408</v>
      </c>
      <c r="AY48">
        <f t="shared" si="47"/>
        <v>0.43474883354399235</v>
      </c>
      <c r="BZ48">
        <f t="shared" si="48"/>
        <v>2.2234507999999997</v>
      </c>
      <c r="CB48">
        <f t="shared" si="49"/>
        <v>-1.8971199848858813</v>
      </c>
      <c r="CC48">
        <f t="shared" si="50"/>
        <v>1.8274590551141188</v>
      </c>
      <c r="CD48">
        <f t="shared" si="51"/>
        <v>0.82190217796324483</v>
      </c>
      <c r="CE48">
        <f t="shared" si="52"/>
        <v>1.1626517128318059</v>
      </c>
      <c r="CF48">
        <f t="shared" si="53"/>
        <v>2.3307570241790674</v>
      </c>
      <c r="CM48">
        <f t="shared" si="54"/>
        <v>0.22689444972305978</v>
      </c>
      <c r="CN48">
        <f t="shared" si="59"/>
        <v>1.2546974272899019</v>
      </c>
      <c r="CO48">
        <f t="shared" si="55"/>
        <v>0.57229738456854751</v>
      </c>
      <c r="CP48">
        <v>0.3</v>
      </c>
    </row>
    <row r="49" spans="1:107" x14ac:dyDescent="0.25">
      <c r="A49">
        <v>44</v>
      </c>
      <c r="B49">
        <v>172</v>
      </c>
      <c r="C49" t="str">
        <f t="shared" si="56"/>
        <v>Reverse</v>
      </c>
      <c r="D49">
        <v>0.50800000000000001</v>
      </c>
      <c r="E49">
        <f t="shared" si="57"/>
        <v>508</v>
      </c>
      <c r="F49">
        <v>1.1130000000000001E-2</v>
      </c>
      <c r="G49">
        <f t="shared" si="57"/>
        <v>11.13</v>
      </c>
      <c r="H49">
        <f t="shared" si="58"/>
        <v>45.642407906558844</v>
      </c>
      <c r="I49">
        <v>100</v>
      </c>
      <c r="R49">
        <v>51</v>
      </c>
      <c r="S49" t="s">
        <v>78</v>
      </c>
      <c r="T49" t="s">
        <v>79</v>
      </c>
      <c r="U49">
        <f t="shared" si="35"/>
        <v>18</v>
      </c>
      <c r="V49">
        <f t="shared" si="36"/>
        <v>37</v>
      </c>
      <c r="W49">
        <f t="shared" si="37"/>
        <v>0</v>
      </c>
      <c r="X49">
        <f t="shared" si="38"/>
        <v>0</v>
      </c>
      <c r="Y49">
        <v>0.9</v>
      </c>
      <c r="Z49">
        <v>1</v>
      </c>
      <c r="AB49">
        <f t="shared" si="39"/>
        <v>18.869930160350666</v>
      </c>
      <c r="AH49">
        <f t="shared" si="40"/>
        <v>2.9375696582793154</v>
      </c>
      <c r="AI49">
        <v>0.2</v>
      </c>
      <c r="AS49">
        <f t="shared" si="41"/>
        <v>0</v>
      </c>
      <c r="AT49">
        <f t="shared" si="42"/>
        <v>0</v>
      </c>
      <c r="AU49">
        <f t="shared" si="43"/>
        <v>3.8208372822910284</v>
      </c>
      <c r="AV49">
        <f t="shared" si="44"/>
        <v>-3.5227188000000003</v>
      </c>
      <c r="AW49">
        <f t="shared" si="45"/>
        <v>0.53883259999999999</v>
      </c>
      <c r="AX49">
        <f t="shared" si="46"/>
        <v>2.5446767599999998</v>
      </c>
      <c r="AY49">
        <f t="shared" si="47"/>
        <v>-0.50855733307133744</v>
      </c>
      <c r="BZ49">
        <f t="shared" si="48"/>
        <v>2.1667009999999998</v>
      </c>
      <c r="CB49">
        <f t="shared" si="49"/>
        <v>-1.6094379124341003</v>
      </c>
      <c r="CC49">
        <f t="shared" si="50"/>
        <v>1.9132808875659</v>
      </c>
      <c r="CD49">
        <f t="shared" si="51"/>
        <v>0.88303872457062615</v>
      </c>
      <c r="CE49">
        <f t="shared" si="52"/>
        <v>1.3893995965142862</v>
      </c>
      <c r="CF49">
        <f t="shared" si="53"/>
        <v>2.5785366299557344</v>
      </c>
      <c r="CM49">
        <f t="shared" si="54"/>
        <v>-0.47469746311560279</v>
      </c>
      <c r="CN49">
        <f t="shared" si="59"/>
        <v>0.62207322809545029</v>
      </c>
      <c r="CO49">
        <f t="shared" si="55"/>
        <v>0.57229738456854751</v>
      </c>
      <c r="CP49">
        <v>0.3</v>
      </c>
    </row>
    <row r="50" spans="1:107" x14ac:dyDescent="0.25">
      <c r="A50">
        <v>45</v>
      </c>
      <c r="B50">
        <v>172</v>
      </c>
      <c r="C50" t="str">
        <f t="shared" si="56"/>
        <v>Reverse</v>
      </c>
      <c r="D50">
        <v>0.60960000000000003</v>
      </c>
      <c r="E50">
        <f t="shared" si="57"/>
        <v>609.6</v>
      </c>
      <c r="F50">
        <v>9.5299999999999985E-3</v>
      </c>
      <c r="G50">
        <f t="shared" si="57"/>
        <v>9.5299999999999994</v>
      </c>
      <c r="H50">
        <f t="shared" si="58"/>
        <v>63.966421825813235</v>
      </c>
      <c r="I50">
        <v>15</v>
      </c>
      <c r="R50">
        <v>44</v>
      </c>
      <c r="S50" t="s">
        <v>78</v>
      </c>
      <c r="T50" t="s">
        <v>80</v>
      </c>
      <c r="U50">
        <f t="shared" si="35"/>
        <v>18.5</v>
      </c>
      <c r="V50">
        <f t="shared" si="36"/>
        <v>40</v>
      </c>
      <c r="W50">
        <f t="shared" si="37"/>
        <v>0</v>
      </c>
      <c r="X50">
        <f t="shared" si="38"/>
        <v>0</v>
      </c>
      <c r="Y50">
        <v>0.9</v>
      </c>
      <c r="Z50">
        <v>1.2</v>
      </c>
      <c r="AB50">
        <f t="shared" si="39"/>
        <v>30.889355446920469</v>
      </c>
      <c r="AH50">
        <f t="shared" si="40"/>
        <v>3.4304116406370531</v>
      </c>
      <c r="AI50">
        <v>0.2</v>
      </c>
      <c r="AS50">
        <f t="shared" si="41"/>
        <v>0</v>
      </c>
      <c r="AT50">
        <f t="shared" si="42"/>
        <v>0</v>
      </c>
      <c r="AU50">
        <f t="shared" si="43"/>
        <v>4.158358286706326</v>
      </c>
      <c r="AV50">
        <f t="shared" si="44"/>
        <v>-3.6995335599999999</v>
      </c>
      <c r="AW50">
        <f t="shared" si="45"/>
        <v>0.49783511999999996</v>
      </c>
      <c r="AX50">
        <f t="shared" si="46"/>
        <v>2.4346421120000001</v>
      </c>
      <c r="AY50">
        <f t="shared" si="47"/>
        <v>-7.1844603442407146E-2</v>
      </c>
      <c r="BZ50">
        <f t="shared" si="48"/>
        <v>2.2503511999999999</v>
      </c>
      <c r="CB50">
        <f t="shared" si="49"/>
        <v>-1.6094379124341003</v>
      </c>
      <c r="CC50">
        <f t="shared" si="50"/>
        <v>2.0900956475658994</v>
      </c>
      <c r="CD50">
        <f t="shared" si="51"/>
        <v>0.92878642567697856</v>
      </c>
      <c r="CE50">
        <f t="shared" si="52"/>
        <v>1.6494814191438925</v>
      </c>
      <c r="CF50">
        <f t="shared" si="53"/>
        <v>3.3133086696332161</v>
      </c>
      <c r="CM50">
        <f t="shared" si="54"/>
        <v>0.80682195419080882</v>
      </c>
      <c r="CN50">
        <f t="shared" si="59"/>
        <v>2.2407753720113077</v>
      </c>
      <c r="CO50">
        <f t="shared" si="55"/>
        <v>0.57229738456854751</v>
      </c>
      <c r="CP50">
        <v>0.3</v>
      </c>
    </row>
    <row r="51" spans="1:107" x14ac:dyDescent="0.25">
      <c r="A51">
        <v>46</v>
      </c>
      <c r="B51">
        <v>170</v>
      </c>
      <c r="C51" t="str">
        <f t="shared" si="56"/>
        <v>Reverse</v>
      </c>
      <c r="D51">
        <v>0.76200000000000001</v>
      </c>
      <c r="E51">
        <f t="shared" si="57"/>
        <v>762</v>
      </c>
      <c r="F51">
        <v>1.2699999999999999E-2</v>
      </c>
      <c r="G51">
        <f t="shared" si="57"/>
        <v>12.7</v>
      </c>
      <c r="H51">
        <f t="shared" si="58"/>
        <v>60</v>
      </c>
      <c r="I51">
        <v>30</v>
      </c>
      <c r="R51">
        <v>37</v>
      </c>
      <c r="S51" t="s">
        <v>78</v>
      </c>
      <c r="T51" t="s">
        <v>81</v>
      </c>
      <c r="U51">
        <f t="shared" si="35"/>
        <v>19</v>
      </c>
      <c r="V51">
        <f t="shared" si="36"/>
        <v>43</v>
      </c>
      <c r="W51">
        <f t="shared" si="37"/>
        <v>0</v>
      </c>
      <c r="X51">
        <f t="shared" si="38"/>
        <v>0</v>
      </c>
      <c r="Y51">
        <v>0.9</v>
      </c>
      <c r="Z51">
        <v>1.5</v>
      </c>
      <c r="AB51">
        <f t="shared" si="39"/>
        <v>54.659307029121074</v>
      </c>
      <c r="AH51">
        <f t="shared" si="40"/>
        <v>4.0011195025769135</v>
      </c>
      <c r="AI51">
        <v>0.25</v>
      </c>
      <c r="AS51">
        <f t="shared" si="41"/>
        <v>0</v>
      </c>
      <c r="AT51">
        <f t="shared" si="42"/>
        <v>0</v>
      </c>
      <c r="AU51">
        <f t="shared" si="43"/>
        <v>4.0943445622221004</v>
      </c>
      <c r="AV51">
        <f t="shared" si="44"/>
        <v>-3.5650431999999999</v>
      </c>
      <c r="AW51">
        <f t="shared" si="45"/>
        <v>0.52183889999999999</v>
      </c>
      <c r="AX51">
        <f t="shared" si="46"/>
        <v>2.3921401399999995</v>
      </c>
      <c r="AY51">
        <f t="shared" si="47"/>
        <v>0.15973147209986455</v>
      </c>
      <c r="BZ51">
        <f t="shared" si="48"/>
        <v>2.2276265</v>
      </c>
      <c r="CB51">
        <f t="shared" si="49"/>
        <v>-1.3862943611198906</v>
      </c>
      <c r="CC51">
        <f t="shared" si="50"/>
        <v>2.1787488388801091</v>
      </c>
      <c r="CD51">
        <f t="shared" si="51"/>
        <v>0.97805841279052352</v>
      </c>
      <c r="CE51">
        <f t="shared" si="52"/>
        <v>2.2507436237850884</v>
      </c>
      <c r="CF51">
        <f t="shared" si="53"/>
        <v>4.3131005062771068</v>
      </c>
      <c r="CM51">
        <f t="shared" si="54"/>
        <v>2.0806918383769717</v>
      </c>
      <c r="CN51">
        <f t="shared" si="59"/>
        <v>8.0100086291512458</v>
      </c>
      <c r="CO51">
        <f t="shared" si="55"/>
        <v>0.57229738456854751</v>
      </c>
      <c r="CP51">
        <v>0.3</v>
      </c>
    </row>
    <row r="52" spans="1:107" x14ac:dyDescent="0.25">
      <c r="A52">
        <v>47</v>
      </c>
      <c r="B52">
        <v>175</v>
      </c>
      <c r="C52" t="str">
        <f t="shared" si="56"/>
        <v>Reverse</v>
      </c>
      <c r="D52">
        <v>0.86360000000000003</v>
      </c>
      <c r="E52">
        <f t="shared" si="57"/>
        <v>863.6</v>
      </c>
      <c r="F52">
        <v>1.1130000000000001E-2</v>
      </c>
      <c r="G52">
        <f t="shared" si="57"/>
        <v>11.13</v>
      </c>
      <c r="H52">
        <f t="shared" si="58"/>
        <v>77.592093441150041</v>
      </c>
      <c r="I52">
        <v>50</v>
      </c>
      <c r="R52">
        <v>30</v>
      </c>
      <c r="S52" t="s">
        <v>78</v>
      </c>
      <c r="T52" t="s">
        <v>79</v>
      </c>
      <c r="U52">
        <f t="shared" si="35"/>
        <v>18</v>
      </c>
      <c r="V52">
        <f t="shared" si="36"/>
        <v>37</v>
      </c>
      <c r="W52">
        <f t="shared" si="37"/>
        <v>0</v>
      </c>
      <c r="X52">
        <f t="shared" si="38"/>
        <v>0</v>
      </c>
      <c r="Y52">
        <v>0.9</v>
      </c>
      <c r="Z52">
        <v>1</v>
      </c>
      <c r="AB52">
        <f t="shared" si="39"/>
        <v>32.078881272596128</v>
      </c>
      <c r="AH52">
        <f t="shared" si="40"/>
        <v>3.4681979093414856</v>
      </c>
      <c r="AI52">
        <v>0.28000000000000003</v>
      </c>
      <c r="AS52">
        <f t="shared" si="41"/>
        <v>0</v>
      </c>
      <c r="AT52">
        <f t="shared" si="42"/>
        <v>0</v>
      </c>
      <c r="AU52">
        <f t="shared" si="43"/>
        <v>4.3514655333531991</v>
      </c>
      <c r="AV52">
        <f t="shared" si="44"/>
        <v>-3.4473329600000002</v>
      </c>
      <c r="AW52">
        <f t="shared" si="45"/>
        <v>0.54384142000000002</v>
      </c>
      <c r="AX52">
        <f t="shared" si="46"/>
        <v>2.3724054919999999</v>
      </c>
      <c r="AY52">
        <f t="shared" si="47"/>
        <v>5.9360032168138954E-2</v>
      </c>
      <c r="BZ52">
        <f t="shared" si="48"/>
        <v>2.2020766999999997</v>
      </c>
      <c r="CB52">
        <f t="shared" si="49"/>
        <v>-1.2729656758128873</v>
      </c>
      <c r="CC52">
        <f t="shared" si="50"/>
        <v>2.1743672841871131</v>
      </c>
      <c r="CD52">
        <f t="shared" si="51"/>
        <v>0.98741668906769386</v>
      </c>
      <c r="CE52">
        <f t="shared" si="52"/>
        <v>2.5311097606942257</v>
      </c>
      <c r="CF52">
        <f t="shared" si="53"/>
        <v>4.6541320090960072</v>
      </c>
      <c r="CM52">
        <f t="shared" si="54"/>
        <v>2.3410865492641464</v>
      </c>
      <c r="CN52">
        <f t="shared" si="59"/>
        <v>10.392522417888488</v>
      </c>
      <c r="CO52">
        <f t="shared" si="55"/>
        <v>0.57229738456854751</v>
      </c>
      <c r="CP52">
        <v>0.3</v>
      </c>
      <c r="CU52" t="s">
        <v>109</v>
      </c>
      <c r="CV52">
        <v>-0.28299999999999997</v>
      </c>
      <c r="CX52" t="s">
        <v>110</v>
      </c>
      <c r="CY52" t="s">
        <v>111</v>
      </c>
      <c r="CZ52" t="s">
        <v>112</v>
      </c>
      <c r="DA52" t="s">
        <v>113</v>
      </c>
      <c r="DB52" t="s">
        <v>114</v>
      </c>
      <c r="DC52" t="s">
        <v>115</v>
      </c>
    </row>
    <row r="53" spans="1:107" x14ac:dyDescent="0.25">
      <c r="A53">
        <v>48</v>
      </c>
      <c r="B53">
        <v>180</v>
      </c>
      <c r="C53" t="str">
        <f t="shared" si="56"/>
        <v>Reverse</v>
      </c>
      <c r="D53">
        <v>1.0668</v>
      </c>
      <c r="E53">
        <f t="shared" si="57"/>
        <v>1066.8</v>
      </c>
      <c r="F53">
        <v>1.2699999999999999E-2</v>
      </c>
      <c r="G53">
        <f t="shared" si="57"/>
        <v>12.7</v>
      </c>
      <c r="H53">
        <f t="shared" si="58"/>
        <v>84</v>
      </c>
      <c r="I53">
        <v>100</v>
      </c>
      <c r="R53">
        <v>23</v>
      </c>
      <c r="S53" t="s">
        <v>78</v>
      </c>
      <c r="T53" t="s">
        <v>80</v>
      </c>
      <c r="U53">
        <f t="shared" si="35"/>
        <v>18.5</v>
      </c>
      <c r="V53">
        <f t="shared" si="36"/>
        <v>40</v>
      </c>
      <c r="W53">
        <f t="shared" si="37"/>
        <v>0</v>
      </c>
      <c r="X53">
        <f t="shared" si="38"/>
        <v>0</v>
      </c>
      <c r="Y53">
        <v>0.9</v>
      </c>
      <c r="Z53">
        <v>1.2</v>
      </c>
      <c r="AB53">
        <f t="shared" si="39"/>
        <v>54.056372032110822</v>
      </c>
      <c r="AH53">
        <f t="shared" si="40"/>
        <v>3.9900274285724762</v>
      </c>
      <c r="AI53">
        <v>0.18</v>
      </c>
      <c r="AS53">
        <f t="shared" si="41"/>
        <v>0</v>
      </c>
      <c r="AT53">
        <f t="shared" si="42"/>
        <v>0</v>
      </c>
      <c r="AU53">
        <f t="shared" si="43"/>
        <v>4.4308167988433134</v>
      </c>
      <c r="AV53">
        <f t="shared" si="44"/>
        <v>-3.1838624800000002</v>
      </c>
      <c r="AW53">
        <f t="shared" si="45"/>
        <v>0.59384645999999996</v>
      </c>
      <c r="AX53">
        <f t="shared" si="46"/>
        <v>2.3415361959999998</v>
      </c>
      <c r="AY53">
        <f t="shared" si="47"/>
        <v>0.35113717457456706</v>
      </c>
      <c r="BZ53">
        <f t="shared" si="48"/>
        <v>2.1405770999999998</v>
      </c>
      <c r="CB53">
        <f t="shared" si="49"/>
        <v>-1.7147984280919266</v>
      </c>
      <c r="CC53">
        <f t="shared" si="50"/>
        <v>1.4690640519080735</v>
      </c>
      <c r="CD53">
        <f t="shared" si="51"/>
        <v>0.68629345418488952</v>
      </c>
      <c r="CE53">
        <f t="shared" si="52"/>
        <v>0.8409150977233486</v>
      </c>
      <c r="CF53">
        <f t="shared" si="53"/>
        <v>1.416048009654463</v>
      </c>
      <c r="CM53">
        <f t="shared" si="54"/>
        <v>-0.57435101177096981</v>
      </c>
      <c r="CN53">
        <f t="shared" si="59"/>
        <v>0.56307017617049704</v>
      </c>
      <c r="CO53">
        <f t="shared" si="55"/>
        <v>0.57229738456854751</v>
      </c>
      <c r="CP53">
        <v>0.3</v>
      </c>
      <c r="CU53" t="s">
        <v>116</v>
      </c>
      <c r="CV53">
        <v>-0.625</v>
      </c>
      <c r="CX53">
        <v>-0.28299999999999997</v>
      </c>
      <c r="CY53">
        <v>-0.625</v>
      </c>
      <c r="CZ53">
        <v>0.46</v>
      </c>
      <c r="DA53">
        <v>0.70899999999999996</v>
      </c>
      <c r="DB53">
        <v>0.68799999999999994</v>
      </c>
      <c r="DC53">
        <v>0.312</v>
      </c>
    </row>
    <row r="54" spans="1:107" x14ac:dyDescent="0.25">
      <c r="A54">
        <v>49</v>
      </c>
      <c r="B54">
        <v>180</v>
      </c>
      <c r="C54" t="str">
        <f t="shared" si="56"/>
        <v>Reverse</v>
      </c>
      <c r="D54">
        <v>0.60960000000000003</v>
      </c>
      <c r="E54">
        <f t="shared" si="57"/>
        <v>609.6</v>
      </c>
      <c r="F54">
        <v>1.1130000000000001E-2</v>
      </c>
      <c r="G54">
        <f t="shared" si="57"/>
        <v>11.13</v>
      </c>
      <c r="H54">
        <f t="shared" si="58"/>
        <v>54.770889487870619</v>
      </c>
      <c r="I54">
        <v>150</v>
      </c>
      <c r="R54">
        <v>16</v>
      </c>
      <c r="S54" t="s">
        <v>78</v>
      </c>
      <c r="T54" t="s">
        <v>81</v>
      </c>
      <c r="U54">
        <f t="shared" si="35"/>
        <v>19</v>
      </c>
      <c r="V54">
        <f t="shared" si="36"/>
        <v>43</v>
      </c>
      <c r="W54">
        <f t="shared" si="37"/>
        <v>0</v>
      </c>
      <c r="X54">
        <f t="shared" si="38"/>
        <v>0</v>
      </c>
      <c r="Y54">
        <v>0.9</v>
      </c>
      <c r="Z54">
        <v>1.5</v>
      </c>
      <c r="AB54">
        <f t="shared" si="39"/>
        <v>43.727445623296873</v>
      </c>
      <c r="AH54">
        <f t="shared" si="40"/>
        <v>3.7779759512627038</v>
      </c>
      <c r="AI54">
        <v>0.4</v>
      </c>
      <c r="AS54">
        <f t="shared" si="41"/>
        <v>0</v>
      </c>
      <c r="AT54">
        <f t="shared" si="42"/>
        <v>0</v>
      </c>
      <c r="AU54">
        <f t="shared" si="43"/>
        <v>4.0031588390849828</v>
      </c>
      <c r="AV54">
        <f t="shared" si="44"/>
        <v>-3.32085856</v>
      </c>
      <c r="AW54">
        <f t="shared" si="45"/>
        <v>0.57883511999999993</v>
      </c>
      <c r="AX54">
        <f t="shared" si="46"/>
        <v>2.550742112</v>
      </c>
      <c r="AY54">
        <f t="shared" si="47"/>
        <v>1.3729882151536921E-3</v>
      </c>
      <c r="BZ54">
        <f t="shared" si="48"/>
        <v>2.1099511999999998</v>
      </c>
      <c r="CB54">
        <f t="shared" si="49"/>
        <v>-0.916290731874155</v>
      </c>
      <c r="CC54">
        <f t="shared" si="50"/>
        <v>2.4045678281258449</v>
      </c>
      <c r="CD54">
        <f t="shared" si="51"/>
        <v>1.13963196311168</v>
      </c>
      <c r="CE54">
        <f>IF(CD54&gt;=1,5,ATANH(CD54))</f>
        <v>5</v>
      </c>
      <c r="CF54">
        <f t="shared" si="53"/>
        <v>8.6380384106617445</v>
      </c>
      <c r="CM54">
        <f t="shared" si="54"/>
        <v>6.0886692868768986</v>
      </c>
      <c r="CN54">
        <f t="shared" si="59"/>
        <v>440.83439654198293</v>
      </c>
      <c r="CO54">
        <f t="shared" si="55"/>
        <v>0.57229738456854751</v>
      </c>
      <c r="CP54">
        <v>0.3</v>
      </c>
      <c r="CU54" t="s">
        <v>117</v>
      </c>
      <c r="CV54">
        <v>0.46</v>
      </c>
      <c r="CX54">
        <f>CX53*DB53+CY53*DC53</f>
        <v>-0.38970399999999994</v>
      </c>
    </row>
    <row r="55" spans="1:107" x14ac:dyDescent="0.25">
      <c r="A55">
        <v>50</v>
      </c>
      <c r="B55">
        <v>179</v>
      </c>
      <c r="C55" t="str">
        <f t="shared" si="56"/>
        <v>Reverse</v>
      </c>
      <c r="D55">
        <v>0.60960000000000003</v>
      </c>
      <c r="E55">
        <f t="shared" si="57"/>
        <v>609.6</v>
      </c>
      <c r="F55">
        <v>1.1130000000000001E-2</v>
      </c>
      <c r="G55">
        <f t="shared" si="57"/>
        <v>11.13</v>
      </c>
      <c r="H55">
        <f t="shared" si="58"/>
        <v>54.770889487870619</v>
      </c>
      <c r="I55">
        <v>200</v>
      </c>
      <c r="R55">
        <v>15</v>
      </c>
      <c r="S55" t="s">
        <v>78</v>
      </c>
      <c r="T55" t="s">
        <v>79</v>
      </c>
      <c r="U55">
        <f t="shared" si="35"/>
        <v>18</v>
      </c>
      <c r="V55">
        <f t="shared" si="36"/>
        <v>37</v>
      </c>
      <c r="W55">
        <f t="shared" si="37"/>
        <v>0</v>
      </c>
      <c r="X55">
        <f t="shared" si="38"/>
        <v>0</v>
      </c>
      <c r="Y55">
        <v>0.9</v>
      </c>
      <c r="Z55">
        <v>1.2</v>
      </c>
      <c r="AB55">
        <f t="shared" si="39"/>
        <v>27.172699430904952</v>
      </c>
      <c r="AH55">
        <f t="shared" si="40"/>
        <v>3.3022127718672243</v>
      </c>
      <c r="AI55">
        <v>1.2</v>
      </c>
      <c r="AS55">
        <f t="shared" si="41"/>
        <v>0</v>
      </c>
      <c r="AT55">
        <f t="shared" si="42"/>
        <v>0</v>
      </c>
      <c r="AU55">
        <f t="shared" si="43"/>
        <v>4.0031588390849828</v>
      </c>
      <c r="AV55">
        <f t="shared" si="44"/>
        <v>-3.18060856</v>
      </c>
      <c r="AW55">
        <f t="shared" si="45"/>
        <v>0.60883511999999995</v>
      </c>
      <c r="AX55">
        <f t="shared" si="46"/>
        <v>2.5937421120000002</v>
      </c>
      <c r="AY55">
        <f t="shared" si="47"/>
        <v>-0.22283177455187525</v>
      </c>
      <c r="BZ55">
        <f t="shared" si="48"/>
        <v>2.0579511999999998</v>
      </c>
      <c r="CB55">
        <f t="shared" si="49"/>
        <v>0.18232155679395459</v>
      </c>
      <c r="CC55">
        <f t="shared" si="50"/>
        <v>3.3629301167939545</v>
      </c>
      <c r="CD55">
        <f t="shared" si="51"/>
        <v>1.6341155790253699</v>
      </c>
      <c r="CE55">
        <f>IF(CD55&gt;=1,5,ATANH(CD55))</f>
        <v>5</v>
      </c>
      <c r="CF55">
        <f t="shared" si="53"/>
        <v>8.2124040413437385</v>
      </c>
      <c r="CM55">
        <f t="shared" si="54"/>
        <v>5.395830154791863</v>
      </c>
      <c r="CN55">
        <f t="shared" si="59"/>
        <v>220.48510791195636</v>
      </c>
      <c r="CO55">
        <f t="shared" si="55"/>
        <v>0.57229738456854751</v>
      </c>
      <c r="CP55">
        <v>0.3</v>
      </c>
      <c r="CU55" t="s">
        <v>118</v>
      </c>
      <c r="CV55">
        <v>0.70899999999999996</v>
      </c>
      <c r="CX55">
        <f>DB53*CZ53^2+DC53*DA53^2+DB53*DC53*(CX53-CY53)^2</f>
        <v>0.32752429638399994</v>
      </c>
    </row>
    <row r="56" spans="1:107" x14ac:dyDescent="0.25">
      <c r="A56">
        <v>51</v>
      </c>
      <c r="B56">
        <v>170</v>
      </c>
      <c r="C56" t="str">
        <f t="shared" si="56"/>
        <v>Reverse</v>
      </c>
      <c r="D56">
        <v>0.20319999999999999</v>
      </c>
      <c r="E56">
        <f t="shared" si="57"/>
        <v>203.2</v>
      </c>
      <c r="F56">
        <v>5.5599999999999998E-3</v>
      </c>
      <c r="G56">
        <f t="shared" si="57"/>
        <v>5.56</v>
      </c>
      <c r="H56">
        <f t="shared" si="58"/>
        <v>36.546762589928058</v>
      </c>
      <c r="I56">
        <v>15</v>
      </c>
      <c r="R56">
        <v>72</v>
      </c>
      <c r="S56" t="s">
        <v>71</v>
      </c>
      <c r="T56" t="s">
        <v>72</v>
      </c>
      <c r="U56">
        <f t="shared" si="35"/>
        <v>17.5</v>
      </c>
      <c r="V56">
        <f t="shared" si="36"/>
        <v>0</v>
      </c>
      <c r="W56">
        <f t="shared" si="37"/>
        <v>37.5</v>
      </c>
      <c r="X56">
        <f t="shared" si="38"/>
        <v>1.1000000000000001</v>
      </c>
      <c r="Y56">
        <v>0.9</v>
      </c>
      <c r="Z56">
        <v>0</v>
      </c>
      <c r="AB56">
        <f t="shared" si="39"/>
        <v>26.332829622389646</v>
      </c>
      <c r="AH56">
        <f t="shared" si="40"/>
        <v>3.2708164353522799</v>
      </c>
      <c r="AI56">
        <v>0.05</v>
      </c>
      <c r="AS56">
        <f t="shared" si="41"/>
        <v>-12</v>
      </c>
      <c r="AT56">
        <f t="shared" si="42"/>
        <v>1</v>
      </c>
      <c r="AU56">
        <f t="shared" si="43"/>
        <v>3.598592607441836</v>
      </c>
      <c r="AV56">
        <f t="shared" si="44"/>
        <v>-4.4133025200000002</v>
      </c>
      <c r="AW56">
        <f t="shared" si="45"/>
        <v>0.31346503999999997</v>
      </c>
      <c r="AX56">
        <f t="shared" si="46"/>
        <v>3.2330207040000003</v>
      </c>
      <c r="AY56">
        <f t="shared" si="47"/>
        <v>1.3547345147356484</v>
      </c>
      <c r="BZ56">
        <f t="shared" si="48"/>
        <v>3.3734704</v>
      </c>
      <c r="CB56">
        <f t="shared" si="49"/>
        <v>-2.9957322735539909</v>
      </c>
      <c r="CC56">
        <f t="shared" si="50"/>
        <v>1.4175702464460094</v>
      </c>
      <c r="CD56">
        <f t="shared" si="51"/>
        <v>0.4202112597300422</v>
      </c>
      <c r="CE56">
        <f t="shared" ref="CE56:CE63" si="60">IF(ISNUMBER(ATANH(CD56)),ATANH(CD56),100)</f>
        <v>0.44794855885624785</v>
      </c>
      <c r="CF56">
        <f t="shared" si="53"/>
        <v>1.4290223843024021</v>
      </c>
      <c r="CM56">
        <f t="shared" si="54"/>
        <v>-0.44926380496194973</v>
      </c>
      <c r="CN56">
        <f t="shared" si="59"/>
        <v>0.63809774313738099</v>
      </c>
      <c r="CO56">
        <f t="shared" si="55"/>
        <v>0.57229738456854751</v>
      </c>
      <c r="CP56">
        <v>0.3</v>
      </c>
      <c r="CU56" t="s">
        <v>119</v>
      </c>
      <c r="CV56">
        <v>0.68799999999999994</v>
      </c>
      <c r="CX56">
        <f>SQRT(CX55)</f>
        <v>0.57229738456854751</v>
      </c>
    </row>
    <row r="57" spans="1:107" x14ac:dyDescent="0.25">
      <c r="A57">
        <v>52</v>
      </c>
      <c r="B57">
        <v>180</v>
      </c>
      <c r="C57" t="str">
        <f t="shared" si="56"/>
        <v>Reverse</v>
      </c>
      <c r="D57">
        <v>0.30480000000000002</v>
      </c>
      <c r="E57">
        <f t="shared" si="57"/>
        <v>304.8</v>
      </c>
      <c r="F57">
        <v>7.1399999999999996E-3</v>
      </c>
      <c r="G57">
        <f t="shared" si="57"/>
        <v>7.14</v>
      </c>
      <c r="H57">
        <f t="shared" si="58"/>
        <v>42.689075630252105</v>
      </c>
      <c r="I57">
        <v>30</v>
      </c>
      <c r="R57">
        <v>65</v>
      </c>
      <c r="S57" t="s">
        <v>71</v>
      </c>
      <c r="T57" t="s">
        <v>74</v>
      </c>
      <c r="U57">
        <f t="shared" si="35"/>
        <v>18</v>
      </c>
      <c r="V57">
        <f t="shared" si="36"/>
        <v>0</v>
      </c>
      <c r="W57">
        <f t="shared" si="37"/>
        <v>75</v>
      </c>
      <c r="X57">
        <f t="shared" si="38"/>
        <v>0.72</v>
      </c>
      <c r="Y57">
        <v>0.9</v>
      </c>
      <c r="Z57">
        <v>0</v>
      </c>
      <c r="AB57">
        <f t="shared" si="39"/>
        <v>51.708101803965121</v>
      </c>
      <c r="AH57">
        <f t="shared" si="40"/>
        <v>3.9456144772440287</v>
      </c>
      <c r="AI57">
        <v>0.1</v>
      </c>
      <c r="AS57">
        <f t="shared" si="41"/>
        <v>-5</v>
      </c>
      <c r="AT57">
        <f t="shared" si="42"/>
        <v>1</v>
      </c>
      <c r="AU57">
        <f t="shared" si="43"/>
        <v>3.7539430474609983</v>
      </c>
      <c r="AV57">
        <f t="shared" si="44"/>
        <v>-4.0370092800000004</v>
      </c>
      <c r="AW57">
        <f t="shared" si="45"/>
        <v>0.41667756</v>
      </c>
      <c r="AX57">
        <f t="shared" si="46"/>
        <v>2.8294460559999997</v>
      </c>
      <c r="AY57">
        <f t="shared" si="47"/>
        <v>1.238139375053569</v>
      </c>
      <c r="BZ57">
        <f t="shared" si="48"/>
        <v>2.7090505999999994</v>
      </c>
      <c r="CB57">
        <f t="shared" si="49"/>
        <v>-2.3025850929940455</v>
      </c>
      <c r="CC57">
        <f t="shared" si="50"/>
        <v>1.7344241870059549</v>
      </c>
      <c r="CD57">
        <f t="shared" si="51"/>
        <v>0.64023321934479749</v>
      </c>
      <c r="CE57">
        <f t="shared" si="60"/>
        <v>0.75856886381101818</v>
      </c>
      <c r="CF57">
        <f t="shared" si="53"/>
        <v>1.8205176775322822</v>
      </c>
      <c r="CM57">
        <f t="shared" si="54"/>
        <v>0.22921099658585153</v>
      </c>
      <c r="CN57">
        <f t="shared" si="59"/>
        <v>1.257607361877443</v>
      </c>
      <c r="CO57">
        <f t="shared" si="55"/>
        <v>0.57229738456854751</v>
      </c>
      <c r="CP57">
        <v>0.3</v>
      </c>
      <c r="CU57" t="s">
        <v>120</v>
      </c>
      <c r="CV57">
        <v>0.312</v>
      </c>
    </row>
    <row r="58" spans="1:107" x14ac:dyDescent="0.25">
      <c r="A58">
        <v>53</v>
      </c>
      <c r="B58">
        <v>175</v>
      </c>
      <c r="C58" t="str">
        <f t="shared" si="56"/>
        <v>Reverse</v>
      </c>
      <c r="D58">
        <v>0.40639999999999998</v>
      </c>
      <c r="E58">
        <f t="shared" si="57"/>
        <v>406.4</v>
      </c>
      <c r="F58">
        <v>9.5299999999999985E-3</v>
      </c>
      <c r="G58">
        <f t="shared" si="57"/>
        <v>9.5299999999999994</v>
      </c>
      <c r="H58">
        <f t="shared" si="58"/>
        <v>42.644281217208821</v>
      </c>
      <c r="I58">
        <v>50</v>
      </c>
      <c r="R58">
        <v>58</v>
      </c>
      <c r="S58" t="s">
        <v>71</v>
      </c>
      <c r="T58" t="s">
        <v>76</v>
      </c>
      <c r="U58">
        <f t="shared" si="35"/>
        <v>18.5</v>
      </c>
      <c r="V58">
        <f t="shared" si="36"/>
        <v>0</v>
      </c>
      <c r="W58">
        <f t="shared" si="37"/>
        <v>125</v>
      </c>
      <c r="X58">
        <f t="shared" si="38"/>
        <v>0.4</v>
      </c>
      <c r="Y58">
        <v>0.9</v>
      </c>
      <c r="Z58">
        <v>0</v>
      </c>
      <c r="AB58">
        <f t="shared" si="39"/>
        <v>63.837162720944598</v>
      </c>
      <c r="AH58">
        <f t="shared" si="40"/>
        <v>4.1563355085596809</v>
      </c>
      <c r="AI58">
        <v>0.15</v>
      </c>
      <c r="AS58">
        <f t="shared" si="41"/>
        <v>0</v>
      </c>
      <c r="AT58">
        <f t="shared" si="42"/>
        <v>1</v>
      </c>
      <c r="AU58">
        <f t="shared" si="43"/>
        <v>3.7528931785981614</v>
      </c>
      <c r="AV58">
        <f t="shared" si="44"/>
        <v>-3.7245790400000001</v>
      </c>
      <c r="AW58">
        <f t="shared" si="45"/>
        <v>0.49883007999999995</v>
      </c>
      <c r="AX58">
        <f t="shared" si="46"/>
        <v>2.538611408</v>
      </c>
      <c r="AY58">
        <f t="shared" si="47"/>
        <v>0.80424378081597592</v>
      </c>
      <c r="BZ58">
        <f t="shared" si="48"/>
        <v>2.2234507999999997</v>
      </c>
      <c r="CB58">
        <f t="shared" si="49"/>
        <v>-1.8971199848858813</v>
      </c>
      <c r="CC58">
        <f t="shared" si="50"/>
        <v>1.8274590551141188</v>
      </c>
      <c r="CD58">
        <f t="shared" si="51"/>
        <v>0.82190217796324483</v>
      </c>
      <c r="CE58">
        <f t="shared" si="60"/>
        <v>1.1626517128318059</v>
      </c>
      <c r="CF58">
        <f t="shared" si="53"/>
        <v>2.3307570241790674</v>
      </c>
      <c r="CM58">
        <f t="shared" si="54"/>
        <v>0.59638939699504334</v>
      </c>
      <c r="CN58">
        <f t="shared" si="59"/>
        <v>1.8155517154769825</v>
      </c>
      <c r="CO58">
        <f t="shared" si="55"/>
        <v>0.57229738456854751</v>
      </c>
      <c r="CP58">
        <v>0.3</v>
      </c>
    </row>
    <row r="59" spans="1:107" x14ac:dyDescent="0.25">
      <c r="A59">
        <v>54</v>
      </c>
      <c r="B59">
        <v>172</v>
      </c>
      <c r="C59" t="str">
        <f t="shared" si="56"/>
        <v>Reverse</v>
      </c>
      <c r="D59">
        <v>0.50800000000000001</v>
      </c>
      <c r="E59">
        <f t="shared" si="57"/>
        <v>508</v>
      </c>
      <c r="F59">
        <v>1.1130000000000001E-2</v>
      </c>
      <c r="G59">
        <f t="shared" si="57"/>
        <v>11.13</v>
      </c>
      <c r="H59">
        <f t="shared" si="58"/>
        <v>45.642407906558844</v>
      </c>
      <c r="I59">
        <v>100</v>
      </c>
      <c r="R59">
        <v>51</v>
      </c>
      <c r="S59" t="s">
        <v>71</v>
      </c>
      <c r="T59" t="s">
        <v>72</v>
      </c>
      <c r="U59">
        <f t="shared" si="35"/>
        <v>17.5</v>
      </c>
      <c r="V59">
        <f t="shared" si="36"/>
        <v>0</v>
      </c>
      <c r="W59">
        <f t="shared" si="37"/>
        <v>37.5</v>
      </c>
      <c r="X59">
        <f t="shared" si="38"/>
        <v>1.1000000000000001</v>
      </c>
      <c r="Y59">
        <v>0.9</v>
      </c>
      <c r="Z59">
        <v>0</v>
      </c>
      <c r="AB59">
        <f t="shared" si="39"/>
        <v>65.832074055974118</v>
      </c>
      <c r="AH59">
        <f t="shared" si="40"/>
        <v>4.1871071672264346</v>
      </c>
      <c r="AI59">
        <v>0.2</v>
      </c>
      <c r="AS59">
        <f t="shared" si="41"/>
        <v>0</v>
      </c>
      <c r="AT59">
        <f t="shared" si="42"/>
        <v>0</v>
      </c>
      <c r="AU59">
        <f t="shared" si="43"/>
        <v>3.8208372822910284</v>
      </c>
      <c r="AV59">
        <f t="shared" si="44"/>
        <v>-3.5227188000000003</v>
      </c>
      <c r="AW59">
        <f t="shared" si="45"/>
        <v>0.53883259999999999</v>
      </c>
      <c r="AX59">
        <f t="shared" si="46"/>
        <v>2.5446767599999998</v>
      </c>
      <c r="AY59">
        <f t="shared" si="47"/>
        <v>8.0474648646334468E-2</v>
      </c>
      <c r="BZ59">
        <f t="shared" si="48"/>
        <v>2.1667009999999998</v>
      </c>
      <c r="CB59">
        <f t="shared" si="49"/>
        <v>-1.6094379124341003</v>
      </c>
      <c r="CC59">
        <f t="shared" si="50"/>
        <v>1.9132808875659</v>
      </c>
      <c r="CD59">
        <f t="shared" si="51"/>
        <v>0.88303872457062615</v>
      </c>
      <c r="CE59">
        <f t="shared" si="60"/>
        <v>1.3893995965142862</v>
      </c>
      <c r="CF59">
        <f t="shared" si="53"/>
        <v>2.5785366299557344</v>
      </c>
      <c r="CM59">
        <f t="shared" si="54"/>
        <v>0.11433451860206911</v>
      </c>
      <c r="CN59">
        <f t="shared" si="59"/>
        <v>1.1211271000328198</v>
      </c>
      <c r="CO59">
        <f t="shared" si="55"/>
        <v>0.57229738456854751</v>
      </c>
      <c r="CP59">
        <v>0.3</v>
      </c>
    </row>
    <row r="60" spans="1:107" x14ac:dyDescent="0.25">
      <c r="A60">
        <v>55</v>
      </c>
      <c r="B60">
        <v>172</v>
      </c>
      <c r="C60" t="str">
        <f t="shared" si="56"/>
        <v>Reverse</v>
      </c>
      <c r="D60">
        <v>0.60960000000000003</v>
      </c>
      <c r="E60">
        <f t="shared" si="57"/>
        <v>609.6</v>
      </c>
      <c r="F60">
        <v>9.5299999999999985E-3</v>
      </c>
      <c r="G60">
        <f t="shared" si="57"/>
        <v>9.5299999999999994</v>
      </c>
      <c r="H60">
        <f t="shared" si="58"/>
        <v>63.966421825813235</v>
      </c>
      <c r="I60">
        <v>15</v>
      </c>
      <c r="R60">
        <v>44</v>
      </c>
      <c r="S60" t="s">
        <v>71</v>
      </c>
      <c r="T60" t="s">
        <v>74</v>
      </c>
      <c r="U60">
        <f t="shared" si="35"/>
        <v>18</v>
      </c>
      <c r="V60">
        <f t="shared" si="36"/>
        <v>0</v>
      </c>
      <c r="W60">
        <f t="shared" si="37"/>
        <v>75</v>
      </c>
      <c r="X60">
        <f t="shared" si="38"/>
        <v>0.72</v>
      </c>
      <c r="Y60">
        <v>0.9</v>
      </c>
      <c r="Z60">
        <v>0</v>
      </c>
      <c r="AB60">
        <f t="shared" si="39"/>
        <v>103.41620360793024</v>
      </c>
      <c r="AH60">
        <f t="shared" si="40"/>
        <v>4.6387616578039736</v>
      </c>
      <c r="AI60">
        <v>0.2</v>
      </c>
      <c r="AS60">
        <f t="shared" si="41"/>
        <v>0</v>
      </c>
      <c r="AT60">
        <f t="shared" si="42"/>
        <v>0</v>
      </c>
      <c r="AU60">
        <f t="shared" si="43"/>
        <v>4.158358286706326</v>
      </c>
      <c r="AV60">
        <f t="shared" si="44"/>
        <v>-3.6995335599999999</v>
      </c>
      <c r="AW60">
        <f t="shared" si="45"/>
        <v>0.49783511999999996</v>
      </c>
      <c r="AX60">
        <f t="shared" si="46"/>
        <v>2.4346421120000001</v>
      </c>
      <c r="AY60">
        <f t="shared" si="47"/>
        <v>0.49777159465007936</v>
      </c>
      <c r="BZ60">
        <f t="shared" si="48"/>
        <v>2.2503511999999999</v>
      </c>
      <c r="CB60">
        <f t="shared" si="49"/>
        <v>-1.6094379124341003</v>
      </c>
      <c r="CC60">
        <f t="shared" si="50"/>
        <v>2.0900956475658994</v>
      </c>
      <c r="CD60">
        <f t="shared" si="51"/>
        <v>0.92878642567697856</v>
      </c>
      <c r="CE60">
        <f t="shared" si="60"/>
        <v>1.6494814191438925</v>
      </c>
      <c r="CF60">
        <f t="shared" si="53"/>
        <v>3.3133086696332161</v>
      </c>
      <c r="CM60">
        <f t="shared" si="54"/>
        <v>1.3764381522832954</v>
      </c>
      <c r="CN60">
        <f t="shared" si="59"/>
        <v>3.9607688176086686</v>
      </c>
      <c r="CO60">
        <f t="shared" si="55"/>
        <v>0.57229738456854751</v>
      </c>
      <c r="CP60">
        <v>0.3</v>
      </c>
    </row>
    <row r="61" spans="1:107" x14ac:dyDescent="0.25">
      <c r="A61">
        <v>56</v>
      </c>
      <c r="B61">
        <v>170</v>
      </c>
      <c r="C61" t="str">
        <f t="shared" si="56"/>
        <v>Reverse</v>
      </c>
      <c r="D61">
        <v>0.76200000000000001</v>
      </c>
      <c r="E61">
        <f t="shared" si="57"/>
        <v>762</v>
      </c>
      <c r="F61">
        <v>1.2699999999999999E-2</v>
      </c>
      <c r="G61">
        <f t="shared" si="57"/>
        <v>12.7</v>
      </c>
      <c r="H61">
        <f t="shared" si="58"/>
        <v>60</v>
      </c>
      <c r="I61">
        <v>30</v>
      </c>
      <c r="R61">
        <v>37</v>
      </c>
      <c r="S61" t="s">
        <v>71</v>
      </c>
      <c r="T61" t="s">
        <v>76</v>
      </c>
      <c r="U61">
        <f t="shared" si="35"/>
        <v>18.5</v>
      </c>
      <c r="V61">
        <f t="shared" si="36"/>
        <v>0</v>
      </c>
      <c r="W61">
        <f t="shared" si="37"/>
        <v>125</v>
      </c>
      <c r="X61">
        <f t="shared" si="38"/>
        <v>0.4</v>
      </c>
      <c r="Y61">
        <v>0.9</v>
      </c>
      <c r="Z61">
        <v>0</v>
      </c>
      <c r="AB61">
        <f t="shared" si="39"/>
        <v>119.69468010177111</v>
      </c>
      <c r="AH61">
        <f t="shared" si="40"/>
        <v>4.7849441679820552</v>
      </c>
      <c r="AI61">
        <v>0.25</v>
      </c>
      <c r="AS61">
        <f t="shared" si="41"/>
        <v>0</v>
      </c>
      <c r="AT61">
        <f t="shared" si="42"/>
        <v>0</v>
      </c>
      <c r="AU61">
        <f t="shared" si="43"/>
        <v>4.0943445622221004</v>
      </c>
      <c r="AV61">
        <f t="shared" si="44"/>
        <v>-3.5650431999999999</v>
      </c>
      <c r="AW61">
        <f t="shared" si="45"/>
        <v>0.52183889999999999</v>
      </c>
      <c r="AX61">
        <f t="shared" si="46"/>
        <v>2.3921401399999995</v>
      </c>
      <c r="AY61">
        <f t="shared" si="47"/>
        <v>0.529226419371848</v>
      </c>
      <c r="BZ61">
        <f t="shared" si="48"/>
        <v>2.2276265</v>
      </c>
      <c r="CB61">
        <f t="shared" si="49"/>
        <v>-1.3862943611198906</v>
      </c>
      <c r="CC61">
        <f t="shared" si="50"/>
        <v>2.1787488388801091</v>
      </c>
      <c r="CD61">
        <f t="shared" si="51"/>
        <v>0.97805841279052352</v>
      </c>
      <c r="CE61">
        <f t="shared" si="60"/>
        <v>2.2507436237850884</v>
      </c>
      <c r="CF61">
        <f t="shared" si="53"/>
        <v>4.3131005062771068</v>
      </c>
      <c r="CM61">
        <f t="shared" si="54"/>
        <v>2.4501867856489552</v>
      </c>
      <c r="CN61">
        <f t="shared" si="59"/>
        <v>11.590511458250456</v>
      </c>
      <c r="CO61">
        <f t="shared" si="55"/>
        <v>0.57229738456854751</v>
      </c>
      <c r="CP61">
        <v>0.3</v>
      </c>
    </row>
    <row r="62" spans="1:107" x14ac:dyDescent="0.25">
      <c r="A62">
        <v>57</v>
      </c>
      <c r="B62">
        <v>175</v>
      </c>
      <c r="C62" t="str">
        <f t="shared" si="56"/>
        <v>Reverse</v>
      </c>
      <c r="D62">
        <v>0.86360000000000003</v>
      </c>
      <c r="E62">
        <f t="shared" si="57"/>
        <v>863.6</v>
      </c>
      <c r="F62">
        <v>1.1130000000000001E-2</v>
      </c>
      <c r="G62">
        <f t="shared" si="57"/>
        <v>11.13</v>
      </c>
      <c r="H62">
        <f t="shared" si="58"/>
        <v>77.592093441150041</v>
      </c>
      <c r="I62">
        <v>50</v>
      </c>
      <c r="R62">
        <v>30</v>
      </c>
      <c r="S62" t="s">
        <v>71</v>
      </c>
      <c r="T62" t="s">
        <v>72</v>
      </c>
      <c r="U62">
        <f t="shared" si="35"/>
        <v>17.5</v>
      </c>
      <c r="V62">
        <f t="shared" si="36"/>
        <v>0</v>
      </c>
      <c r="W62">
        <f t="shared" si="37"/>
        <v>37.5</v>
      </c>
      <c r="X62">
        <f t="shared" si="38"/>
        <v>1.1000000000000001</v>
      </c>
      <c r="Y62">
        <v>0.9</v>
      </c>
      <c r="Z62">
        <v>0</v>
      </c>
      <c r="AB62">
        <f t="shared" si="39"/>
        <v>111.91452589515602</v>
      </c>
      <c r="AH62">
        <f t="shared" si="40"/>
        <v>4.7177354182886058</v>
      </c>
      <c r="AI62">
        <v>0.28000000000000003</v>
      </c>
      <c r="AS62">
        <f t="shared" si="41"/>
        <v>0</v>
      </c>
      <c r="AT62">
        <f t="shared" si="42"/>
        <v>0</v>
      </c>
      <c r="AU62">
        <f t="shared" si="43"/>
        <v>4.3514655333531991</v>
      </c>
      <c r="AV62">
        <f t="shared" si="44"/>
        <v>-3.4473329600000002</v>
      </c>
      <c r="AW62">
        <f t="shared" si="45"/>
        <v>0.54384142000000002</v>
      </c>
      <c r="AX62">
        <f t="shared" si="46"/>
        <v>2.3724054919999999</v>
      </c>
      <c r="AY62">
        <f t="shared" si="47"/>
        <v>0.64839201388581147</v>
      </c>
      <c r="BZ62">
        <f t="shared" si="48"/>
        <v>2.2020766999999997</v>
      </c>
      <c r="CB62">
        <f t="shared" si="49"/>
        <v>-1.2729656758128873</v>
      </c>
      <c r="CC62">
        <f t="shared" si="50"/>
        <v>2.1743672841871131</v>
      </c>
      <c r="CD62">
        <f t="shared" si="51"/>
        <v>0.98741668906769386</v>
      </c>
      <c r="CE62">
        <f t="shared" si="60"/>
        <v>2.5311097606942257</v>
      </c>
      <c r="CF62">
        <f t="shared" si="53"/>
        <v>4.6541320090960072</v>
      </c>
      <c r="CM62">
        <f t="shared" si="54"/>
        <v>2.9301185309818187</v>
      </c>
      <c r="CN62">
        <f t="shared" si="59"/>
        <v>18.729850432665824</v>
      </c>
      <c r="CO62">
        <f t="shared" si="55"/>
        <v>0.57229738456854751</v>
      </c>
      <c r="CP62">
        <v>0.3</v>
      </c>
    </row>
    <row r="63" spans="1:107" x14ac:dyDescent="0.25">
      <c r="A63">
        <v>58</v>
      </c>
      <c r="B63">
        <v>180</v>
      </c>
      <c r="C63" t="str">
        <f t="shared" si="56"/>
        <v>Reverse</v>
      </c>
      <c r="D63">
        <v>1.0668</v>
      </c>
      <c r="E63">
        <f t="shared" si="57"/>
        <v>1066.8</v>
      </c>
      <c r="F63">
        <v>1.2699999999999999E-2</v>
      </c>
      <c r="G63">
        <f t="shared" si="57"/>
        <v>12.7</v>
      </c>
      <c r="H63">
        <f t="shared" si="58"/>
        <v>84</v>
      </c>
      <c r="I63">
        <v>100</v>
      </c>
      <c r="R63">
        <v>23</v>
      </c>
      <c r="S63" t="s">
        <v>71</v>
      </c>
      <c r="T63" t="s">
        <v>74</v>
      </c>
      <c r="U63">
        <f t="shared" si="35"/>
        <v>18</v>
      </c>
      <c r="V63">
        <f t="shared" si="36"/>
        <v>0</v>
      </c>
      <c r="W63">
        <f t="shared" si="37"/>
        <v>75</v>
      </c>
      <c r="X63">
        <f t="shared" si="38"/>
        <v>0.72</v>
      </c>
      <c r="Y63">
        <v>0.9</v>
      </c>
      <c r="Z63">
        <v>0</v>
      </c>
      <c r="AB63">
        <f t="shared" si="39"/>
        <v>180.97835631387795</v>
      </c>
      <c r="AH63">
        <f t="shared" si="40"/>
        <v>5.1983774457393972</v>
      </c>
      <c r="AI63">
        <v>0.18</v>
      </c>
      <c r="AS63">
        <f t="shared" si="41"/>
        <v>0</v>
      </c>
      <c r="AT63">
        <f t="shared" si="42"/>
        <v>0</v>
      </c>
      <c r="AU63">
        <f t="shared" si="43"/>
        <v>4.4308167988433134</v>
      </c>
      <c r="AV63">
        <f t="shared" si="44"/>
        <v>-3.1838624800000002</v>
      </c>
      <c r="AW63">
        <f t="shared" si="45"/>
        <v>0.59384645999999996</v>
      </c>
      <c r="AX63">
        <f t="shared" si="46"/>
        <v>2.3415361959999998</v>
      </c>
      <c r="AY63">
        <f t="shared" si="47"/>
        <v>0.92075337266705359</v>
      </c>
      <c r="BZ63">
        <f t="shared" si="48"/>
        <v>2.1405770999999998</v>
      </c>
      <c r="CB63">
        <f t="shared" si="49"/>
        <v>-1.7147984280919266</v>
      </c>
      <c r="CC63">
        <f t="shared" si="50"/>
        <v>1.4690640519080735</v>
      </c>
      <c r="CD63">
        <f t="shared" si="51"/>
        <v>0.68629345418488952</v>
      </c>
      <c r="CE63">
        <f t="shared" si="60"/>
        <v>0.8409150977233486</v>
      </c>
      <c r="CF63">
        <f t="shared" si="53"/>
        <v>1.416048009654463</v>
      </c>
      <c r="CM63">
        <f t="shared" si="54"/>
        <v>-4.7348136784832739E-3</v>
      </c>
      <c r="CN63">
        <f t="shared" si="59"/>
        <v>0.99527637788151735</v>
      </c>
      <c r="CO63">
        <f t="shared" si="55"/>
        <v>0.57229738456854751</v>
      </c>
      <c r="CP63">
        <v>0.3</v>
      </c>
    </row>
    <row r="64" spans="1:107" x14ac:dyDescent="0.25">
      <c r="A64">
        <v>59</v>
      </c>
      <c r="B64">
        <v>180</v>
      </c>
      <c r="C64" t="str">
        <f t="shared" si="56"/>
        <v>Reverse</v>
      </c>
      <c r="D64">
        <v>0.60960000000000003</v>
      </c>
      <c r="E64">
        <f t="shared" si="57"/>
        <v>609.6</v>
      </c>
      <c r="F64">
        <v>1.1130000000000001E-2</v>
      </c>
      <c r="G64">
        <f t="shared" si="57"/>
        <v>11.13</v>
      </c>
      <c r="H64">
        <f t="shared" si="58"/>
        <v>54.770889487870619</v>
      </c>
      <c r="I64">
        <v>150</v>
      </c>
      <c r="R64">
        <v>16</v>
      </c>
      <c r="S64" t="s">
        <v>71</v>
      </c>
      <c r="T64" t="s">
        <v>76</v>
      </c>
      <c r="U64">
        <f t="shared" si="35"/>
        <v>18.5</v>
      </c>
      <c r="V64">
        <f t="shared" si="36"/>
        <v>0</v>
      </c>
      <c r="W64">
        <f t="shared" si="37"/>
        <v>125</v>
      </c>
      <c r="X64">
        <f t="shared" si="38"/>
        <v>0.4</v>
      </c>
      <c r="Y64">
        <v>0.9</v>
      </c>
      <c r="Z64">
        <v>0</v>
      </c>
      <c r="AB64">
        <f t="shared" si="39"/>
        <v>95.755744081416907</v>
      </c>
      <c r="AH64">
        <f t="shared" si="40"/>
        <v>4.5618006166678455</v>
      </c>
      <c r="AI64">
        <v>0.4</v>
      </c>
      <c r="AS64">
        <f t="shared" si="41"/>
        <v>0</v>
      </c>
      <c r="AT64">
        <f t="shared" si="42"/>
        <v>0</v>
      </c>
      <c r="AU64">
        <f t="shared" si="43"/>
        <v>4.0031588390849828</v>
      </c>
      <c r="AV64">
        <f t="shared" si="44"/>
        <v>-3.32085856</v>
      </c>
      <c r="AW64">
        <f t="shared" si="45"/>
        <v>0.57883511999999993</v>
      </c>
      <c r="AX64">
        <f t="shared" si="46"/>
        <v>2.550742112</v>
      </c>
      <c r="AY64">
        <f t="shared" si="47"/>
        <v>0.37086793548713748</v>
      </c>
      <c r="BZ64">
        <f t="shared" si="48"/>
        <v>2.1099511999999998</v>
      </c>
      <c r="CB64">
        <f t="shared" si="49"/>
        <v>-0.916290731874155</v>
      </c>
      <c r="CC64">
        <f t="shared" si="50"/>
        <v>2.4045678281258449</v>
      </c>
      <c r="CD64">
        <f t="shared" si="51"/>
        <v>1.13963196311168</v>
      </c>
      <c r="CE64">
        <f>IF(CD64&gt;=1,5,ATANH(CD64))</f>
        <v>5</v>
      </c>
      <c r="CF64">
        <f t="shared" si="53"/>
        <v>8.6380384106617445</v>
      </c>
      <c r="CM64">
        <f t="shared" si="54"/>
        <v>6.4581642341488816</v>
      </c>
      <c r="CN64">
        <f t="shared" si="59"/>
        <v>637.88896627595602</v>
      </c>
      <c r="CO64">
        <f t="shared" si="55"/>
        <v>0.57229738456854751</v>
      </c>
      <c r="CP64">
        <v>0.3</v>
      </c>
    </row>
    <row r="65" spans="1:94" x14ac:dyDescent="0.25">
      <c r="A65">
        <v>60</v>
      </c>
      <c r="B65">
        <v>179</v>
      </c>
      <c r="C65" t="str">
        <f t="shared" si="56"/>
        <v>Reverse</v>
      </c>
      <c r="D65">
        <v>0.60960000000000003</v>
      </c>
      <c r="E65">
        <f t="shared" si="57"/>
        <v>609.6</v>
      </c>
      <c r="F65">
        <v>1.1130000000000001E-2</v>
      </c>
      <c r="G65">
        <f t="shared" si="57"/>
        <v>11.13</v>
      </c>
      <c r="H65">
        <f t="shared" si="58"/>
        <v>54.770889487870619</v>
      </c>
      <c r="I65">
        <v>200</v>
      </c>
      <c r="R65">
        <v>15</v>
      </c>
      <c r="S65" t="s">
        <v>71</v>
      </c>
      <c r="T65" t="s">
        <v>72</v>
      </c>
      <c r="U65">
        <f t="shared" si="35"/>
        <v>17.5</v>
      </c>
      <c r="V65">
        <f t="shared" si="36"/>
        <v>0</v>
      </c>
      <c r="W65">
        <f t="shared" si="37"/>
        <v>37.5</v>
      </c>
      <c r="X65">
        <f t="shared" si="38"/>
        <v>1.1000000000000001</v>
      </c>
      <c r="Y65">
        <v>0.9</v>
      </c>
      <c r="Z65">
        <v>0</v>
      </c>
      <c r="AB65">
        <f t="shared" si="39"/>
        <v>78.998488867168945</v>
      </c>
      <c r="AH65">
        <f t="shared" si="40"/>
        <v>4.3694287240203895</v>
      </c>
      <c r="AI65">
        <v>1.2</v>
      </c>
      <c r="AS65">
        <f t="shared" si="41"/>
        <v>0</v>
      </c>
      <c r="AT65">
        <f t="shared" si="42"/>
        <v>0</v>
      </c>
      <c r="AU65">
        <f t="shared" si="43"/>
        <v>4.0031588390849828</v>
      </c>
      <c r="AV65">
        <f t="shared" si="44"/>
        <v>-3.18060856</v>
      </c>
      <c r="AW65">
        <f t="shared" si="45"/>
        <v>0.60883511999999995</v>
      </c>
      <c r="AX65">
        <f t="shared" si="46"/>
        <v>2.5937421120000002</v>
      </c>
      <c r="AY65">
        <f t="shared" si="47"/>
        <v>0.28025382529312659</v>
      </c>
      <c r="BZ65">
        <f t="shared" si="48"/>
        <v>2.0579511999999998</v>
      </c>
      <c r="CB65">
        <f t="shared" si="49"/>
        <v>0.18232155679395459</v>
      </c>
      <c r="CC65">
        <f t="shared" si="50"/>
        <v>3.3629301167939545</v>
      </c>
      <c r="CD65">
        <f t="shared" si="51"/>
        <v>1.6341155790253699</v>
      </c>
      <c r="CE65">
        <f>IF(CD65&gt;=1,5,ATANH(CD65))</f>
        <v>5</v>
      </c>
      <c r="CF65">
        <f t="shared" si="53"/>
        <v>8.2124040413437385</v>
      </c>
      <c r="CM65">
        <f t="shared" si="54"/>
        <v>5.8989157546368647</v>
      </c>
      <c r="CN65">
        <f t="shared" si="59"/>
        <v>364.64189217273321</v>
      </c>
      <c r="CO65">
        <f t="shared" si="55"/>
        <v>0.57229738456854751</v>
      </c>
      <c r="CP65">
        <v>0.3</v>
      </c>
    </row>
    <row r="68" spans="1:94" x14ac:dyDescent="0.25">
      <c r="D68" t="s">
        <v>1</v>
      </c>
      <c r="E68" t="s">
        <v>2</v>
      </c>
      <c r="F68" t="s">
        <v>3</v>
      </c>
      <c r="G68" t="s">
        <v>4</v>
      </c>
      <c r="H68" t="s">
        <v>5</v>
      </c>
      <c r="I68" t="s">
        <v>6</v>
      </c>
      <c r="J68" t="s">
        <v>7</v>
      </c>
      <c r="K68" s="1" t="s">
        <v>8</v>
      </c>
      <c r="L68" s="1" t="s">
        <v>9</v>
      </c>
      <c r="M68" s="1" t="s">
        <v>10</v>
      </c>
      <c r="N68" s="1" t="s">
        <v>11</v>
      </c>
      <c r="O68" s="2" t="s">
        <v>12</v>
      </c>
      <c r="P68" t="s">
        <v>13</v>
      </c>
      <c r="Q68" t="s">
        <v>14</v>
      </c>
      <c r="R68" t="s">
        <v>15</v>
      </c>
      <c r="S68" t="s">
        <v>16</v>
      </c>
      <c r="T68" t="s">
        <v>17</v>
      </c>
      <c r="U68" t="s">
        <v>18</v>
      </c>
      <c r="V68" t="s">
        <v>19</v>
      </c>
      <c r="W68" t="s">
        <v>20</v>
      </c>
      <c r="X68" t="s">
        <v>21</v>
      </c>
      <c r="Y68" t="s">
        <v>22</v>
      </c>
      <c r="Z68" t="s">
        <v>23</v>
      </c>
      <c r="AA68" t="s">
        <v>24</v>
      </c>
      <c r="AB68" t="s">
        <v>25</v>
      </c>
      <c r="AC68" t="s">
        <v>26</v>
      </c>
      <c r="AD68" t="s">
        <v>27</v>
      </c>
      <c r="AE68" t="s">
        <v>28</v>
      </c>
      <c r="AF68" t="s">
        <v>29</v>
      </c>
      <c r="AG68" t="s">
        <v>30</v>
      </c>
      <c r="AH68" t="s">
        <v>31</v>
      </c>
      <c r="AI68" t="s">
        <v>58</v>
      </c>
      <c r="AJ68" t="s">
        <v>32</v>
      </c>
      <c r="AK68" t="s">
        <v>33</v>
      </c>
      <c r="AL68" t="s">
        <v>34</v>
      </c>
      <c r="AM68" t="s">
        <v>35</v>
      </c>
      <c r="AN68" t="s">
        <v>36</v>
      </c>
      <c r="AO68" t="s">
        <v>37</v>
      </c>
      <c r="AP68" t="s">
        <v>38</v>
      </c>
      <c r="AR68" t="s">
        <v>39</v>
      </c>
      <c r="AV68" t="s">
        <v>40</v>
      </c>
      <c r="AW68" t="s">
        <v>41</v>
      </c>
      <c r="AX68" t="s">
        <v>42</v>
      </c>
      <c r="AY68" t="s">
        <v>43</v>
      </c>
      <c r="AZ68" t="s">
        <v>44</v>
      </c>
      <c r="BA68" t="s">
        <v>45</v>
      </c>
      <c r="BB68" t="s">
        <v>46</v>
      </c>
      <c r="BC68" t="s">
        <v>47</v>
      </c>
      <c r="BD68" t="s">
        <v>48</v>
      </c>
      <c r="BE68" t="s">
        <v>49</v>
      </c>
      <c r="BF68" t="s">
        <v>50</v>
      </c>
      <c r="BG68" t="s">
        <v>51</v>
      </c>
      <c r="BH68" t="s">
        <v>52</v>
      </c>
      <c r="BI68" t="s">
        <v>53</v>
      </c>
      <c r="BW68" t="s">
        <v>56</v>
      </c>
      <c r="BX68" t="s">
        <v>54</v>
      </c>
      <c r="BY68" t="s">
        <v>55</v>
      </c>
      <c r="BZ68" t="s">
        <v>57</v>
      </c>
      <c r="CB68" t="s">
        <v>59</v>
      </c>
      <c r="CG68" t="s">
        <v>60</v>
      </c>
      <c r="CH68" t="s">
        <v>61</v>
      </c>
      <c r="CI68" t="s">
        <v>62</v>
      </c>
      <c r="CJ68" t="s">
        <v>63</v>
      </c>
      <c r="CK68" t="s">
        <v>64</v>
      </c>
      <c r="CL68" t="s">
        <v>65</v>
      </c>
      <c r="CM68" t="s">
        <v>66</v>
      </c>
      <c r="CN68" t="s">
        <v>67</v>
      </c>
      <c r="CO68" t="s">
        <v>68</v>
      </c>
      <c r="CP68" t="s">
        <v>69</v>
      </c>
    </row>
    <row r="69" spans="1:94" x14ac:dyDescent="0.25">
      <c r="A69">
        <v>61</v>
      </c>
      <c r="B69">
        <v>0</v>
      </c>
      <c r="C69" t="str">
        <f>IF(AND(B69&gt;=0,B69&lt;=10),"Normal",IF(AND(B69&gt;10,B69&lt;90),"SSTens",IF(AND(B69&gt;=90,B69&lt;170),"SSComp",IF(AND(B69&gt;=170,B69&lt;=180),"Reverse"))))</f>
        <v>Normal</v>
      </c>
      <c r="D69">
        <v>1.0668</v>
      </c>
      <c r="E69">
        <f>D69*1000</f>
        <v>1066.8</v>
      </c>
      <c r="F69">
        <v>9.5250000000000005E-3</v>
      </c>
      <c r="G69">
        <f>F69*1000</f>
        <v>9.5250000000000004</v>
      </c>
      <c r="H69" s="3">
        <f>E69/G69</f>
        <v>111.99999999999999</v>
      </c>
      <c r="I69" s="1">
        <v>30</v>
      </c>
      <c r="J69" s="4" t="s">
        <v>70</v>
      </c>
      <c r="K69" s="1">
        <f>IF(J69="Grade-B",3,IF(J69="X-42",3,IF(J69="X-52",8,IF(J69="X-60",8,IF(J69="X-70",14,IF(J69="X-80",15,8))))))</f>
        <v>8</v>
      </c>
      <c r="L69" s="1">
        <f>IF(J69="Grade-B",8,IF(J69="X-42",9,IF(J69="X-52",10,IF(J69="X-60",12,IF(J69="X-70",15,IF(J69="X-80",20,10))))))</f>
        <v>10</v>
      </c>
      <c r="M69" s="1">
        <f>IF(J69="Grade-B",241,IF(J69="X-42",290,IF(J69="X-52",359,IF(J69="X-60",414,IF(J69="X-70",483,IF(J69="X-80",552,359))))))*1000</f>
        <v>359000</v>
      </c>
      <c r="N69" s="1">
        <f>IF(J69="Grade-B",344,IF(J69="X-42",414,IF(J69="X-52",455,IF(J69="X-60",517,IF(J69="X-70",565,IF(J69="X-80",625,M69*1.2/1000))))))*1000</f>
        <v>455000</v>
      </c>
      <c r="O69" s="1">
        <f>N69/200000000*(1+K69/(1+L69)*(N69/M69)^L69)*100</f>
        <v>1.9969902892117808</v>
      </c>
      <c r="P69" s="3">
        <v>1.9041242414694344</v>
      </c>
      <c r="Q69" s="1">
        <f>LN(O69)</f>
        <v>0.69164119173371341</v>
      </c>
      <c r="R69" s="1">
        <v>45</v>
      </c>
      <c r="S69" s="1" t="s">
        <v>71</v>
      </c>
      <c r="T69" t="s">
        <v>72</v>
      </c>
      <c r="U69">
        <f>IF(T69="medium dense",18,IF(T69="dense",18.5,IF(T69="very dense",19,IF(T69="soft",17.5,IF(T69="medium stiff",18,IF(T69="stiff",18.5,0))))))</f>
        <v>17.5</v>
      </c>
      <c r="V69" s="1">
        <f>IF(T69="medium dense",37,IF(T69="dense",40,IF(T69="very dense",43,0)))</f>
        <v>0</v>
      </c>
      <c r="W69">
        <f>IF(T69="soft",37.5,IF(T69="medium stiff",75,IF(T69="stiff",125,0)))</f>
        <v>37.5</v>
      </c>
      <c r="X69">
        <f>IF(T69="soft",1.1,IF(T69="medium stiff",0.72,IF(T69="stiff",0.4,0)))</f>
        <v>1.1000000000000001</v>
      </c>
      <c r="Y69">
        <v>0.9</v>
      </c>
      <c r="Z69" s="1">
        <v>0.78739999999999999</v>
      </c>
      <c r="AA69" s="1">
        <f t="shared" ref="AA69:AA88" si="61">MIN(11.5,MAX(1.8,Z69/D69))</f>
        <v>1.8</v>
      </c>
      <c r="AB69">
        <f>IF(S69="sand", PI() * D69 * Z69*U69* TAN(RADIANS(Y69*V69)), PI() * D69 * X69 * W69)</f>
        <v>138.24735551754566</v>
      </c>
      <c r="AC69">
        <f>IF(T69="medium dense",'[1]Coefficient Normal'!$E$18 + ('[1]Coefficient Normal'!$E$19*AA69) + ('[1]Coefficient Normal'!$E$20*(AA69^2)) + ('[1]Coefficient Normal'!$E$21*(AA69^3)) + ('[1]Coefficient Normal'!$E$22*(AA69^4)),IF(T69="dense",'[1]Coefficient Normal'!$F$18 + ('[1]Coefficient Normal'!$F$19*AA69) + ('[1]Coefficient Normal'!$F$20*(AA69^2)) + ('[1]Coefficient Normal'!$F$21*(AA69^3)) + ('[1]Coefficient Normal'!$F$22*(AA69^4)),IF(T69="very dense",'[1]Coefficient Normal'!$G$18 + ('[1]Coefficient Normal'!$G$19*AA69) + ('[1]Coefficient Normal'!$G$20*(AA69^2)) + ('[1]Coefficient Normal'!$G$21*(AA69^3)) + ('[1]Coefficient Normal'!$G$22*(AA69^4)),0)))</f>
        <v>0</v>
      </c>
      <c r="AD69">
        <f t="shared" ref="AD69:AD88" si="62">IF(S69="sand",MIN(80,EXP(0.18*V69-2.5)),0)</f>
        <v>0</v>
      </c>
      <c r="AE69">
        <f t="shared" ref="AE69:AE88" si="63">IF(S69="sand",AC69*U69*Z69*D69 + 0.5*U69*(D69^2)*AD69,5.14*W69*D69)</f>
        <v>205.62569999999999</v>
      </c>
      <c r="AF69">
        <f>LN(AE69)</f>
        <v>5.3260575257691611</v>
      </c>
      <c r="AG69">
        <f t="shared" ref="AG69:AG88" si="64">LN(H69)</f>
        <v>4.7184988712950942</v>
      </c>
      <c r="AH69">
        <f t="shared" ref="AH69:AH88" si="65">LN(AB69)</f>
        <v>4.9290445119558122</v>
      </c>
      <c r="AI69" s="1">
        <v>2.2496671510000001</v>
      </c>
      <c r="AJ69" s="5">
        <f>VLOOKUP(R69,'[1]Coefficient Normal'!$A$3:$H$7,2,TRUE)</f>
        <v>3.7532999999999999</v>
      </c>
      <c r="AK69" s="5">
        <f>VLOOKUP(R69,'[1]Coefficient Normal'!$A$3:$H$7,3,TRUE)</f>
        <v>0.14510000000000001</v>
      </c>
      <c r="AL69" s="5">
        <f>VLOOKUP(R69,'[1]Coefficient Normal'!$A$3:$H$7,4,TRUE)</f>
        <v>1.2497</v>
      </c>
      <c r="AM69" s="5">
        <f>VLOOKUP(R69,'[1]Coefficient Normal'!$A$3:$H$7,5,TRUE)</f>
        <v>-0.46100000000000002</v>
      </c>
      <c r="AN69" s="5">
        <f>VLOOKUP(R69,'[1]Coefficient Normal'!$A$3:$H$7,6,TRUE)</f>
        <v>0.39140000000000003</v>
      </c>
      <c r="AO69" s="5">
        <f>VLOOKUP(R69,'[1]Coefficient Normal'!$A$3:$H$7,7,TRUE)</f>
        <v>-0.21310000000000001</v>
      </c>
      <c r="AP69" s="5">
        <f>VLOOKUP(R69,'[1]Coefficient Normal'!$A$3:$H$7,8,TRUE)</f>
        <v>-0.34139999999999998</v>
      </c>
      <c r="AR69" s="5">
        <f t="shared" ref="AR69:AR88" si="66">AJ69+AK69*LN(I69) + AL69*LN(D69) + AM69*AG69 + AN69*Q69 + AO69*AF69 + AP69*AH69</f>
        <v>-0.39465453966325215</v>
      </c>
      <c r="AV69" s="5">
        <f>VLOOKUP(R69,'[1]Coefficient Normal'!$A$10:$P$14,2,TRUE)</f>
        <v>-1.1082000000000001</v>
      </c>
      <c r="AW69" s="5">
        <f>VLOOKUP(R69,'[1]Coefficient Normal'!$A$10:$P$14,3,TRUE)</f>
        <v>0.10630000000000001</v>
      </c>
      <c r="AX69" s="5">
        <f>VLOOKUP(R69,'[1]Coefficient Normal'!$A$10:$P$14,4,TRUE)</f>
        <v>-0.1439</v>
      </c>
      <c r="AY69" s="5">
        <f>VLOOKUP(R69,'[1]Coefficient Normal'!$A$10:$P$14,5,TRUE)</f>
        <v>0.27879999999999999</v>
      </c>
      <c r="AZ69" s="5">
        <f>VLOOKUP(R69,'[1]Coefficient Normal'!$A$10:$P$14,6,TRUE)</f>
        <v>-0.31030000000000002</v>
      </c>
      <c r="BA69" s="5">
        <f>VLOOKUP(R69,'[1]Coefficient Normal'!$A$10:$P$14,7,TRUE)</f>
        <v>1.2553000000000001</v>
      </c>
      <c r="BB69" s="5">
        <f>VLOOKUP(R69,'[1]Coefficient Normal'!$A$10:$P$14,8,TRUE)</f>
        <v>2.9999999999999997E-4</v>
      </c>
      <c r="BC69" s="5">
        <f>VLOOKUP(R69,'[1]Coefficient Normal'!$A$10:$P$14,9,TRUE)</f>
        <v>5.1999999999999998E-3</v>
      </c>
      <c r="BD69" s="5">
        <f>VLOOKUP(R69,'[1]Coefficient Normal'!$A$10:$P$14,10,TRUE)</f>
        <v>-8.5900000000000004E-2</v>
      </c>
      <c r="BE69" s="5">
        <f>VLOOKUP(R69,'[1]Coefficient Normal'!$A$10:$P$14,11,TRUE)</f>
        <v>5.9999999999999995E-4</v>
      </c>
      <c r="BF69" s="5">
        <f>VLOOKUP(R69,'[1]Coefficient Normal'!$A$10:$P$14,12,TRUE)</f>
        <v>-0.21759999999999999</v>
      </c>
      <c r="BG69" s="5">
        <f>VLOOKUP(R69,'[1]Coefficient Normal'!$A$10:$P$14,13,TRUE)</f>
        <v>-2.69E-2</v>
      </c>
      <c r="BH69" s="5">
        <f>VLOOKUP(R69,'[1]Coefficient Normal'!$A$10:$P$14,14,TRUE)</f>
        <v>0.57389999999999997</v>
      </c>
      <c r="BI69" s="5">
        <f>VLOOKUP(R69,'[1]Coefficient Normal'!$A$10:$P$14,15,TRUE)</f>
        <v>0.34460000000000002</v>
      </c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W69" s="6">
        <f t="shared" ref="BW69:BW88" si="67">IF(S69="sand",1,0)</f>
        <v>0</v>
      </c>
      <c r="BX69" s="6">
        <f t="shared" ref="BX69:BX88" si="68">IF(CB69&lt;AR69,1,0)</f>
        <v>0</v>
      </c>
      <c r="BY69" s="6">
        <f t="shared" ref="BY69:BY88" si="69">IF(I69&lt;100,1,0)</f>
        <v>1</v>
      </c>
      <c r="BZ69" s="5">
        <f t="shared" ref="BZ69:BZ88" si="70">BX69 * (BA69+BB69*AB69 + BC69*BY69*(I69-100) + BD69*(1-BY69) + BE69*H69) + (1-BX69) * (BF69 + BG69*BY69*(I69-100) + BH69*(1-BY69) + BI69*Q69)</f>
        <v>1.9037395546714377</v>
      </c>
      <c r="CB69">
        <f t="shared" ref="CB69:CB88" si="71">LN(AI69)</f>
        <v>0.8107822723842909</v>
      </c>
      <c r="CG69" s="5">
        <f t="shared" ref="CG69:CG88" si="72">CB69-AR69</f>
        <v>1.2054368120475432</v>
      </c>
      <c r="CH69" s="5">
        <f t="shared" ref="CH69:CH88" si="73">BZ69*CG69</f>
        <v>2.2948377397519475</v>
      </c>
      <c r="CI69" s="5">
        <f t="shared" ref="CI69:CI88" si="74">AW69*AG69</f>
        <v>0.50157643001866858</v>
      </c>
      <c r="CJ69" s="5">
        <f t="shared" ref="CJ69:CJ88" si="75">AX69*BW69*AH69</f>
        <v>0</v>
      </c>
      <c r="CK69" s="5">
        <f t="shared" ref="CK69:CK88" si="76">AY69*AF69</f>
        <v>1.4849048381844421</v>
      </c>
      <c r="CL69" s="5">
        <f t="shared" ref="CL69:CL88" si="77">AZ69* LN(D69)</f>
        <v>-2.0065088184971575E-2</v>
      </c>
      <c r="CM69" s="5">
        <f t="shared" ref="CM69:CM88" si="78">AV69+CH69+CI69+CJ69+CK69+CL69</f>
        <v>3.1530539197700866</v>
      </c>
      <c r="CN69" s="7">
        <f>EXP(CM69)</f>
        <v>23.407439981823291</v>
      </c>
      <c r="CO69">
        <f>VLOOKUP(R69,'[1]Coefficient Normal'!$A$10:$P$14,16,TRUE)</f>
        <v>0.3997</v>
      </c>
      <c r="CP69">
        <v>0.3</v>
      </c>
    </row>
    <row r="70" spans="1:94" x14ac:dyDescent="0.25">
      <c r="A70">
        <v>62</v>
      </c>
      <c r="B70">
        <v>1</v>
      </c>
      <c r="C70" t="str">
        <f t="shared" ref="C70:C88" si="79">IF(AND(B70&gt;=0,B70&lt;=10),"Normal",IF(AND(B70&gt;10,B70&lt;90),"SSTens",IF(AND(B70&gt;=90,B70&lt;170),"SSComp",IF(AND(B70&gt;=170,B70&lt;=180),"Reverse"))))</f>
        <v>Normal</v>
      </c>
      <c r="D70">
        <v>0.60960000000000003</v>
      </c>
      <c r="E70">
        <f t="shared" ref="E70:G88" si="80">D70*1000</f>
        <v>609.6</v>
      </c>
      <c r="F70">
        <v>9.5250000000000005E-3</v>
      </c>
      <c r="G70">
        <f t="shared" si="80"/>
        <v>9.5250000000000004</v>
      </c>
      <c r="H70" s="3">
        <f t="shared" ref="H70:H88" si="81">E70/G70</f>
        <v>64</v>
      </c>
      <c r="I70" s="1">
        <v>50</v>
      </c>
      <c r="J70" s="4" t="s">
        <v>73</v>
      </c>
      <c r="K70" s="1">
        <f t="shared" ref="K70:K88" si="82">IF(J70="Grade-B",3,IF(J70="X-42",3,IF(J70="X-52",8,IF(J70="X-60",8,IF(J70="X-70",14,IF(J70="X-80",15,8))))))</f>
        <v>8</v>
      </c>
      <c r="L70" s="1">
        <f t="shared" ref="L70:L88" si="83">IF(J70="Grade-B",8,IF(J70="X-42",9,IF(J70="X-52",10,IF(J70="X-60",12,IF(J70="X-70",15,IF(J70="X-80",20,10))))))</f>
        <v>12</v>
      </c>
      <c r="M70" s="1">
        <f t="shared" ref="M70:M88" si="84">IF(J70="Grade-B",241,IF(J70="X-42",290,IF(J70="X-52",359,IF(J70="X-60",414,IF(J70="X-70",483,IF(J70="X-80",552,359))))))*1000</f>
        <v>414000</v>
      </c>
      <c r="N70" s="1">
        <f t="shared" ref="N70:N88" si="85">IF(J70="Grade-B",344,IF(J70="X-42",414,IF(J70="X-52",455,IF(J70="X-60",517,IF(J70="X-70",565,IF(J70="X-80",625,M70*1.2/1000))))))*1000</f>
        <v>517000</v>
      </c>
      <c r="O70" s="1">
        <f t="shared" ref="O70:O88" si="86">N70/200000000*(1+K70/(1+L70)*(N70/M70)^L70)*100</f>
        <v>2.5466769467238102</v>
      </c>
      <c r="P70" s="3">
        <v>2.4313344008036557</v>
      </c>
      <c r="Q70" s="1">
        <f t="shared" ref="Q70:Q88" si="87">LN(O70)</f>
        <v>0.93478935117382533</v>
      </c>
      <c r="R70" s="1">
        <v>60</v>
      </c>
      <c r="S70" s="1" t="s">
        <v>71</v>
      </c>
      <c r="T70" t="s">
        <v>74</v>
      </c>
      <c r="U70">
        <f t="shared" ref="U70:U88" si="88">IF(T70="medium dense",18,IF(T70="dense",18.5,IF(T70="very dense",19,IF(T70="soft",17.5,IF(T70="medium stiff",18,IF(T70="stiff",18.5,0))))))</f>
        <v>18</v>
      </c>
      <c r="V70" s="1">
        <f t="shared" ref="V70:V88" si="89">IF(T70="medium dense",37,IF(T70="dense",40,IF(T70="very dense",43,0)))</f>
        <v>0</v>
      </c>
      <c r="W70">
        <f t="shared" ref="W70:W88" si="90">IF(T70="soft",37.5,IF(T70="medium stiff",75,IF(T70="stiff",125,0)))</f>
        <v>75</v>
      </c>
      <c r="X70">
        <f t="shared" ref="X70:X88" si="91">IF(T70="soft",1.1,IF(T70="medium stiff",0.72,IF(T70="stiff",0.4,0)))</f>
        <v>0.72</v>
      </c>
      <c r="Y70">
        <v>0.9</v>
      </c>
      <c r="Z70" s="1">
        <v>1</v>
      </c>
      <c r="AA70" s="1">
        <f t="shared" si="61"/>
        <v>1.8</v>
      </c>
      <c r="AB70">
        <f t="shared" ref="AB70:AB88" si="92">IF(S70="sand", PI() * D70 * Z70*U70* TAN(RADIANS(Y70*V70)), PI() * D70 * X70 * W70)</f>
        <v>103.41620360793024</v>
      </c>
      <c r="AC70">
        <f>IF(T70="medium dense",'[1]Coefficient Normal'!$E$18 + ('[1]Coefficient Normal'!$E$19*AA70) + ('[1]Coefficient Normal'!$E$20*(AA70^2)) + ('[1]Coefficient Normal'!$E$21*(AA70^3)) + ('[1]Coefficient Normal'!$E$22*(AA70^4)),IF(T70="dense",'[1]Coefficient Normal'!$F$18 + ('[1]Coefficient Normal'!$F$19*AA70) + ('[1]Coefficient Normal'!$F$20*(AA70^2)) + ('[1]Coefficient Normal'!$F$21*(AA70^3)) + ('[1]Coefficient Normal'!$F$22*(AA70^4)),IF(T70="very dense",'[1]Coefficient Normal'!$G$18 + ('[1]Coefficient Normal'!$G$19*AA70) + ('[1]Coefficient Normal'!$G$20*(AA70^2)) + ('[1]Coefficient Normal'!$G$21*(AA70^3)) + ('[1]Coefficient Normal'!$G$22*(AA70^4)),0)))</f>
        <v>0</v>
      </c>
      <c r="AD70">
        <f t="shared" si="62"/>
        <v>0</v>
      </c>
      <c r="AE70">
        <f t="shared" si="63"/>
        <v>235.0008</v>
      </c>
      <c r="AF70">
        <f t="shared" ref="AF70:AF88" si="93">LN(AE70)</f>
        <v>5.4595889183936839</v>
      </c>
      <c r="AG70">
        <f t="shared" si="64"/>
        <v>4.1588830833596715</v>
      </c>
      <c r="AH70">
        <f t="shared" si="65"/>
        <v>4.6387616578039736</v>
      </c>
      <c r="AI70" s="1">
        <v>2.3997944580000001</v>
      </c>
      <c r="AJ70" s="5">
        <f>VLOOKUP(R70,'[1]Coefficient Normal'!$A$3:$H$7,2,TRUE)</f>
        <v>4.3182999999999998</v>
      </c>
      <c r="AK70" s="5">
        <f>VLOOKUP(R70,'[1]Coefficient Normal'!$A$3:$H$7,3,TRUE)</f>
        <v>-2.7900000000000001E-2</v>
      </c>
      <c r="AL70" s="5">
        <f>VLOOKUP(R70,'[1]Coefficient Normal'!$A$3:$H$7,4,TRUE)</f>
        <v>1.0497000000000001</v>
      </c>
      <c r="AM70" s="5">
        <f>VLOOKUP(R70,'[1]Coefficient Normal'!$A$3:$H$7,5,TRUE)</f>
        <v>-0.46910000000000002</v>
      </c>
      <c r="AN70" s="5">
        <f>VLOOKUP(R70,'[1]Coefficient Normal'!$A$3:$H$7,6,TRUE)</f>
        <v>0.29149999999999998</v>
      </c>
      <c r="AO70" s="5">
        <f>VLOOKUP(R70,'[1]Coefficient Normal'!$A$3:$H$7,7,TRUE)</f>
        <v>-0.28610000000000002</v>
      </c>
      <c r="AP70" s="5">
        <f>VLOOKUP(R70,'[1]Coefficient Normal'!$A$3:$H$7,8,TRUE)</f>
        <v>-0.1348</v>
      </c>
      <c r="AR70" s="5">
        <f t="shared" si="66"/>
        <v>-0.17613126407050839</v>
      </c>
      <c r="AV70" s="5">
        <f>VLOOKUP(R70,'[1]Coefficient Normal'!$A$10:$P$14,2,TRUE)</f>
        <v>-2.1276999999999999</v>
      </c>
      <c r="AW70" s="5">
        <f>VLOOKUP(R70,'[1]Coefficient Normal'!$A$10:$P$14,3,TRUE)</f>
        <v>0.14760000000000001</v>
      </c>
      <c r="AX70" s="5">
        <f>VLOOKUP(R70,'[1]Coefficient Normal'!$A$10:$P$14,4,TRUE)</f>
        <v>-0.21829999999999999</v>
      </c>
      <c r="AY70" s="5">
        <f>VLOOKUP(R70,'[1]Coefficient Normal'!$A$10:$P$14,5,TRUE)</f>
        <v>0.42270000000000002</v>
      </c>
      <c r="AZ70" s="5">
        <f>VLOOKUP(R70,'[1]Coefficient Normal'!$A$10:$P$14,6,TRUE)</f>
        <v>-0.53720000000000001</v>
      </c>
      <c r="BA70" s="5">
        <f>VLOOKUP(R70,'[1]Coefficient Normal'!$A$10:$P$14,7,TRUE)</f>
        <v>1.252</v>
      </c>
      <c r="BB70" s="5">
        <f>VLOOKUP(R70,'[1]Coefficient Normal'!$A$10:$P$14,8,TRUE)</f>
        <v>-5.9999999999999995E-4</v>
      </c>
      <c r="BC70" s="5">
        <f>VLOOKUP(R70,'[1]Coefficient Normal'!$A$10:$P$14,9,TRUE)</f>
        <v>5.3E-3</v>
      </c>
      <c r="BD70" s="5">
        <f>VLOOKUP(R70,'[1]Coefficient Normal'!$A$10:$P$14,10,TRUE)</f>
        <v>-4.8500000000000001E-2</v>
      </c>
      <c r="BE70" s="5">
        <f>VLOOKUP(R70,'[1]Coefficient Normal'!$A$10:$P$14,11,TRUE)</f>
        <v>1.2999999999999999E-3</v>
      </c>
      <c r="BF70" s="5">
        <f>VLOOKUP(R70,'[1]Coefficient Normal'!$A$10:$P$14,12,TRUE)</f>
        <v>-0.56599999999999995</v>
      </c>
      <c r="BG70" s="5">
        <f>VLOOKUP(R70,'[1]Coefficient Normal'!$A$10:$P$14,13,TRUE)</f>
        <v>-3.2099999999999997E-2</v>
      </c>
      <c r="BH70" s="5">
        <f>VLOOKUP(R70,'[1]Coefficient Normal'!$A$10:$P$14,14,TRUE)</f>
        <v>0.84970000000000001</v>
      </c>
      <c r="BI70" s="5">
        <f>VLOOKUP(R70,'[1]Coefficient Normal'!$A$10:$P$14,15,TRUE)</f>
        <v>9.01E-2</v>
      </c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W70" s="6">
        <f t="shared" si="67"/>
        <v>0</v>
      </c>
      <c r="BX70" s="6">
        <f t="shared" si="68"/>
        <v>0</v>
      </c>
      <c r="BY70" s="6">
        <f t="shared" si="69"/>
        <v>1</v>
      </c>
      <c r="BZ70" s="5">
        <f t="shared" si="70"/>
        <v>1.1232245205407614</v>
      </c>
      <c r="CB70">
        <f t="shared" si="71"/>
        <v>0.8753830911863717</v>
      </c>
      <c r="CG70" s="5">
        <f t="shared" si="72"/>
        <v>1.05151435525688</v>
      </c>
      <c r="CH70" s="5">
        <f t="shared" si="73"/>
        <v>1.1810867075251368</v>
      </c>
      <c r="CI70" s="5">
        <f t="shared" si="74"/>
        <v>0.61385114310388755</v>
      </c>
      <c r="CJ70" s="5">
        <f t="shared" si="75"/>
        <v>0</v>
      </c>
      <c r="CK70" s="5">
        <f t="shared" si="76"/>
        <v>2.3077682358050104</v>
      </c>
      <c r="CL70" s="5">
        <f t="shared" si="77"/>
        <v>0.26588836192033111</v>
      </c>
      <c r="CM70" s="5">
        <f t="shared" si="78"/>
        <v>2.240894448354366</v>
      </c>
      <c r="CN70" s="7">
        <f t="shared" ref="CN70:CN88" si="94">EXP(CM70)</f>
        <v>9.4017368957857244</v>
      </c>
      <c r="CO70">
        <f>VLOOKUP(R70,'[1]Coefficient Normal'!$A$10:$P$14,16,TRUE)</f>
        <v>0.50170000000000003</v>
      </c>
      <c r="CP70">
        <v>0.3</v>
      </c>
    </row>
    <row r="71" spans="1:94" x14ac:dyDescent="0.25">
      <c r="A71">
        <v>63</v>
      </c>
      <c r="B71">
        <v>2</v>
      </c>
      <c r="C71" t="str">
        <f t="shared" si="79"/>
        <v>Normal</v>
      </c>
      <c r="D71">
        <v>0.40960000000000002</v>
      </c>
      <c r="E71">
        <f t="shared" si="80"/>
        <v>409.6</v>
      </c>
      <c r="F71">
        <v>9.5250000000000005E-3</v>
      </c>
      <c r="G71">
        <f t="shared" si="80"/>
        <v>9.5250000000000004</v>
      </c>
      <c r="H71" s="3">
        <f t="shared" si="81"/>
        <v>43.00262467191601</v>
      </c>
      <c r="I71" s="1">
        <v>100</v>
      </c>
      <c r="J71" s="4" t="s">
        <v>75</v>
      </c>
      <c r="K71" s="1">
        <f t="shared" si="82"/>
        <v>14</v>
      </c>
      <c r="L71" s="1">
        <f t="shared" si="83"/>
        <v>15</v>
      </c>
      <c r="M71" s="1">
        <f t="shared" si="84"/>
        <v>483000</v>
      </c>
      <c r="N71" s="1">
        <f t="shared" si="85"/>
        <v>565000</v>
      </c>
      <c r="O71" s="1">
        <f t="shared" si="86"/>
        <v>2.8799444073326219</v>
      </c>
      <c r="P71" s="3">
        <v>2.7690517990613435</v>
      </c>
      <c r="Q71" s="1">
        <f t="shared" si="87"/>
        <v>1.0577709909520427</v>
      </c>
      <c r="R71" s="1">
        <v>75</v>
      </c>
      <c r="S71" s="1" t="s">
        <v>71</v>
      </c>
      <c r="T71" t="s">
        <v>76</v>
      </c>
      <c r="U71">
        <f t="shared" si="88"/>
        <v>18.5</v>
      </c>
      <c r="V71" s="1">
        <f t="shared" si="89"/>
        <v>0</v>
      </c>
      <c r="W71">
        <f t="shared" si="90"/>
        <v>125</v>
      </c>
      <c r="X71">
        <f t="shared" si="91"/>
        <v>0.4</v>
      </c>
      <c r="Y71">
        <v>0.9</v>
      </c>
      <c r="Z71" s="1">
        <v>1.2</v>
      </c>
      <c r="AA71" s="1">
        <f t="shared" si="61"/>
        <v>2.9296874999999996</v>
      </c>
      <c r="AB71">
        <f t="shared" si="92"/>
        <v>64.339817545518969</v>
      </c>
      <c r="AC71">
        <f>IF(T71="medium dense",'[1]Coefficient Normal'!$E$18 + ('[1]Coefficient Normal'!$E$19*AA71) + ('[1]Coefficient Normal'!$E$20*(AA71^2)) + ('[1]Coefficient Normal'!$E$21*(AA71^3)) + ('[1]Coefficient Normal'!$E$22*(AA71^4)),IF(T71="dense",'[1]Coefficient Normal'!$F$18 + ('[1]Coefficient Normal'!$F$19*AA71) + ('[1]Coefficient Normal'!$F$20*(AA71^2)) + ('[1]Coefficient Normal'!$F$21*(AA71^3)) + ('[1]Coefficient Normal'!$F$22*(AA71^4)),IF(T71="very dense",'[1]Coefficient Normal'!$G$18 + ('[1]Coefficient Normal'!$G$19*AA71) + ('[1]Coefficient Normal'!$G$20*(AA71^2)) + ('[1]Coefficient Normal'!$G$21*(AA71^3)) + ('[1]Coefficient Normal'!$G$22*(AA71^4)),0)))</f>
        <v>0</v>
      </c>
      <c r="AD71">
        <f t="shared" si="62"/>
        <v>0</v>
      </c>
      <c r="AE71">
        <f t="shared" si="63"/>
        <v>263.16800000000001</v>
      </c>
      <c r="AF71">
        <f t="shared" si="93"/>
        <v>5.5727926115125355</v>
      </c>
      <c r="AG71">
        <f t="shared" si="64"/>
        <v>3.7612611527125335</v>
      </c>
      <c r="AH71">
        <f t="shared" si="65"/>
        <v>4.1641786860207075</v>
      </c>
      <c r="AI71" s="1">
        <v>2.5498958799999998</v>
      </c>
      <c r="AJ71" s="5">
        <f>VLOOKUP(R71,'[1]Coefficient Normal'!$A$3:$H$7,2,TRUE)</f>
        <v>5.5951000000000004</v>
      </c>
      <c r="AK71" s="5">
        <f>VLOOKUP(R71,'[1]Coefficient Normal'!$A$3:$H$7,3,TRUE)</f>
        <v>1.6E-2</v>
      </c>
      <c r="AL71" s="5">
        <f>VLOOKUP(R71,'[1]Coefficient Normal'!$A$3:$H$7,4,TRUE)</f>
        <v>1.2641</v>
      </c>
      <c r="AM71" s="5">
        <f>VLOOKUP(R71,'[1]Coefficient Normal'!$A$3:$H$7,5,TRUE)</f>
        <v>-0.52429999999999999</v>
      </c>
      <c r="AN71" s="5">
        <f>VLOOKUP(R71,'[1]Coefficient Normal'!$A$3:$H$7,6,TRUE)</f>
        <v>0.35830000000000001</v>
      </c>
      <c r="AO71" s="5">
        <f>VLOOKUP(R71,'[1]Coefficient Normal'!$A$3:$H$7,7,TRUE)</f>
        <v>-0.35920000000000002</v>
      </c>
      <c r="AP71" s="5">
        <f>VLOOKUP(R71,'[1]Coefficient Normal'!$A$3:$H$7,8,TRUE)</f>
        <v>-0.2482</v>
      </c>
      <c r="AR71" s="5">
        <f t="shared" si="66"/>
        <v>-8.7846462124065994E-2</v>
      </c>
      <c r="AV71" s="5">
        <f>VLOOKUP(R71,'[1]Coefficient Normal'!$A$10:$P$14,2,TRUE)</f>
        <v>-2.3450000000000002</v>
      </c>
      <c r="AW71" s="5">
        <f>VLOOKUP(R71,'[1]Coefficient Normal'!$A$10:$P$14,3,TRUE)</f>
        <v>0.19470000000000001</v>
      </c>
      <c r="AX71" s="5">
        <f>VLOOKUP(R71,'[1]Coefficient Normal'!$A$10:$P$14,4,TRUE)</f>
        <v>-0.2044</v>
      </c>
      <c r="AY71" s="5">
        <f>VLOOKUP(R71,'[1]Coefficient Normal'!$A$10:$P$14,5,TRUE)</f>
        <v>0.4143</v>
      </c>
      <c r="AZ71" s="5">
        <f>VLOOKUP(R71,'[1]Coefficient Normal'!$A$10:$P$14,6,TRUE)</f>
        <v>-0.55710000000000004</v>
      </c>
      <c r="BA71" s="5">
        <f>VLOOKUP(R71,'[1]Coefficient Normal'!$A$10:$P$14,7,TRUE)</f>
        <v>1.0931</v>
      </c>
      <c r="BB71" s="5">
        <f>VLOOKUP(R71,'[1]Coefficient Normal'!$A$10:$P$14,8,TRUE)</f>
        <v>1E-4</v>
      </c>
      <c r="BC71" s="5">
        <f>VLOOKUP(R71,'[1]Coefficient Normal'!$A$10:$P$14,9,TRUE)</f>
        <v>3.5000000000000001E-3</v>
      </c>
      <c r="BD71" s="5">
        <f>VLOOKUP(R71,'[1]Coefficient Normal'!$A$10:$P$14,10,TRUE)</f>
        <v>-4.07E-2</v>
      </c>
      <c r="BE71" s="5">
        <f>VLOOKUP(R71,'[1]Coefficient Normal'!$A$10:$P$14,11,TRUE)</f>
        <v>1.6000000000000001E-3</v>
      </c>
      <c r="BF71" s="5">
        <f>VLOOKUP(R71,'[1]Coefficient Normal'!$A$10:$P$14,12,TRUE)</f>
        <v>-0.65949999999999998</v>
      </c>
      <c r="BG71" s="5">
        <f>VLOOKUP(R71,'[1]Coefficient Normal'!$A$10:$P$14,13,TRUE)</f>
        <v>-3.0099999999999998E-2</v>
      </c>
      <c r="BH71" s="5">
        <f>VLOOKUP(R71,'[1]Coefficient Normal'!$A$10:$P$14,14,TRUE)</f>
        <v>0.84219999999999995</v>
      </c>
      <c r="BI71" s="5">
        <f>VLOOKUP(R71,'[1]Coefficient Normal'!$A$10:$P$14,15,TRUE)</f>
        <v>0.50680000000000003</v>
      </c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W71" s="6">
        <f t="shared" si="67"/>
        <v>0</v>
      </c>
      <c r="BX71" s="6">
        <f t="shared" si="68"/>
        <v>0</v>
      </c>
      <c r="BY71" s="6">
        <f t="shared" si="69"/>
        <v>0</v>
      </c>
      <c r="BZ71" s="5">
        <f t="shared" si="70"/>
        <v>0.71877833821449522</v>
      </c>
      <c r="CB71">
        <f t="shared" si="71"/>
        <v>0.93605252696416252</v>
      </c>
      <c r="CG71" s="5">
        <f t="shared" si="72"/>
        <v>1.0238989890882286</v>
      </c>
      <c r="CH71" s="5">
        <f t="shared" si="73"/>
        <v>0.73595641387633859</v>
      </c>
      <c r="CI71" s="5">
        <f t="shared" si="74"/>
        <v>0.7323175464331303</v>
      </c>
      <c r="CJ71" s="5">
        <f t="shared" si="75"/>
        <v>0</v>
      </c>
      <c r="CK71" s="5">
        <f t="shared" si="76"/>
        <v>2.3088079789496434</v>
      </c>
      <c r="CL71" s="5">
        <f t="shared" si="77"/>
        <v>0.49725308974858501</v>
      </c>
      <c r="CM71" s="5">
        <f t="shared" si="78"/>
        <v>1.9293350290076969</v>
      </c>
      <c r="CN71" s="7">
        <f t="shared" si="94"/>
        <v>6.8849304400058262</v>
      </c>
      <c r="CO71">
        <f>VLOOKUP(R71,'[1]Coefficient Normal'!$A$10:$P$14,16,TRUE)</f>
        <v>0.43780000000000002</v>
      </c>
      <c r="CP71">
        <v>0.3</v>
      </c>
    </row>
    <row r="72" spans="1:94" x14ac:dyDescent="0.25">
      <c r="A72">
        <v>64</v>
      </c>
      <c r="B72">
        <v>3</v>
      </c>
      <c r="C72" t="str">
        <f t="shared" si="79"/>
        <v>Normal</v>
      </c>
      <c r="D72">
        <v>0.89600000000000002</v>
      </c>
      <c r="E72">
        <f t="shared" si="80"/>
        <v>896</v>
      </c>
      <c r="F72">
        <v>9.5250000000000005E-3</v>
      </c>
      <c r="G72">
        <f t="shared" si="80"/>
        <v>9.5250000000000004</v>
      </c>
      <c r="H72" s="3">
        <f t="shared" si="81"/>
        <v>94.068241469816272</v>
      </c>
      <c r="I72" s="1">
        <v>300</v>
      </c>
      <c r="J72" s="4" t="s">
        <v>70</v>
      </c>
      <c r="K72" s="1">
        <f t="shared" si="82"/>
        <v>8</v>
      </c>
      <c r="L72" s="1">
        <f t="shared" si="83"/>
        <v>10</v>
      </c>
      <c r="M72" s="1">
        <f t="shared" si="84"/>
        <v>359000</v>
      </c>
      <c r="N72" s="1">
        <f t="shared" si="85"/>
        <v>455000</v>
      </c>
      <c r="O72" s="1">
        <f t="shared" si="86"/>
        <v>1.9969902892117808</v>
      </c>
      <c r="P72" s="3">
        <v>1.9041242414694344</v>
      </c>
      <c r="Q72" s="1">
        <f t="shared" si="87"/>
        <v>0.69164119173371341</v>
      </c>
      <c r="R72" s="1">
        <v>90</v>
      </c>
      <c r="S72" s="1" t="s">
        <v>71</v>
      </c>
      <c r="T72" t="s">
        <v>72</v>
      </c>
      <c r="U72">
        <f t="shared" si="88"/>
        <v>17.5</v>
      </c>
      <c r="V72" s="1">
        <f t="shared" si="89"/>
        <v>0</v>
      </c>
      <c r="W72">
        <f t="shared" si="90"/>
        <v>37.5</v>
      </c>
      <c r="X72">
        <f t="shared" si="91"/>
        <v>1.1000000000000001</v>
      </c>
      <c r="Y72">
        <v>0.9</v>
      </c>
      <c r="Z72" s="1">
        <v>2.5</v>
      </c>
      <c r="AA72" s="1">
        <f t="shared" si="61"/>
        <v>2.7901785714285712</v>
      </c>
      <c r="AB72">
        <f t="shared" si="92"/>
        <v>116.11326447667876</v>
      </c>
      <c r="AC72">
        <f>IF(T72="medium dense",'[1]Coefficient Normal'!$E$18 + ('[1]Coefficient Normal'!$E$19*AA72) + ('[1]Coefficient Normal'!$E$20*(AA72^2)) + ('[1]Coefficient Normal'!$E$21*(AA72^3)) + ('[1]Coefficient Normal'!$E$22*(AA72^4)),IF(T72="dense",'[1]Coefficient Normal'!$F$18 + ('[1]Coefficient Normal'!$F$19*AA72) + ('[1]Coefficient Normal'!$F$20*(AA72^2)) + ('[1]Coefficient Normal'!$F$21*(AA72^3)) + ('[1]Coefficient Normal'!$F$22*(AA72^4)),IF(T72="very dense",'[1]Coefficient Normal'!$G$18 + ('[1]Coefficient Normal'!$G$19*AA72) + ('[1]Coefficient Normal'!$G$20*(AA72^2)) + ('[1]Coefficient Normal'!$G$21*(AA72^3)) + ('[1]Coefficient Normal'!$G$22*(AA72^4)),0)))</f>
        <v>0</v>
      </c>
      <c r="AD72">
        <f t="shared" si="62"/>
        <v>0</v>
      </c>
      <c r="AE72">
        <f t="shared" si="63"/>
        <v>172.70400000000001</v>
      </c>
      <c r="AF72">
        <f t="shared" si="93"/>
        <v>5.1515791464362319</v>
      </c>
      <c r="AG72">
        <f t="shared" si="64"/>
        <v>4.5440204919621658</v>
      </c>
      <c r="AH72">
        <f t="shared" si="65"/>
        <v>4.7545661326228839</v>
      </c>
      <c r="AI72" s="1">
        <v>2.699997304</v>
      </c>
      <c r="AJ72" s="5">
        <f>VLOOKUP(R72,'[1]Coefficient Normal'!$A$3:$H$7,2,TRUE)</f>
        <v>14.575100000000001</v>
      </c>
      <c r="AK72" s="5">
        <f>VLOOKUP(R72,'[1]Coefficient Normal'!$A$3:$H$7,3,TRUE)</f>
        <v>0.1356</v>
      </c>
      <c r="AL72" s="5">
        <f>VLOOKUP(R72,'[1]Coefficient Normal'!$A$3:$H$7,4,TRUE)</f>
        <v>2.9990000000000001</v>
      </c>
      <c r="AM72" s="5">
        <f>VLOOKUP(R72,'[1]Coefficient Normal'!$A$3:$H$7,5,TRUE)</f>
        <v>-0.94710000000000005</v>
      </c>
      <c r="AN72" s="5">
        <f>VLOOKUP(R72,'[1]Coefficient Normal'!$A$3:$H$7,6,TRUE)</f>
        <v>0.6603</v>
      </c>
      <c r="AO72" s="5">
        <f>VLOOKUP(R72,'[1]Coefficient Normal'!$A$3:$H$7,7,TRUE)</f>
        <v>-1.2488999999999999</v>
      </c>
      <c r="AP72" s="5">
        <f>VLOOKUP(R72,'[1]Coefficient Normal'!$A$3:$H$7,8,TRUE)</f>
        <v>-0.44140000000000001</v>
      </c>
      <c r="AR72" s="5">
        <f t="shared" si="66"/>
        <v>2.6397743044482214</v>
      </c>
      <c r="AV72" s="5">
        <f>VLOOKUP(R72,'[1]Coefficient Normal'!$A$10:$P$14,2,TRUE)</f>
        <v>5.1353999999999997</v>
      </c>
      <c r="AW72" s="5">
        <f>VLOOKUP(R72,'[1]Coefficient Normal'!$A$10:$P$14,3,TRUE)</f>
        <v>-4.9599999999999998E-2</v>
      </c>
      <c r="AX72" s="5">
        <f>VLOOKUP(R72,'[1]Coefficient Normal'!$A$10:$P$14,4,TRUE)</f>
        <v>0.44590000000000002</v>
      </c>
      <c r="AY72" s="5">
        <f>VLOOKUP(R72,'[1]Coefficient Normal'!$A$10:$P$14,5,TRUE)</f>
        <v>-0.83709999999999996</v>
      </c>
      <c r="AZ72" s="5">
        <f>VLOOKUP(R72,'[1]Coefficient Normal'!$A$10:$P$14,6,TRUE)</f>
        <v>0.63090000000000002</v>
      </c>
      <c r="BA72" s="5">
        <f>VLOOKUP(R72,'[1]Coefficient Normal'!$A$10:$P$14,7,TRUE)</f>
        <v>0.91390000000000005</v>
      </c>
      <c r="BB72" s="5">
        <f>VLOOKUP(R72,'[1]Coefficient Normal'!$A$10:$P$14,8,TRUE)</f>
        <v>2.5000000000000001E-3</v>
      </c>
      <c r="BC72" s="5">
        <f>VLOOKUP(R72,'[1]Coefficient Normal'!$A$10:$P$14,9,TRUE)</f>
        <v>1.6000000000000001E-3</v>
      </c>
      <c r="BD72" s="5">
        <f>VLOOKUP(R72,'[1]Coefficient Normal'!$A$10:$P$14,10,TRUE)</f>
        <v>-9.7500000000000003E-2</v>
      </c>
      <c r="BE72" s="5">
        <f>VLOOKUP(R72,'[1]Coefficient Normal'!$A$10:$P$14,11,TRUE)</f>
        <v>1.1999999999999999E-3</v>
      </c>
      <c r="BF72" s="5">
        <f>VLOOKUP(R72,'[1]Coefficient Normal'!$A$10:$P$14,12,TRUE)</f>
        <v>0.46479999999999999</v>
      </c>
      <c r="BG72" s="5">
        <f>VLOOKUP(R72,'[1]Coefficient Normal'!$A$10:$P$14,13,TRUE)</f>
        <v>8.0000000000000004E-4</v>
      </c>
      <c r="BH72" s="5">
        <f>VLOOKUP(R72,'[1]Coefficient Normal'!$A$10:$P$14,14,TRUE)</f>
        <v>6.7900000000000002E-2</v>
      </c>
      <c r="BI72" s="5">
        <f>VLOOKUP(R72,'[1]Coefficient Normal'!$A$10:$P$14,15,TRUE)</f>
        <v>0.58979999999999999</v>
      </c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W72" s="6">
        <f t="shared" si="67"/>
        <v>0</v>
      </c>
      <c r="BX72" s="6">
        <f t="shared" si="68"/>
        <v>1</v>
      </c>
      <c r="BY72" s="6">
        <f t="shared" si="69"/>
        <v>0</v>
      </c>
      <c r="BZ72" s="5">
        <f t="shared" si="70"/>
        <v>1.2195650509554765</v>
      </c>
      <c r="CB72">
        <f t="shared" si="71"/>
        <v>0.99325077449126642</v>
      </c>
      <c r="CG72" s="5">
        <f t="shared" si="72"/>
        <v>-1.6465235299569549</v>
      </c>
      <c r="CH72" s="5">
        <f t="shared" si="73"/>
        <v>-2.0080425527113448</v>
      </c>
      <c r="CI72" s="5">
        <f t="shared" si="74"/>
        <v>-0.22538341640132342</v>
      </c>
      <c r="CJ72" s="5">
        <f t="shared" si="75"/>
        <v>0</v>
      </c>
      <c r="CK72" s="5">
        <f t="shared" si="76"/>
        <v>-4.3123869034817695</v>
      </c>
      <c r="CL72" s="5">
        <f t="shared" si="77"/>
        <v>-6.928219896394662E-2</v>
      </c>
      <c r="CM72" s="5">
        <f t="shared" si="78"/>
        <v>-1.4796950715583848</v>
      </c>
      <c r="CN72" s="7">
        <f t="shared" si="94"/>
        <v>0.22770711217349057</v>
      </c>
      <c r="CO72">
        <f>VLOOKUP(R72,'[1]Coefficient Normal'!$A$10:$P$14,16,TRUE)</f>
        <v>0.34749999999999998</v>
      </c>
      <c r="CP72">
        <v>0.3</v>
      </c>
    </row>
    <row r="73" spans="1:94" x14ac:dyDescent="0.25">
      <c r="A73">
        <v>65</v>
      </c>
      <c r="B73">
        <v>4</v>
      </c>
      <c r="C73" t="str">
        <f t="shared" si="79"/>
        <v>Normal</v>
      </c>
      <c r="D73">
        <v>0.5</v>
      </c>
      <c r="E73">
        <f t="shared" si="80"/>
        <v>500</v>
      </c>
      <c r="F73">
        <v>9.5250000000000005E-3</v>
      </c>
      <c r="G73">
        <f t="shared" si="80"/>
        <v>9.5250000000000004</v>
      </c>
      <c r="H73" s="3">
        <f t="shared" si="81"/>
        <v>52.493438320209975</v>
      </c>
      <c r="I73" s="1">
        <v>30</v>
      </c>
      <c r="J73" s="4" t="s">
        <v>75</v>
      </c>
      <c r="K73" s="1">
        <f t="shared" si="82"/>
        <v>14</v>
      </c>
      <c r="L73" s="1">
        <f t="shared" si="83"/>
        <v>15</v>
      </c>
      <c r="M73" s="1">
        <f t="shared" si="84"/>
        <v>483000</v>
      </c>
      <c r="N73" s="1">
        <f t="shared" si="85"/>
        <v>565000</v>
      </c>
      <c r="O73" s="1">
        <f t="shared" si="86"/>
        <v>2.8799444073326219</v>
      </c>
      <c r="P73" s="3">
        <v>2.7690517990613435</v>
      </c>
      <c r="Q73" s="1">
        <f t="shared" si="87"/>
        <v>1.0577709909520427</v>
      </c>
      <c r="R73" s="1">
        <v>45</v>
      </c>
      <c r="S73" s="1" t="s">
        <v>71</v>
      </c>
      <c r="T73" t="s">
        <v>74</v>
      </c>
      <c r="U73">
        <f t="shared" si="88"/>
        <v>18</v>
      </c>
      <c r="V73" s="1">
        <f t="shared" si="89"/>
        <v>0</v>
      </c>
      <c r="W73">
        <f t="shared" si="90"/>
        <v>75</v>
      </c>
      <c r="X73">
        <f t="shared" si="91"/>
        <v>0.72</v>
      </c>
      <c r="Y73">
        <v>0.9</v>
      </c>
      <c r="Z73" s="1">
        <v>1</v>
      </c>
      <c r="AA73" s="1">
        <f t="shared" si="61"/>
        <v>2</v>
      </c>
      <c r="AB73">
        <f t="shared" si="92"/>
        <v>84.823001646924411</v>
      </c>
      <c r="AC73">
        <f>IF(T73="medium dense",'[1]Coefficient Normal'!$E$18 + ('[1]Coefficient Normal'!$E$19*AA73) + ('[1]Coefficient Normal'!$E$20*(AA73^2)) + ('[1]Coefficient Normal'!$E$21*(AA73^3)) + ('[1]Coefficient Normal'!$E$22*(AA73^4)),IF(T73="dense",'[1]Coefficient Normal'!$F$18 + ('[1]Coefficient Normal'!$F$19*AA73) + ('[1]Coefficient Normal'!$F$20*(AA73^2)) + ('[1]Coefficient Normal'!$F$21*(AA73^3)) + ('[1]Coefficient Normal'!$F$22*(AA73^4)),IF(T73="very dense",'[1]Coefficient Normal'!$G$18 + ('[1]Coefficient Normal'!$G$19*AA73) + ('[1]Coefficient Normal'!$G$20*(AA73^2)) + ('[1]Coefficient Normal'!$G$21*(AA73^3)) + ('[1]Coefficient Normal'!$G$22*(AA73^4)),0)))</f>
        <v>0</v>
      </c>
      <c r="AD73">
        <f t="shared" si="62"/>
        <v>0</v>
      </c>
      <c r="AE73">
        <f t="shared" si="63"/>
        <v>192.75</v>
      </c>
      <c r="AF73">
        <f t="shared" si="93"/>
        <v>5.2613940124434393</v>
      </c>
      <c r="AG73">
        <f t="shared" si="64"/>
        <v>3.9606881774094269</v>
      </c>
      <c r="AH73">
        <f t="shared" si="65"/>
        <v>4.4405667518537291</v>
      </c>
      <c r="AI73" s="1">
        <v>2.8500987279999999</v>
      </c>
      <c r="AJ73" s="5">
        <f>VLOOKUP(R73,'[1]Coefficient Normal'!$A$3:$H$7,2,TRUE)</f>
        <v>3.7532999999999999</v>
      </c>
      <c r="AK73" s="5">
        <f>VLOOKUP(R73,'[1]Coefficient Normal'!$A$3:$H$7,3,TRUE)</f>
        <v>0.14510000000000001</v>
      </c>
      <c r="AL73" s="5">
        <f>VLOOKUP(R73,'[1]Coefficient Normal'!$A$3:$H$7,4,TRUE)</f>
        <v>1.2497</v>
      </c>
      <c r="AM73" s="5">
        <f>VLOOKUP(R73,'[1]Coefficient Normal'!$A$3:$H$7,5,TRUE)</f>
        <v>-0.46100000000000002</v>
      </c>
      <c r="AN73" s="5">
        <f>VLOOKUP(R73,'[1]Coefficient Normal'!$A$3:$H$7,6,TRUE)</f>
        <v>0.39140000000000003</v>
      </c>
      <c r="AO73" s="5">
        <f>VLOOKUP(R73,'[1]Coefficient Normal'!$A$3:$H$7,7,TRUE)</f>
        <v>-0.21310000000000001</v>
      </c>
      <c r="AP73" s="5">
        <f>VLOOKUP(R73,'[1]Coefficient Normal'!$A$3:$H$7,8,TRUE)</f>
        <v>-0.34139999999999998</v>
      </c>
      <c r="AR73" s="5">
        <f t="shared" si="66"/>
        <v>-0.66849052852826096</v>
      </c>
      <c r="AV73" s="5">
        <f>VLOOKUP(R73,'[1]Coefficient Normal'!$A$10:$P$14,2,TRUE)</f>
        <v>-1.1082000000000001</v>
      </c>
      <c r="AW73" s="5">
        <f>VLOOKUP(R73,'[1]Coefficient Normal'!$A$10:$P$14,3,TRUE)</f>
        <v>0.10630000000000001</v>
      </c>
      <c r="AX73" s="5">
        <f>VLOOKUP(R73,'[1]Coefficient Normal'!$A$10:$P$14,4,TRUE)</f>
        <v>-0.1439</v>
      </c>
      <c r="AY73" s="5">
        <f>VLOOKUP(R73,'[1]Coefficient Normal'!$A$10:$P$14,5,TRUE)</f>
        <v>0.27879999999999999</v>
      </c>
      <c r="AZ73" s="5">
        <f>VLOOKUP(R73,'[1]Coefficient Normal'!$A$10:$P$14,6,TRUE)</f>
        <v>-0.31030000000000002</v>
      </c>
      <c r="BA73" s="5">
        <f>VLOOKUP(R73,'[1]Coefficient Normal'!$A$10:$P$14,7,TRUE)</f>
        <v>1.2553000000000001</v>
      </c>
      <c r="BB73" s="5">
        <f>VLOOKUP(R73,'[1]Coefficient Normal'!$A$10:$P$14,8,TRUE)</f>
        <v>2.9999999999999997E-4</v>
      </c>
      <c r="BC73" s="5">
        <f>VLOOKUP(R73,'[1]Coefficient Normal'!$A$10:$P$14,9,TRUE)</f>
        <v>5.1999999999999998E-3</v>
      </c>
      <c r="BD73" s="5">
        <f>VLOOKUP(R73,'[1]Coefficient Normal'!$A$10:$P$14,10,TRUE)</f>
        <v>-8.5900000000000004E-2</v>
      </c>
      <c r="BE73" s="5">
        <f>VLOOKUP(R73,'[1]Coefficient Normal'!$A$10:$P$14,11,TRUE)</f>
        <v>5.9999999999999995E-4</v>
      </c>
      <c r="BF73" s="5">
        <f>VLOOKUP(R73,'[1]Coefficient Normal'!$A$10:$P$14,12,TRUE)</f>
        <v>-0.21759999999999999</v>
      </c>
      <c r="BG73" s="5">
        <f>VLOOKUP(R73,'[1]Coefficient Normal'!$A$10:$P$14,13,TRUE)</f>
        <v>-2.69E-2</v>
      </c>
      <c r="BH73" s="5">
        <f>VLOOKUP(R73,'[1]Coefficient Normal'!$A$10:$P$14,14,TRUE)</f>
        <v>0.57389999999999997</v>
      </c>
      <c r="BI73" s="5">
        <f>VLOOKUP(R73,'[1]Coefficient Normal'!$A$10:$P$14,15,TRUE)</f>
        <v>0.34460000000000002</v>
      </c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W73" s="6">
        <f t="shared" si="67"/>
        <v>0</v>
      </c>
      <c r="BX73" s="6">
        <f t="shared" si="68"/>
        <v>0</v>
      </c>
      <c r="BY73" s="6">
        <f t="shared" si="69"/>
        <v>1</v>
      </c>
      <c r="BZ73" s="5">
        <f t="shared" si="70"/>
        <v>2.0299078834820738</v>
      </c>
      <c r="CB73">
        <f t="shared" si="71"/>
        <v>1.0473536350840684</v>
      </c>
      <c r="CG73" s="5">
        <f t="shared" si="72"/>
        <v>1.7158441636123294</v>
      </c>
      <c r="CH73" s="5">
        <f t="shared" si="73"/>
        <v>3.4830055945433727</v>
      </c>
      <c r="CI73" s="5">
        <f t="shared" si="74"/>
        <v>0.42102115325862211</v>
      </c>
      <c r="CJ73" s="5">
        <f t="shared" si="75"/>
        <v>0</v>
      </c>
      <c r="CK73" s="5">
        <f t="shared" si="76"/>
        <v>1.4668766506692308</v>
      </c>
      <c r="CL73" s="5">
        <f t="shared" si="77"/>
        <v>0.21508357012775103</v>
      </c>
      <c r="CM73" s="5">
        <f t="shared" si="78"/>
        <v>4.4777869685989762</v>
      </c>
      <c r="CN73" s="7">
        <f t="shared" si="94"/>
        <v>88.03962248006998</v>
      </c>
      <c r="CO73">
        <f>VLOOKUP(R73,'[1]Coefficient Normal'!$A$10:$P$14,16,TRUE)</f>
        <v>0.3997</v>
      </c>
      <c r="CP73">
        <v>0.3</v>
      </c>
    </row>
    <row r="74" spans="1:94" x14ac:dyDescent="0.25">
      <c r="A74">
        <v>66</v>
      </c>
      <c r="B74">
        <v>5</v>
      </c>
      <c r="C74" t="str">
        <f t="shared" si="79"/>
        <v>Normal</v>
      </c>
      <c r="D74">
        <v>1.0668</v>
      </c>
      <c r="E74">
        <f t="shared" si="80"/>
        <v>1066.8</v>
      </c>
      <c r="F74">
        <v>9.5250000000000005E-3</v>
      </c>
      <c r="G74">
        <f t="shared" si="80"/>
        <v>9.5250000000000004</v>
      </c>
      <c r="H74" s="3">
        <f t="shared" si="81"/>
        <v>111.99999999999999</v>
      </c>
      <c r="I74" s="1">
        <v>50</v>
      </c>
      <c r="J74" s="4" t="s">
        <v>77</v>
      </c>
      <c r="K74" s="1">
        <f t="shared" si="82"/>
        <v>15</v>
      </c>
      <c r="L74" s="1">
        <f t="shared" si="83"/>
        <v>20</v>
      </c>
      <c r="M74" s="1">
        <f t="shared" si="84"/>
        <v>552000</v>
      </c>
      <c r="N74" s="1">
        <f t="shared" si="85"/>
        <v>625000</v>
      </c>
      <c r="O74" s="1">
        <f t="shared" si="86"/>
        <v>2.9888368774026359</v>
      </c>
      <c r="P74" s="3">
        <v>2.8464933991254466</v>
      </c>
      <c r="Q74" s="1">
        <f t="shared" si="87"/>
        <v>1.0948843075076633</v>
      </c>
      <c r="R74" s="1">
        <v>60</v>
      </c>
      <c r="S74" s="1" t="s">
        <v>71</v>
      </c>
      <c r="T74" t="s">
        <v>76</v>
      </c>
      <c r="U74">
        <f t="shared" si="88"/>
        <v>18.5</v>
      </c>
      <c r="V74" s="1">
        <f t="shared" si="89"/>
        <v>0</v>
      </c>
      <c r="W74">
        <f t="shared" si="90"/>
        <v>125</v>
      </c>
      <c r="X74">
        <f t="shared" si="91"/>
        <v>0.4</v>
      </c>
      <c r="Y74">
        <v>0.9</v>
      </c>
      <c r="Z74" s="1">
        <v>1.2</v>
      </c>
      <c r="AA74" s="1">
        <f t="shared" si="61"/>
        <v>1.8</v>
      </c>
      <c r="AB74">
        <f t="shared" si="92"/>
        <v>167.57255214247957</v>
      </c>
      <c r="AC74">
        <f>IF(T74="medium dense",'[1]Coefficient Normal'!$E$18 + ('[1]Coefficient Normal'!$E$19*AA74) + ('[1]Coefficient Normal'!$E$20*(AA74^2)) + ('[1]Coefficient Normal'!$E$21*(AA74^3)) + ('[1]Coefficient Normal'!$E$22*(AA74^4)),IF(T74="dense",'[1]Coefficient Normal'!$F$18 + ('[1]Coefficient Normal'!$F$19*AA74) + ('[1]Coefficient Normal'!$F$20*(AA74^2)) + ('[1]Coefficient Normal'!$F$21*(AA74^3)) + ('[1]Coefficient Normal'!$F$22*(AA74^4)),IF(T74="very dense",'[1]Coefficient Normal'!$G$18 + ('[1]Coefficient Normal'!$G$19*AA74) + ('[1]Coefficient Normal'!$G$20*(AA74^2)) + ('[1]Coefficient Normal'!$G$21*(AA74^3)) + ('[1]Coefficient Normal'!$G$22*(AA74^4)),0)))</f>
        <v>0</v>
      </c>
      <c r="AD74">
        <f t="shared" si="62"/>
        <v>0</v>
      </c>
      <c r="AE74">
        <f t="shared" si="63"/>
        <v>685.41899999999998</v>
      </c>
      <c r="AF74">
        <f t="shared" si="93"/>
        <v>6.530030330095097</v>
      </c>
      <c r="AG74">
        <f t="shared" si="64"/>
        <v>4.7184988712950942</v>
      </c>
      <c r="AH74">
        <f t="shared" si="65"/>
        <v>5.1214164046032682</v>
      </c>
      <c r="AI74" s="1">
        <v>3.0002260330000001</v>
      </c>
      <c r="AJ74" s="5">
        <f>VLOOKUP(R74,'[1]Coefficient Normal'!$A$3:$H$7,2,TRUE)</f>
        <v>4.3182999999999998</v>
      </c>
      <c r="AK74" s="5">
        <f>VLOOKUP(R74,'[1]Coefficient Normal'!$A$3:$H$7,3,TRUE)</f>
        <v>-2.7900000000000001E-2</v>
      </c>
      <c r="AL74" s="5">
        <f>VLOOKUP(R74,'[1]Coefficient Normal'!$A$3:$H$7,4,TRUE)</f>
        <v>1.0497000000000001</v>
      </c>
      <c r="AM74" s="5">
        <f>VLOOKUP(R74,'[1]Coefficient Normal'!$A$3:$H$7,5,TRUE)</f>
        <v>-0.46910000000000002</v>
      </c>
      <c r="AN74" s="5">
        <f>VLOOKUP(R74,'[1]Coefficient Normal'!$A$3:$H$7,6,TRUE)</f>
        <v>0.29149999999999998</v>
      </c>
      <c r="AO74" s="5">
        <f>VLOOKUP(R74,'[1]Coefficient Normal'!$A$3:$H$7,7,TRUE)</f>
        <v>-0.28610000000000002</v>
      </c>
      <c r="AP74" s="5">
        <f>VLOOKUP(R74,'[1]Coefficient Normal'!$A$3:$H$7,8,TRUE)</f>
        <v>-0.1348</v>
      </c>
      <c r="AR74" s="5">
        <f t="shared" si="66"/>
        <v>-0.17586580558020715</v>
      </c>
      <c r="AV74" s="5">
        <f>VLOOKUP(R74,'[1]Coefficient Normal'!$A$10:$P$14,2,TRUE)</f>
        <v>-2.1276999999999999</v>
      </c>
      <c r="AW74" s="5">
        <f>VLOOKUP(R74,'[1]Coefficient Normal'!$A$10:$P$14,3,TRUE)</f>
        <v>0.14760000000000001</v>
      </c>
      <c r="AX74" s="5">
        <f>VLOOKUP(R74,'[1]Coefficient Normal'!$A$10:$P$14,4,TRUE)</f>
        <v>-0.21829999999999999</v>
      </c>
      <c r="AY74" s="5">
        <f>VLOOKUP(R74,'[1]Coefficient Normal'!$A$10:$P$14,5,TRUE)</f>
        <v>0.42270000000000002</v>
      </c>
      <c r="AZ74" s="5">
        <f>VLOOKUP(R74,'[1]Coefficient Normal'!$A$10:$P$14,6,TRUE)</f>
        <v>-0.53720000000000001</v>
      </c>
      <c r="BA74" s="5">
        <f>VLOOKUP(R74,'[1]Coefficient Normal'!$A$10:$P$14,7,TRUE)</f>
        <v>1.252</v>
      </c>
      <c r="BB74" s="5">
        <f>VLOOKUP(R74,'[1]Coefficient Normal'!$A$10:$P$14,8,TRUE)</f>
        <v>-5.9999999999999995E-4</v>
      </c>
      <c r="BC74" s="5">
        <f>VLOOKUP(R74,'[1]Coefficient Normal'!$A$10:$P$14,9,TRUE)</f>
        <v>5.3E-3</v>
      </c>
      <c r="BD74" s="5">
        <f>VLOOKUP(R74,'[1]Coefficient Normal'!$A$10:$P$14,10,TRUE)</f>
        <v>-4.8500000000000001E-2</v>
      </c>
      <c r="BE74" s="5">
        <f>VLOOKUP(R74,'[1]Coefficient Normal'!$A$10:$P$14,11,TRUE)</f>
        <v>1.2999999999999999E-3</v>
      </c>
      <c r="BF74" s="5">
        <f>VLOOKUP(R74,'[1]Coefficient Normal'!$A$10:$P$14,12,TRUE)</f>
        <v>-0.56599999999999995</v>
      </c>
      <c r="BG74" s="5">
        <f>VLOOKUP(R74,'[1]Coefficient Normal'!$A$10:$P$14,13,TRUE)</f>
        <v>-3.2099999999999997E-2</v>
      </c>
      <c r="BH74" s="5">
        <f>VLOOKUP(R74,'[1]Coefficient Normal'!$A$10:$P$14,14,TRUE)</f>
        <v>0.84970000000000001</v>
      </c>
      <c r="BI74" s="5">
        <f>VLOOKUP(R74,'[1]Coefficient Normal'!$A$10:$P$14,15,TRUE)</f>
        <v>9.01E-2</v>
      </c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W74" s="6">
        <f t="shared" si="67"/>
        <v>0</v>
      </c>
      <c r="BX74" s="6">
        <f t="shared" si="68"/>
        <v>0</v>
      </c>
      <c r="BY74" s="6">
        <f t="shared" si="69"/>
        <v>1</v>
      </c>
      <c r="BZ74" s="5">
        <f t="shared" si="70"/>
        <v>1.1376490761064402</v>
      </c>
      <c r="CB74">
        <f t="shared" si="71"/>
        <v>1.0986876301632014</v>
      </c>
      <c r="CG74" s="5">
        <f t="shared" si="72"/>
        <v>1.2745534357434085</v>
      </c>
      <c r="CH74" s="5">
        <f t="shared" si="73"/>
        <v>1.4499945386217779</v>
      </c>
      <c r="CI74" s="5">
        <f t="shared" si="74"/>
        <v>0.69645043340315593</v>
      </c>
      <c r="CJ74" s="5">
        <f t="shared" si="75"/>
        <v>0</v>
      </c>
      <c r="CK74" s="5">
        <f t="shared" si="76"/>
        <v>2.7602438205311977</v>
      </c>
      <c r="CL74" s="5">
        <f t="shared" si="77"/>
        <v>-3.4737239358577927E-2</v>
      </c>
      <c r="CM74" s="5">
        <f t="shared" si="78"/>
        <v>2.7442515531975533</v>
      </c>
      <c r="CN74" s="7">
        <f t="shared" si="94"/>
        <v>15.552969005003565</v>
      </c>
      <c r="CO74">
        <f>VLOOKUP(R74,'[1]Coefficient Normal'!$A$10:$P$14,16,TRUE)</f>
        <v>0.50170000000000003</v>
      </c>
      <c r="CP74">
        <v>0.3</v>
      </c>
    </row>
    <row r="75" spans="1:94" x14ac:dyDescent="0.25">
      <c r="A75">
        <v>67</v>
      </c>
      <c r="B75">
        <v>6</v>
      </c>
      <c r="C75" t="str">
        <f t="shared" si="79"/>
        <v>Normal</v>
      </c>
      <c r="D75">
        <v>0.60960000000000003</v>
      </c>
      <c r="E75">
        <f t="shared" si="80"/>
        <v>609.6</v>
      </c>
      <c r="F75">
        <v>9.5250000000000005E-3</v>
      </c>
      <c r="G75">
        <f t="shared" si="80"/>
        <v>9.5250000000000004</v>
      </c>
      <c r="H75" s="3">
        <f t="shared" si="81"/>
        <v>64</v>
      </c>
      <c r="I75" s="1">
        <v>100</v>
      </c>
      <c r="J75" s="4" t="s">
        <v>70</v>
      </c>
      <c r="K75" s="1">
        <f t="shared" si="82"/>
        <v>8</v>
      </c>
      <c r="L75" s="1">
        <f t="shared" si="83"/>
        <v>10</v>
      </c>
      <c r="M75" s="1">
        <f t="shared" si="84"/>
        <v>359000</v>
      </c>
      <c r="N75" s="1">
        <f t="shared" si="85"/>
        <v>455000</v>
      </c>
      <c r="O75" s="1">
        <f t="shared" si="86"/>
        <v>1.9969902892117808</v>
      </c>
      <c r="P75" s="3">
        <v>1.9041242414694344</v>
      </c>
      <c r="Q75" s="1">
        <f t="shared" si="87"/>
        <v>0.69164119173371341</v>
      </c>
      <c r="R75" s="1">
        <v>75</v>
      </c>
      <c r="S75" s="1" t="s">
        <v>71</v>
      </c>
      <c r="T75" t="s">
        <v>72</v>
      </c>
      <c r="U75">
        <f t="shared" si="88"/>
        <v>17.5</v>
      </c>
      <c r="V75" s="1">
        <f t="shared" si="89"/>
        <v>0</v>
      </c>
      <c r="W75">
        <f t="shared" si="90"/>
        <v>37.5</v>
      </c>
      <c r="X75">
        <f t="shared" si="91"/>
        <v>1.1000000000000001</v>
      </c>
      <c r="Y75">
        <v>0.9</v>
      </c>
      <c r="Z75" s="1">
        <v>0.78739999999999999</v>
      </c>
      <c r="AA75" s="1">
        <f t="shared" si="61"/>
        <v>1.8</v>
      </c>
      <c r="AB75">
        <f t="shared" si="92"/>
        <v>78.998488867168945</v>
      </c>
      <c r="AC75">
        <f>IF(T75="medium dense",'[1]Coefficient Normal'!$E$18 + ('[1]Coefficient Normal'!$E$19*AA75) + ('[1]Coefficient Normal'!$E$20*(AA75^2)) + ('[1]Coefficient Normal'!$E$21*(AA75^3)) + ('[1]Coefficient Normal'!$E$22*(AA75^4)),IF(T75="dense",'[1]Coefficient Normal'!$F$18 + ('[1]Coefficient Normal'!$F$19*AA75) + ('[1]Coefficient Normal'!$F$20*(AA75^2)) + ('[1]Coefficient Normal'!$F$21*(AA75^3)) + ('[1]Coefficient Normal'!$F$22*(AA75^4)),IF(T75="very dense",'[1]Coefficient Normal'!$G$18 + ('[1]Coefficient Normal'!$G$19*AA75) + ('[1]Coefficient Normal'!$G$20*(AA75^2)) + ('[1]Coefficient Normal'!$G$21*(AA75^3)) + ('[1]Coefficient Normal'!$G$22*(AA75^4)),0)))</f>
        <v>0</v>
      </c>
      <c r="AD75">
        <f t="shared" si="62"/>
        <v>0</v>
      </c>
      <c r="AE75">
        <f t="shared" si="63"/>
        <v>117.5004</v>
      </c>
      <c r="AF75">
        <f t="shared" si="93"/>
        <v>4.7664417378337385</v>
      </c>
      <c r="AG75">
        <f t="shared" si="64"/>
        <v>4.1588830833596715</v>
      </c>
      <c r="AH75">
        <f t="shared" si="65"/>
        <v>4.3694287240203895</v>
      </c>
      <c r="AI75" s="1">
        <v>0.14999670000000001</v>
      </c>
      <c r="AJ75" s="5">
        <f>VLOOKUP(R75,'[1]Coefficient Normal'!$A$3:$H$7,2,TRUE)</f>
        <v>5.5951000000000004</v>
      </c>
      <c r="AK75" s="5">
        <f>VLOOKUP(R75,'[1]Coefficient Normal'!$A$3:$H$7,3,TRUE)</f>
        <v>1.6E-2</v>
      </c>
      <c r="AL75" s="5">
        <f>VLOOKUP(R75,'[1]Coefficient Normal'!$A$3:$H$7,4,TRUE)</f>
        <v>1.2641</v>
      </c>
      <c r="AM75" s="5">
        <f>VLOOKUP(R75,'[1]Coefficient Normal'!$A$3:$H$7,5,TRUE)</f>
        <v>-0.52429999999999999</v>
      </c>
      <c r="AN75" s="5">
        <f>VLOOKUP(R75,'[1]Coefficient Normal'!$A$3:$H$7,6,TRUE)</f>
        <v>0.35830000000000001</v>
      </c>
      <c r="AO75" s="5">
        <f>VLOOKUP(R75,'[1]Coefficient Normal'!$A$3:$H$7,7,TRUE)</f>
        <v>-0.35920000000000002</v>
      </c>
      <c r="AP75" s="5">
        <f>VLOOKUP(R75,'[1]Coefficient Normal'!$A$3:$H$7,8,TRUE)</f>
        <v>-0.2482</v>
      </c>
      <c r="AR75" s="5">
        <f t="shared" si="66"/>
        <v>0.31382810950266227</v>
      </c>
      <c r="AV75" s="5">
        <f>VLOOKUP(R75,'[1]Coefficient Normal'!$A$10:$P$14,2,TRUE)</f>
        <v>-2.3450000000000002</v>
      </c>
      <c r="AW75" s="5">
        <f>VLOOKUP(R75,'[1]Coefficient Normal'!$A$10:$P$14,3,TRUE)</f>
        <v>0.19470000000000001</v>
      </c>
      <c r="AX75" s="5">
        <f>VLOOKUP(R75,'[1]Coefficient Normal'!$A$10:$P$14,4,TRUE)</f>
        <v>-0.2044</v>
      </c>
      <c r="AY75" s="5">
        <f>VLOOKUP(R75,'[1]Coefficient Normal'!$A$10:$P$14,5,TRUE)</f>
        <v>0.4143</v>
      </c>
      <c r="AZ75" s="5">
        <f>VLOOKUP(R75,'[1]Coefficient Normal'!$A$10:$P$14,6,TRUE)</f>
        <v>-0.55710000000000004</v>
      </c>
      <c r="BA75" s="5">
        <f>VLOOKUP(R75,'[1]Coefficient Normal'!$A$10:$P$14,7,TRUE)</f>
        <v>1.0931</v>
      </c>
      <c r="BB75" s="5">
        <f>VLOOKUP(R75,'[1]Coefficient Normal'!$A$10:$P$14,8,TRUE)</f>
        <v>1E-4</v>
      </c>
      <c r="BC75" s="5">
        <f>VLOOKUP(R75,'[1]Coefficient Normal'!$A$10:$P$14,9,TRUE)</f>
        <v>3.5000000000000001E-3</v>
      </c>
      <c r="BD75" s="5">
        <f>VLOOKUP(R75,'[1]Coefficient Normal'!$A$10:$P$14,10,TRUE)</f>
        <v>-4.07E-2</v>
      </c>
      <c r="BE75" s="5">
        <f>VLOOKUP(R75,'[1]Coefficient Normal'!$A$10:$P$14,11,TRUE)</f>
        <v>1.6000000000000001E-3</v>
      </c>
      <c r="BF75" s="5">
        <f>VLOOKUP(R75,'[1]Coefficient Normal'!$A$10:$P$14,12,TRUE)</f>
        <v>-0.65949999999999998</v>
      </c>
      <c r="BG75" s="5">
        <f>VLOOKUP(R75,'[1]Coefficient Normal'!$A$10:$P$14,13,TRUE)</f>
        <v>-3.0099999999999998E-2</v>
      </c>
      <c r="BH75" s="5">
        <f>VLOOKUP(R75,'[1]Coefficient Normal'!$A$10:$P$14,14,TRUE)</f>
        <v>0.84219999999999995</v>
      </c>
      <c r="BI75" s="5">
        <f>VLOOKUP(R75,'[1]Coefficient Normal'!$A$10:$P$14,15,TRUE)</f>
        <v>0.50680000000000003</v>
      </c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W75" s="6">
        <f t="shared" si="67"/>
        <v>0</v>
      </c>
      <c r="BX75" s="6">
        <f t="shared" si="68"/>
        <v>1</v>
      </c>
      <c r="BY75" s="6">
        <f t="shared" si="69"/>
        <v>0</v>
      </c>
      <c r="BZ75" s="5">
        <f t="shared" si="70"/>
        <v>1.1626998488867168</v>
      </c>
      <c r="CB75">
        <f t="shared" si="71"/>
        <v>-1.8971419851278848</v>
      </c>
      <c r="CG75" s="5">
        <f t="shared" si="72"/>
        <v>-2.2109700946305471</v>
      </c>
      <c r="CH75" s="5">
        <f t="shared" si="73"/>
        <v>-2.5706945949199871</v>
      </c>
      <c r="CI75" s="5">
        <f t="shared" si="74"/>
        <v>0.80973453633012804</v>
      </c>
      <c r="CJ75" s="5">
        <f t="shared" si="75"/>
        <v>0</v>
      </c>
      <c r="CK75" s="5">
        <f t="shared" si="76"/>
        <v>1.9747368119845179</v>
      </c>
      <c r="CL75" s="5">
        <f t="shared" si="77"/>
        <v>0.27573791218506416</v>
      </c>
      <c r="CM75" s="5">
        <f t="shared" si="78"/>
        <v>-1.8554853344202775</v>
      </c>
      <c r="CN75" s="7">
        <f t="shared" si="94"/>
        <v>0.15637702909994644</v>
      </c>
      <c r="CO75">
        <f>VLOOKUP(R75,'[1]Coefficient Normal'!$A$10:$P$14,16,TRUE)</f>
        <v>0.43780000000000002</v>
      </c>
      <c r="CP75">
        <v>0.3</v>
      </c>
    </row>
    <row r="76" spans="1:94" x14ac:dyDescent="0.25">
      <c r="A76">
        <v>68</v>
      </c>
      <c r="B76">
        <v>7</v>
      </c>
      <c r="C76" t="str">
        <f t="shared" si="79"/>
        <v>Normal</v>
      </c>
      <c r="D76">
        <v>0.40960000000000002</v>
      </c>
      <c r="E76">
        <f t="shared" si="80"/>
        <v>409.6</v>
      </c>
      <c r="F76">
        <v>9.5250000000000005E-3</v>
      </c>
      <c r="G76">
        <f t="shared" si="80"/>
        <v>9.5250000000000004</v>
      </c>
      <c r="H76" s="3">
        <f t="shared" si="81"/>
        <v>43.00262467191601</v>
      </c>
      <c r="I76" s="1">
        <v>300</v>
      </c>
      <c r="J76" s="4" t="s">
        <v>73</v>
      </c>
      <c r="K76" s="1">
        <f t="shared" si="82"/>
        <v>8</v>
      </c>
      <c r="L76" s="1">
        <f t="shared" si="83"/>
        <v>12</v>
      </c>
      <c r="M76" s="1">
        <f t="shared" si="84"/>
        <v>414000</v>
      </c>
      <c r="N76" s="1">
        <f t="shared" si="85"/>
        <v>517000</v>
      </c>
      <c r="O76" s="1">
        <f t="shared" si="86"/>
        <v>2.5466769467238102</v>
      </c>
      <c r="P76" s="3">
        <v>2.4313344008036557</v>
      </c>
      <c r="Q76" s="1">
        <f t="shared" si="87"/>
        <v>0.93478935117382533</v>
      </c>
      <c r="R76" s="1">
        <v>90</v>
      </c>
      <c r="S76" s="1" t="s">
        <v>71</v>
      </c>
      <c r="T76" t="s">
        <v>74</v>
      </c>
      <c r="U76">
        <f t="shared" si="88"/>
        <v>18</v>
      </c>
      <c r="V76" s="1">
        <f t="shared" si="89"/>
        <v>0</v>
      </c>
      <c r="W76">
        <f t="shared" si="90"/>
        <v>75</v>
      </c>
      <c r="X76">
        <f t="shared" si="91"/>
        <v>0.72</v>
      </c>
      <c r="Y76">
        <v>0.9</v>
      </c>
      <c r="Z76" s="1">
        <v>1</v>
      </c>
      <c r="AA76" s="1">
        <f t="shared" si="61"/>
        <v>2.44140625</v>
      </c>
      <c r="AB76">
        <f t="shared" si="92"/>
        <v>69.487002949160484</v>
      </c>
      <c r="AC76">
        <f>IF(T76="medium dense",'[1]Coefficient Normal'!$E$18 + ('[1]Coefficient Normal'!$E$19*AA76) + ('[1]Coefficient Normal'!$E$20*(AA76^2)) + ('[1]Coefficient Normal'!$E$21*(AA76^3)) + ('[1]Coefficient Normal'!$E$22*(AA76^4)),IF(T76="dense",'[1]Coefficient Normal'!$F$18 + ('[1]Coefficient Normal'!$F$19*AA76) + ('[1]Coefficient Normal'!$F$20*(AA76^2)) + ('[1]Coefficient Normal'!$F$21*(AA76^3)) + ('[1]Coefficient Normal'!$F$22*(AA76^4)),IF(T76="very dense",'[1]Coefficient Normal'!$G$18 + ('[1]Coefficient Normal'!$G$19*AA76) + ('[1]Coefficient Normal'!$G$20*(AA76^2)) + ('[1]Coefficient Normal'!$G$21*(AA76^3)) + ('[1]Coefficient Normal'!$G$22*(AA76^4)),0)))</f>
        <v>0</v>
      </c>
      <c r="AD76">
        <f t="shared" si="62"/>
        <v>0</v>
      </c>
      <c r="AE76">
        <f t="shared" si="63"/>
        <v>157.9008</v>
      </c>
      <c r="AF76">
        <f t="shared" si="93"/>
        <v>5.061966987746545</v>
      </c>
      <c r="AG76">
        <f t="shared" si="64"/>
        <v>3.7612611527125335</v>
      </c>
      <c r="AH76">
        <f t="shared" si="65"/>
        <v>4.2411397271568356</v>
      </c>
      <c r="AI76" s="1">
        <v>0.29999340000000002</v>
      </c>
      <c r="AJ76" s="5">
        <f>VLOOKUP(R76,'[1]Coefficient Normal'!$A$3:$H$7,2,TRUE)</f>
        <v>14.575100000000001</v>
      </c>
      <c r="AK76" s="5">
        <f>VLOOKUP(R76,'[1]Coefficient Normal'!$A$3:$H$7,3,TRUE)</f>
        <v>0.1356</v>
      </c>
      <c r="AL76" s="5">
        <f>VLOOKUP(R76,'[1]Coefficient Normal'!$A$3:$H$7,4,TRUE)</f>
        <v>2.9990000000000001</v>
      </c>
      <c r="AM76" s="5">
        <f>VLOOKUP(R76,'[1]Coefficient Normal'!$A$3:$H$7,5,TRUE)</f>
        <v>-0.94710000000000005</v>
      </c>
      <c r="AN76" s="5">
        <f>VLOOKUP(R76,'[1]Coefficient Normal'!$A$3:$H$7,6,TRUE)</f>
        <v>0.6603</v>
      </c>
      <c r="AO76" s="5">
        <f>VLOOKUP(R76,'[1]Coefficient Normal'!$A$3:$H$7,7,TRUE)</f>
        <v>-1.2488999999999999</v>
      </c>
      <c r="AP76" s="5">
        <f>VLOOKUP(R76,'[1]Coefficient Normal'!$A$3:$H$7,8,TRUE)</f>
        <v>-0.44140000000000001</v>
      </c>
      <c r="AR76" s="5">
        <f t="shared" si="66"/>
        <v>1.5327241862804701</v>
      </c>
      <c r="AV76" s="5">
        <f>VLOOKUP(R76,'[1]Coefficient Normal'!$A$10:$P$14,2,TRUE)</f>
        <v>5.1353999999999997</v>
      </c>
      <c r="AW76" s="5">
        <f>VLOOKUP(R76,'[1]Coefficient Normal'!$A$10:$P$14,3,TRUE)</f>
        <v>-4.9599999999999998E-2</v>
      </c>
      <c r="AX76" s="5">
        <f>VLOOKUP(R76,'[1]Coefficient Normal'!$A$10:$P$14,4,TRUE)</f>
        <v>0.44590000000000002</v>
      </c>
      <c r="AY76" s="5">
        <f>VLOOKUP(R76,'[1]Coefficient Normal'!$A$10:$P$14,5,TRUE)</f>
        <v>-0.83709999999999996</v>
      </c>
      <c r="AZ76" s="5">
        <f>VLOOKUP(R76,'[1]Coefficient Normal'!$A$10:$P$14,6,TRUE)</f>
        <v>0.63090000000000002</v>
      </c>
      <c r="BA76" s="5">
        <f>VLOOKUP(R76,'[1]Coefficient Normal'!$A$10:$P$14,7,TRUE)</f>
        <v>0.91390000000000005</v>
      </c>
      <c r="BB76" s="5">
        <f>VLOOKUP(R76,'[1]Coefficient Normal'!$A$10:$P$14,8,TRUE)</f>
        <v>2.5000000000000001E-3</v>
      </c>
      <c r="BC76" s="5">
        <f>VLOOKUP(R76,'[1]Coefficient Normal'!$A$10:$P$14,9,TRUE)</f>
        <v>1.6000000000000001E-3</v>
      </c>
      <c r="BD76" s="5">
        <f>VLOOKUP(R76,'[1]Coefficient Normal'!$A$10:$P$14,10,TRUE)</f>
        <v>-9.7500000000000003E-2</v>
      </c>
      <c r="BE76" s="5">
        <f>VLOOKUP(R76,'[1]Coefficient Normal'!$A$10:$P$14,11,TRUE)</f>
        <v>1.1999999999999999E-3</v>
      </c>
      <c r="BF76" s="5">
        <f>VLOOKUP(R76,'[1]Coefficient Normal'!$A$10:$P$14,12,TRUE)</f>
        <v>0.46479999999999999</v>
      </c>
      <c r="BG76" s="5">
        <f>VLOOKUP(R76,'[1]Coefficient Normal'!$A$10:$P$14,13,TRUE)</f>
        <v>8.0000000000000004E-4</v>
      </c>
      <c r="BH76" s="5">
        <f>VLOOKUP(R76,'[1]Coefficient Normal'!$A$10:$P$14,14,TRUE)</f>
        <v>6.7900000000000002E-2</v>
      </c>
      <c r="BI76" s="5">
        <f>VLOOKUP(R76,'[1]Coefficient Normal'!$A$10:$P$14,15,TRUE)</f>
        <v>0.58979999999999999</v>
      </c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W76" s="6">
        <f t="shared" si="67"/>
        <v>0</v>
      </c>
      <c r="BX76" s="6">
        <f t="shared" si="68"/>
        <v>1</v>
      </c>
      <c r="BY76" s="6">
        <f t="shared" si="69"/>
        <v>0</v>
      </c>
      <c r="BZ76" s="5">
        <f t="shared" si="70"/>
        <v>1.0417206569792006</v>
      </c>
      <c r="CB76">
        <f t="shared" si="71"/>
        <v>-1.2039948045679394</v>
      </c>
      <c r="CG76" s="5">
        <f t="shared" si="72"/>
        <v>-2.7367189908484093</v>
      </c>
      <c r="CH76" s="5">
        <f t="shared" si="73"/>
        <v>-2.8508967051140597</v>
      </c>
      <c r="CI76" s="5">
        <f t="shared" si="74"/>
        <v>-0.18655855317454165</v>
      </c>
      <c r="CJ76" s="5">
        <f t="shared" si="75"/>
        <v>0</v>
      </c>
      <c r="CK76" s="5">
        <f t="shared" si="76"/>
        <v>-4.2373725654426329</v>
      </c>
      <c r="CL76" s="5">
        <f t="shared" si="77"/>
        <v>-0.56312506609653967</v>
      </c>
      <c r="CM76" s="5">
        <f t="shared" si="78"/>
        <v>-2.702552889827774</v>
      </c>
      <c r="CN76" s="7">
        <f t="shared" si="94"/>
        <v>6.7034163281111642E-2</v>
      </c>
      <c r="CO76">
        <f>VLOOKUP(R76,'[1]Coefficient Normal'!$A$10:$P$14,16,TRUE)</f>
        <v>0.34749999999999998</v>
      </c>
      <c r="CP76">
        <v>0.3</v>
      </c>
    </row>
    <row r="77" spans="1:94" x14ac:dyDescent="0.25">
      <c r="A77">
        <v>69</v>
      </c>
      <c r="B77">
        <v>8</v>
      </c>
      <c r="C77" t="str">
        <f t="shared" si="79"/>
        <v>Normal</v>
      </c>
      <c r="D77">
        <v>0.89600000000000002</v>
      </c>
      <c r="E77">
        <f t="shared" si="80"/>
        <v>896</v>
      </c>
      <c r="F77">
        <v>9.5250000000000005E-3</v>
      </c>
      <c r="G77">
        <f t="shared" si="80"/>
        <v>9.5250000000000004</v>
      </c>
      <c r="H77" s="3">
        <f t="shared" si="81"/>
        <v>94.068241469816272</v>
      </c>
      <c r="I77" s="1">
        <v>30</v>
      </c>
      <c r="J77" s="4" t="s">
        <v>75</v>
      </c>
      <c r="K77" s="1">
        <f t="shared" si="82"/>
        <v>14</v>
      </c>
      <c r="L77" s="1">
        <f t="shared" si="83"/>
        <v>15</v>
      </c>
      <c r="M77" s="1">
        <f t="shared" si="84"/>
        <v>483000</v>
      </c>
      <c r="N77" s="1">
        <f t="shared" si="85"/>
        <v>565000</v>
      </c>
      <c r="O77" s="1">
        <f t="shared" si="86"/>
        <v>2.8799444073326219</v>
      </c>
      <c r="P77" s="3">
        <v>2.7690517990613435</v>
      </c>
      <c r="Q77" s="1">
        <f t="shared" si="87"/>
        <v>1.0577709909520427</v>
      </c>
      <c r="R77" s="1">
        <v>45</v>
      </c>
      <c r="S77" s="1" t="s">
        <v>71</v>
      </c>
      <c r="T77" t="s">
        <v>76</v>
      </c>
      <c r="U77">
        <f t="shared" si="88"/>
        <v>18.5</v>
      </c>
      <c r="V77" s="1">
        <f t="shared" si="89"/>
        <v>0</v>
      </c>
      <c r="W77">
        <f t="shared" si="90"/>
        <v>125</v>
      </c>
      <c r="X77">
        <f t="shared" si="91"/>
        <v>0.4</v>
      </c>
      <c r="Y77">
        <v>0.9</v>
      </c>
      <c r="Z77" s="1">
        <v>1.2</v>
      </c>
      <c r="AA77" s="1">
        <f t="shared" si="61"/>
        <v>1.8</v>
      </c>
      <c r="AB77">
        <f t="shared" si="92"/>
        <v>140.74335088082273</v>
      </c>
      <c r="AC77">
        <f>IF(T77="medium dense",'[1]Coefficient Normal'!$E$18 + ('[1]Coefficient Normal'!$E$19*AA77) + ('[1]Coefficient Normal'!$E$20*(AA77^2)) + ('[1]Coefficient Normal'!$E$21*(AA77^3)) + ('[1]Coefficient Normal'!$E$22*(AA77^4)),IF(T77="dense",'[1]Coefficient Normal'!$F$18 + ('[1]Coefficient Normal'!$F$19*AA77) + ('[1]Coefficient Normal'!$F$20*(AA77^2)) + ('[1]Coefficient Normal'!$F$21*(AA77^3)) + ('[1]Coefficient Normal'!$F$22*(AA77^4)),IF(T77="very dense",'[1]Coefficient Normal'!$G$18 + ('[1]Coefficient Normal'!$G$19*AA77) + ('[1]Coefficient Normal'!$G$20*(AA77^2)) + ('[1]Coefficient Normal'!$G$21*(AA77^3)) + ('[1]Coefficient Normal'!$G$22*(AA77^4)),0)))</f>
        <v>0</v>
      </c>
      <c r="AD77">
        <f t="shared" si="62"/>
        <v>0</v>
      </c>
      <c r="AE77">
        <f t="shared" si="63"/>
        <v>575.68000000000006</v>
      </c>
      <c r="AF77">
        <f t="shared" si="93"/>
        <v>6.3555519507621687</v>
      </c>
      <c r="AG77">
        <f t="shared" si="64"/>
        <v>4.5440204919621658</v>
      </c>
      <c r="AH77">
        <f t="shared" si="65"/>
        <v>4.9469380252703399</v>
      </c>
      <c r="AI77" s="1">
        <v>0.4499901</v>
      </c>
      <c r="AJ77" s="5">
        <f>VLOOKUP(R77,'[1]Coefficient Normal'!$A$3:$H$7,2,TRUE)</f>
        <v>3.7532999999999999</v>
      </c>
      <c r="AK77" s="5">
        <f>VLOOKUP(R77,'[1]Coefficient Normal'!$A$3:$H$7,3,TRUE)</f>
        <v>0.14510000000000001</v>
      </c>
      <c r="AL77" s="5">
        <f>VLOOKUP(R77,'[1]Coefficient Normal'!$A$3:$H$7,4,TRUE)</f>
        <v>1.2497</v>
      </c>
      <c r="AM77" s="5">
        <f>VLOOKUP(R77,'[1]Coefficient Normal'!$A$3:$H$7,5,TRUE)</f>
        <v>-0.46100000000000002</v>
      </c>
      <c r="AN77" s="5">
        <f>VLOOKUP(R77,'[1]Coefficient Normal'!$A$3:$H$7,6,TRUE)</f>
        <v>0.39140000000000003</v>
      </c>
      <c r="AO77" s="5">
        <f>VLOOKUP(R77,'[1]Coefficient Normal'!$A$3:$H$7,7,TRUE)</f>
        <v>-0.21310000000000001</v>
      </c>
      <c r="AP77" s="5">
        <f>VLOOKUP(R77,'[1]Coefficient Normal'!$A$3:$H$7,8,TRUE)</f>
        <v>-0.34139999999999998</v>
      </c>
      <c r="AR77" s="5">
        <f t="shared" si="66"/>
        <v>-0.61445654144066819</v>
      </c>
      <c r="AV77" s="5">
        <f>VLOOKUP(R77,'[1]Coefficient Normal'!$A$10:$P$14,2,TRUE)</f>
        <v>-1.1082000000000001</v>
      </c>
      <c r="AW77" s="5">
        <f>VLOOKUP(R77,'[1]Coefficient Normal'!$A$10:$P$14,3,TRUE)</f>
        <v>0.10630000000000001</v>
      </c>
      <c r="AX77" s="5">
        <f>VLOOKUP(R77,'[1]Coefficient Normal'!$A$10:$P$14,4,TRUE)</f>
        <v>-0.1439</v>
      </c>
      <c r="AY77" s="5">
        <f>VLOOKUP(R77,'[1]Coefficient Normal'!$A$10:$P$14,5,TRUE)</f>
        <v>0.27879999999999999</v>
      </c>
      <c r="AZ77" s="5">
        <f>VLOOKUP(R77,'[1]Coefficient Normal'!$A$10:$P$14,6,TRUE)</f>
        <v>-0.31030000000000002</v>
      </c>
      <c r="BA77" s="5">
        <f>VLOOKUP(R77,'[1]Coefficient Normal'!$A$10:$P$14,7,TRUE)</f>
        <v>1.2553000000000001</v>
      </c>
      <c r="BB77" s="5">
        <f>VLOOKUP(R77,'[1]Coefficient Normal'!$A$10:$P$14,8,TRUE)</f>
        <v>2.9999999999999997E-4</v>
      </c>
      <c r="BC77" s="5">
        <f>VLOOKUP(R77,'[1]Coefficient Normal'!$A$10:$P$14,9,TRUE)</f>
        <v>5.1999999999999998E-3</v>
      </c>
      <c r="BD77" s="5">
        <f>VLOOKUP(R77,'[1]Coefficient Normal'!$A$10:$P$14,10,TRUE)</f>
        <v>-8.5900000000000004E-2</v>
      </c>
      <c r="BE77" s="5">
        <f>VLOOKUP(R77,'[1]Coefficient Normal'!$A$10:$P$14,11,TRUE)</f>
        <v>5.9999999999999995E-4</v>
      </c>
      <c r="BF77" s="5">
        <f>VLOOKUP(R77,'[1]Coefficient Normal'!$A$10:$P$14,12,TRUE)</f>
        <v>-0.21759999999999999</v>
      </c>
      <c r="BG77" s="5">
        <f>VLOOKUP(R77,'[1]Coefficient Normal'!$A$10:$P$14,13,TRUE)</f>
        <v>-2.69E-2</v>
      </c>
      <c r="BH77" s="5">
        <f>VLOOKUP(R77,'[1]Coefficient Normal'!$A$10:$P$14,14,TRUE)</f>
        <v>0.57389999999999997</v>
      </c>
      <c r="BI77" s="5">
        <f>VLOOKUP(R77,'[1]Coefficient Normal'!$A$10:$P$14,15,TRUE)</f>
        <v>0.34460000000000002</v>
      </c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W77" s="6">
        <f t="shared" si="67"/>
        <v>0</v>
      </c>
      <c r="BX77" s="6">
        <f t="shared" si="68"/>
        <v>1</v>
      </c>
      <c r="BY77" s="6">
        <f t="shared" si="69"/>
        <v>1</v>
      </c>
      <c r="BZ77" s="5">
        <f t="shared" si="70"/>
        <v>0.98996395014613658</v>
      </c>
      <c r="CB77">
        <f t="shared" si="71"/>
        <v>-0.79852969645977512</v>
      </c>
      <c r="CG77" s="5">
        <f t="shared" si="72"/>
        <v>-0.18407315501910693</v>
      </c>
      <c r="CH77" s="5">
        <f t="shared" si="73"/>
        <v>-0.18222578765857725</v>
      </c>
      <c r="CI77" s="5">
        <f t="shared" si="74"/>
        <v>0.48302937829557824</v>
      </c>
      <c r="CJ77" s="5">
        <f t="shared" si="75"/>
        <v>0</v>
      </c>
      <c r="CK77" s="5">
        <f t="shared" si="76"/>
        <v>1.7719278838724926</v>
      </c>
      <c r="CL77" s="5">
        <f t="shared" si="77"/>
        <v>3.4075552922036199E-2</v>
      </c>
      <c r="CM77" s="5">
        <f t="shared" si="78"/>
        <v>0.99860702743152963</v>
      </c>
      <c r="CN77" s="7">
        <f t="shared" si="94"/>
        <v>2.7144979724542799</v>
      </c>
      <c r="CO77">
        <f>VLOOKUP(R77,'[1]Coefficient Normal'!$A$10:$P$14,16,TRUE)</f>
        <v>0.3997</v>
      </c>
      <c r="CP77">
        <v>0.3</v>
      </c>
    </row>
    <row r="78" spans="1:94" x14ac:dyDescent="0.25">
      <c r="A78">
        <v>70</v>
      </c>
      <c r="B78">
        <v>9</v>
      </c>
      <c r="C78" t="str">
        <f t="shared" si="79"/>
        <v>Normal</v>
      </c>
      <c r="D78">
        <v>0.5</v>
      </c>
      <c r="E78">
        <f t="shared" si="80"/>
        <v>500</v>
      </c>
      <c r="F78">
        <v>9.5250000000000005E-3</v>
      </c>
      <c r="G78">
        <f t="shared" si="80"/>
        <v>9.5250000000000004</v>
      </c>
      <c r="H78" s="3">
        <f t="shared" si="81"/>
        <v>52.493438320209975</v>
      </c>
      <c r="I78" s="1">
        <v>50</v>
      </c>
      <c r="J78" s="4" t="s">
        <v>70</v>
      </c>
      <c r="K78" s="1">
        <f t="shared" si="82"/>
        <v>8</v>
      </c>
      <c r="L78" s="1">
        <f t="shared" si="83"/>
        <v>10</v>
      </c>
      <c r="M78" s="1">
        <f t="shared" si="84"/>
        <v>359000</v>
      </c>
      <c r="N78" s="1">
        <f t="shared" si="85"/>
        <v>455000</v>
      </c>
      <c r="O78" s="1">
        <f t="shared" si="86"/>
        <v>1.9969902892117808</v>
      </c>
      <c r="P78" s="3">
        <v>1.9041242414694344</v>
      </c>
      <c r="Q78" s="1">
        <f t="shared" si="87"/>
        <v>0.69164119173371341</v>
      </c>
      <c r="R78" s="1">
        <v>60</v>
      </c>
      <c r="S78" s="1" t="s">
        <v>71</v>
      </c>
      <c r="T78" t="s">
        <v>72</v>
      </c>
      <c r="U78">
        <f t="shared" si="88"/>
        <v>17.5</v>
      </c>
      <c r="V78" s="1">
        <f t="shared" si="89"/>
        <v>0</v>
      </c>
      <c r="W78">
        <f t="shared" si="90"/>
        <v>37.5</v>
      </c>
      <c r="X78">
        <f t="shared" si="91"/>
        <v>1.1000000000000001</v>
      </c>
      <c r="Y78">
        <v>0.9</v>
      </c>
      <c r="Z78" s="1">
        <v>2.5</v>
      </c>
      <c r="AA78" s="1">
        <f t="shared" si="61"/>
        <v>5</v>
      </c>
      <c r="AB78">
        <f t="shared" si="92"/>
        <v>64.795348480289491</v>
      </c>
      <c r="AC78">
        <f>IF(T78="medium dense",'[1]Coefficient Normal'!$E$18 + ('[1]Coefficient Normal'!$E$19*AA78) + ('[1]Coefficient Normal'!$E$20*(AA78^2)) + ('[1]Coefficient Normal'!$E$21*(AA78^3)) + ('[1]Coefficient Normal'!$E$22*(AA78^4)),IF(T78="dense",'[1]Coefficient Normal'!$F$18 + ('[1]Coefficient Normal'!$F$19*AA78) + ('[1]Coefficient Normal'!$F$20*(AA78^2)) + ('[1]Coefficient Normal'!$F$21*(AA78^3)) + ('[1]Coefficient Normal'!$F$22*(AA78^4)),IF(T78="very dense",'[1]Coefficient Normal'!$G$18 + ('[1]Coefficient Normal'!$G$19*AA78) + ('[1]Coefficient Normal'!$G$20*(AA78^2)) + ('[1]Coefficient Normal'!$G$21*(AA78^3)) + ('[1]Coefficient Normal'!$G$22*(AA78^4)),0)))</f>
        <v>0</v>
      </c>
      <c r="AD78">
        <f t="shared" si="62"/>
        <v>0</v>
      </c>
      <c r="AE78">
        <f t="shared" si="63"/>
        <v>96.375</v>
      </c>
      <c r="AF78" s="8">
        <f t="shared" si="93"/>
        <v>4.5682468318834939</v>
      </c>
      <c r="AG78" s="8">
        <f t="shared" si="64"/>
        <v>3.9606881774094269</v>
      </c>
      <c r="AH78" s="8">
        <f t="shared" si="65"/>
        <v>4.1712338180701449</v>
      </c>
      <c r="AI78" s="11">
        <v>0.59998680000000004</v>
      </c>
      <c r="AJ78" s="5">
        <f>VLOOKUP(R78,'[1]Coefficient Normal'!$A$3:$H$7,2,TRUE)</f>
        <v>4.3182999999999998</v>
      </c>
      <c r="AK78" s="5">
        <f>VLOOKUP(R78,'[1]Coefficient Normal'!$A$3:$H$7,3,TRUE)</f>
        <v>-2.7900000000000001E-2</v>
      </c>
      <c r="AL78" s="5">
        <f>VLOOKUP(R78,'[1]Coefficient Normal'!$A$3:$H$7,4,TRUE)</f>
        <v>1.0497000000000001</v>
      </c>
      <c r="AM78" s="5">
        <f>VLOOKUP(R78,'[1]Coefficient Normal'!$A$3:$H$7,5,TRUE)</f>
        <v>-0.46910000000000002</v>
      </c>
      <c r="AN78" s="5">
        <f>VLOOKUP(R78,'[1]Coefficient Normal'!$A$3:$H$7,6,TRUE)</f>
        <v>0.29149999999999998</v>
      </c>
      <c r="AO78" s="5">
        <f>VLOOKUP(R78,'[1]Coefficient Normal'!$A$3:$H$7,7,TRUE)</f>
        <v>-0.28610000000000002</v>
      </c>
      <c r="AP78" s="5">
        <f>VLOOKUP(R78,'[1]Coefficient Normal'!$A$3:$H$7,8,TRUE)</f>
        <v>-0.1348</v>
      </c>
      <c r="AR78" s="9">
        <f t="shared" si="66"/>
        <v>-4.4045191195327571E-2</v>
      </c>
      <c r="AV78" s="5">
        <f>VLOOKUP(R78,'[1]Coefficient Normal'!$A$10:$P$14,2,TRUE)</f>
        <v>-2.1276999999999999</v>
      </c>
      <c r="AW78" s="5">
        <f>VLOOKUP(R78,'[1]Coefficient Normal'!$A$10:$P$14,3,TRUE)</f>
        <v>0.14760000000000001</v>
      </c>
      <c r="AX78" s="5">
        <f>VLOOKUP(R78,'[1]Coefficient Normal'!$A$10:$P$14,4,TRUE)</f>
        <v>-0.21829999999999999</v>
      </c>
      <c r="AY78" s="5">
        <f>VLOOKUP(R78,'[1]Coefficient Normal'!$A$10:$P$14,5,TRUE)</f>
        <v>0.42270000000000002</v>
      </c>
      <c r="AZ78" s="5">
        <f>VLOOKUP(R78,'[1]Coefficient Normal'!$A$10:$P$14,6,TRUE)</f>
        <v>-0.53720000000000001</v>
      </c>
      <c r="BA78" s="5">
        <f>VLOOKUP(R78,'[1]Coefficient Normal'!$A$10:$P$14,7,TRUE)</f>
        <v>1.252</v>
      </c>
      <c r="BB78" s="5">
        <f>VLOOKUP(R78,'[1]Coefficient Normal'!$A$10:$P$14,8,TRUE)</f>
        <v>-5.9999999999999995E-4</v>
      </c>
      <c r="BC78" s="5">
        <f>VLOOKUP(R78,'[1]Coefficient Normal'!$A$10:$P$14,9,TRUE)</f>
        <v>5.3E-3</v>
      </c>
      <c r="BD78" s="5">
        <f>VLOOKUP(R78,'[1]Coefficient Normal'!$A$10:$P$14,10,TRUE)</f>
        <v>-4.8500000000000001E-2</v>
      </c>
      <c r="BE78" s="5">
        <f>VLOOKUP(R78,'[1]Coefficient Normal'!$A$10:$P$14,11,TRUE)</f>
        <v>1.2999999999999999E-3</v>
      </c>
      <c r="BF78" s="5">
        <f>VLOOKUP(R78,'[1]Coefficient Normal'!$A$10:$P$14,12,TRUE)</f>
        <v>-0.56599999999999995</v>
      </c>
      <c r="BG78" s="5">
        <f>VLOOKUP(R78,'[1]Coefficient Normal'!$A$10:$P$14,13,TRUE)</f>
        <v>-3.2099999999999997E-2</v>
      </c>
      <c r="BH78" s="5">
        <f>VLOOKUP(R78,'[1]Coefficient Normal'!$A$10:$P$14,14,TRUE)</f>
        <v>0.84970000000000001</v>
      </c>
      <c r="BI78" s="5">
        <f>VLOOKUP(R78,'[1]Coefficient Normal'!$A$10:$P$14,15,TRUE)</f>
        <v>9.01E-2</v>
      </c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W78" s="6">
        <f t="shared" si="67"/>
        <v>0</v>
      </c>
      <c r="BX78" s="10">
        <f t="shared" si="68"/>
        <v>1</v>
      </c>
      <c r="BY78" s="10">
        <f t="shared" si="69"/>
        <v>1</v>
      </c>
      <c r="BZ78" s="9">
        <f t="shared" si="70"/>
        <v>1.0163642607280992</v>
      </c>
      <c r="CB78" s="8">
        <f t="shared" si="71"/>
        <v>-0.51084762400799422</v>
      </c>
      <c r="CG78" s="9">
        <f t="shared" si="72"/>
        <v>-0.46680243281266665</v>
      </c>
      <c r="CH78" s="9">
        <f t="shared" si="73"/>
        <v>-0.47444130953172409</v>
      </c>
      <c r="CI78" s="9">
        <f t="shared" si="74"/>
        <v>0.58459757498563147</v>
      </c>
      <c r="CJ78" s="9">
        <f t="shared" si="75"/>
        <v>0</v>
      </c>
      <c r="CK78" s="9">
        <f t="shared" si="76"/>
        <v>1.930997935837153</v>
      </c>
      <c r="CL78" s="9">
        <f t="shared" si="77"/>
        <v>0.37235866539680262</v>
      </c>
      <c r="CM78" s="9">
        <f t="shared" si="78"/>
        <v>0.28581286668786332</v>
      </c>
      <c r="CN78" s="12">
        <f t="shared" si="94"/>
        <v>1.3308433868176077</v>
      </c>
      <c r="CO78">
        <f>VLOOKUP(R78,'[1]Coefficient Normal'!$A$10:$P$14,16,TRUE)</f>
        <v>0.50170000000000003</v>
      </c>
      <c r="CP78">
        <v>0.3</v>
      </c>
    </row>
    <row r="79" spans="1:94" x14ac:dyDescent="0.25">
      <c r="A79">
        <v>71</v>
      </c>
      <c r="B79">
        <v>10</v>
      </c>
      <c r="C79" t="str">
        <f t="shared" si="79"/>
        <v>Normal</v>
      </c>
      <c r="D79">
        <v>1.0668</v>
      </c>
      <c r="E79">
        <f t="shared" si="80"/>
        <v>1066.8</v>
      </c>
      <c r="F79" s="8">
        <v>9.5250000000000005E-3</v>
      </c>
      <c r="G79">
        <f t="shared" si="80"/>
        <v>9.5250000000000004</v>
      </c>
      <c r="H79" s="3">
        <f t="shared" si="81"/>
        <v>111.99999999999999</v>
      </c>
      <c r="I79" s="1">
        <v>100</v>
      </c>
      <c r="J79" s="4" t="s">
        <v>75</v>
      </c>
      <c r="K79" s="1">
        <f t="shared" si="82"/>
        <v>14</v>
      </c>
      <c r="L79" s="1">
        <f t="shared" si="83"/>
        <v>15</v>
      </c>
      <c r="M79" s="1">
        <f t="shared" si="84"/>
        <v>483000</v>
      </c>
      <c r="N79" s="1">
        <f t="shared" si="85"/>
        <v>565000</v>
      </c>
      <c r="O79" s="1">
        <f t="shared" si="86"/>
        <v>2.8799444073326219</v>
      </c>
      <c r="P79" s="3">
        <v>2.7690517990613435</v>
      </c>
      <c r="Q79" s="1">
        <f t="shared" si="87"/>
        <v>1.0577709909520427</v>
      </c>
      <c r="R79" s="1">
        <v>75</v>
      </c>
      <c r="S79" s="1" t="s">
        <v>78</v>
      </c>
      <c r="T79" t="s">
        <v>79</v>
      </c>
      <c r="U79">
        <f t="shared" si="88"/>
        <v>18</v>
      </c>
      <c r="V79" s="1">
        <f t="shared" si="89"/>
        <v>37</v>
      </c>
      <c r="W79">
        <f t="shared" si="90"/>
        <v>0</v>
      </c>
      <c r="X79">
        <f t="shared" si="91"/>
        <v>0</v>
      </c>
      <c r="Y79">
        <v>0.9</v>
      </c>
      <c r="Z79" s="1">
        <v>1</v>
      </c>
      <c r="AA79" s="1">
        <f t="shared" si="61"/>
        <v>1.8</v>
      </c>
      <c r="AB79">
        <f t="shared" si="92"/>
        <v>39.626853336736396</v>
      </c>
      <c r="AC79">
        <f>IF(T79="medium dense",'[1]Coefficient Normal'!$E$18 + ('[1]Coefficient Normal'!$E$19*AA79) + ('[1]Coefficient Normal'!$E$20*(AA79^2)) + ('[1]Coefficient Normal'!$E$21*(AA79^3)) + ('[1]Coefficient Normal'!$E$22*(AA79^4)),IF(T79="dense",'[1]Coefficient Normal'!$F$18 + ('[1]Coefficient Normal'!$F$19*AA79) + ('[1]Coefficient Normal'!$F$20*(AA79^2)) + ('[1]Coefficient Normal'!$F$21*(AA79^3)) + ('[1]Coefficient Normal'!$F$22*(AA79^4)),IF(T79="very dense",'[1]Coefficient Normal'!$G$18 + ('[1]Coefficient Normal'!$G$19*AA79) + ('[1]Coefficient Normal'!$G$20*(AA79^2)) + ('[1]Coefficient Normal'!$G$21*(AA79^3)) + ('[1]Coefficient Normal'!$G$22*(AA79^4)),0)))</f>
        <v>12.698394373823998</v>
      </c>
      <c r="AD79">
        <f t="shared" si="62"/>
        <v>64.071522599936642</v>
      </c>
      <c r="AE79">
        <f t="shared" si="63"/>
        <v>900.09607289656856</v>
      </c>
      <c r="AF79" s="8">
        <f t="shared" si="93"/>
        <v>6.8025015052900386</v>
      </c>
      <c r="AG79" s="8">
        <f t="shared" si="64"/>
        <v>4.7184988712950942</v>
      </c>
      <c r="AH79" s="8">
        <f t="shared" si="65"/>
        <v>3.6795070030086925</v>
      </c>
      <c r="AI79" s="11">
        <v>0.74998350000000003</v>
      </c>
      <c r="AJ79" s="5">
        <f>VLOOKUP(R79,'[1]Coefficient Normal'!$A$3:$H$7,2,TRUE)</f>
        <v>5.5951000000000004</v>
      </c>
      <c r="AK79" s="5">
        <f>VLOOKUP(R79,'[1]Coefficient Normal'!$A$3:$H$7,3,TRUE)</f>
        <v>1.6E-2</v>
      </c>
      <c r="AL79" s="5">
        <f>VLOOKUP(R79,'[1]Coefficient Normal'!$A$3:$H$7,4,TRUE)</f>
        <v>1.2641</v>
      </c>
      <c r="AM79" s="5">
        <f>VLOOKUP(R79,'[1]Coefficient Normal'!$A$3:$H$7,5,TRUE)</f>
        <v>-0.52429999999999999</v>
      </c>
      <c r="AN79" s="5">
        <f>VLOOKUP(R79,'[1]Coefficient Normal'!$A$3:$H$7,6,TRUE)</f>
        <v>0.35830000000000001</v>
      </c>
      <c r="AO79" s="5">
        <f>VLOOKUP(R79,'[1]Coefficient Normal'!$A$3:$H$7,7,TRUE)</f>
        <v>-0.35920000000000002</v>
      </c>
      <c r="AP79" s="5">
        <f>VLOOKUP(R79,'[1]Coefficient Normal'!$A$3:$H$7,8,TRUE)</f>
        <v>-0.2482</v>
      </c>
      <c r="AR79" s="9">
        <f t="shared" si="66"/>
        <v>0.29890207916201494</v>
      </c>
      <c r="AV79" s="5">
        <f>VLOOKUP(R79,'[1]Coefficient Normal'!$A$10:$P$14,2,TRUE)</f>
        <v>-2.3450000000000002</v>
      </c>
      <c r="AW79" s="5">
        <f>VLOOKUP(R79,'[1]Coefficient Normal'!$A$10:$P$14,3,TRUE)</f>
        <v>0.19470000000000001</v>
      </c>
      <c r="AX79" s="5">
        <f>VLOOKUP(R79,'[1]Coefficient Normal'!$A$10:$P$14,4,TRUE)</f>
        <v>-0.2044</v>
      </c>
      <c r="AY79" s="5">
        <f>VLOOKUP(R79,'[1]Coefficient Normal'!$A$10:$P$14,5,TRUE)</f>
        <v>0.4143</v>
      </c>
      <c r="AZ79" s="5">
        <f>VLOOKUP(R79,'[1]Coefficient Normal'!$A$10:$P$14,6,TRUE)</f>
        <v>-0.55710000000000004</v>
      </c>
      <c r="BA79" s="5">
        <f>VLOOKUP(R79,'[1]Coefficient Normal'!$A$10:$P$14,7,TRUE)</f>
        <v>1.0931</v>
      </c>
      <c r="BB79" s="5">
        <f>VLOOKUP(R79,'[1]Coefficient Normal'!$A$10:$P$14,8,TRUE)</f>
        <v>1E-4</v>
      </c>
      <c r="BC79" s="5">
        <f>VLOOKUP(R79,'[1]Coefficient Normal'!$A$10:$P$14,9,TRUE)</f>
        <v>3.5000000000000001E-3</v>
      </c>
      <c r="BD79" s="5">
        <f>VLOOKUP(R79,'[1]Coefficient Normal'!$A$10:$P$14,10,TRUE)</f>
        <v>-4.07E-2</v>
      </c>
      <c r="BE79" s="5">
        <f>VLOOKUP(R79,'[1]Coefficient Normal'!$A$10:$P$14,11,TRUE)</f>
        <v>1.6000000000000001E-3</v>
      </c>
      <c r="BF79" s="5">
        <f>VLOOKUP(R79,'[1]Coefficient Normal'!$A$10:$P$14,12,TRUE)</f>
        <v>-0.65949999999999998</v>
      </c>
      <c r="BG79" s="5">
        <f>VLOOKUP(R79,'[1]Coefficient Normal'!$A$10:$P$14,13,TRUE)</f>
        <v>-3.0099999999999998E-2</v>
      </c>
      <c r="BH79" s="5">
        <f>VLOOKUP(R79,'[1]Coefficient Normal'!$A$10:$P$14,14,TRUE)</f>
        <v>0.84219999999999995</v>
      </c>
      <c r="BI79" s="5">
        <f>VLOOKUP(R79,'[1]Coefficient Normal'!$A$10:$P$14,15,TRUE)</f>
        <v>0.50680000000000003</v>
      </c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W79" s="6">
        <f t="shared" si="67"/>
        <v>1</v>
      </c>
      <c r="BX79" s="10">
        <f t="shared" si="68"/>
        <v>1</v>
      </c>
      <c r="BY79" s="10">
        <f t="shared" si="69"/>
        <v>0</v>
      </c>
      <c r="BZ79" s="9">
        <f t="shared" si="70"/>
        <v>1.2355626853336736</v>
      </c>
      <c r="CB79" s="8">
        <f t="shared" si="71"/>
        <v>-0.28770407269378445</v>
      </c>
      <c r="CG79" s="9">
        <f t="shared" si="72"/>
        <v>-0.58660615185579945</v>
      </c>
      <c r="CH79" s="9">
        <f t="shared" si="73"/>
        <v>-0.72478867222020427</v>
      </c>
      <c r="CI79" s="9">
        <f t="shared" si="74"/>
        <v>0.91869173024115491</v>
      </c>
      <c r="CJ79" s="9">
        <f t="shared" si="75"/>
        <v>-0.75209123141497669</v>
      </c>
      <c r="CK79" s="9">
        <f t="shared" si="76"/>
        <v>2.8182763736416629</v>
      </c>
      <c r="CL79" s="9">
        <f t="shared" si="77"/>
        <v>-3.6024043273759798E-2</v>
      </c>
      <c r="CM79" s="9">
        <f t="shared" si="78"/>
        <v>-0.12093584302612276</v>
      </c>
      <c r="CN79" s="12">
        <f t="shared" si="94"/>
        <v>0.8860908066740244</v>
      </c>
      <c r="CO79">
        <f>VLOOKUP(R79,'[1]Coefficient Normal'!$A$10:$P$14,16,TRUE)</f>
        <v>0.43780000000000002</v>
      </c>
      <c r="CP79">
        <v>0.3</v>
      </c>
    </row>
    <row r="80" spans="1:94" x14ac:dyDescent="0.25">
      <c r="A80">
        <v>72</v>
      </c>
      <c r="B80">
        <v>0</v>
      </c>
      <c r="C80" t="str">
        <f t="shared" si="79"/>
        <v>Normal</v>
      </c>
      <c r="D80">
        <v>0.60960000000000003</v>
      </c>
      <c r="E80">
        <f t="shared" si="80"/>
        <v>609.6</v>
      </c>
      <c r="F80">
        <v>9.5250000000000005E-3</v>
      </c>
      <c r="G80">
        <f t="shared" si="80"/>
        <v>9.5250000000000004</v>
      </c>
      <c r="H80" s="3">
        <f t="shared" si="81"/>
        <v>64</v>
      </c>
      <c r="I80" s="1">
        <v>300</v>
      </c>
      <c r="J80" s="4" t="s">
        <v>77</v>
      </c>
      <c r="K80" s="1">
        <f t="shared" si="82"/>
        <v>15</v>
      </c>
      <c r="L80" s="1">
        <f t="shared" si="83"/>
        <v>20</v>
      </c>
      <c r="M80" s="1">
        <f t="shared" si="84"/>
        <v>552000</v>
      </c>
      <c r="N80" s="1">
        <f t="shared" si="85"/>
        <v>625000</v>
      </c>
      <c r="O80" s="1">
        <f t="shared" si="86"/>
        <v>2.9888368774026359</v>
      </c>
      <c r="P80" s="3">
        <v>2.8464933991254466</v>
      </c>
      <c r="Q80" s="1">
        <f t="shared" si="87"/>
        <v>1.0948843075076633</v>
      </c>
      <c r="R80" s="1">
        <v>90</v>
      </c>
      <c r="S80" s="1" t="s">
        <v>78</v>
      </c>
      <c r="T80" t="s">
        <v>80</v>
      </c>
      <c r="U80">
        <f t="shared" si="88"/>
        <v>18.5</v>
      </c>
      <c r="V80" s="1">
        <f t="shared" si="89"/>
        <v>40</v>
      </c>
      <c r="W80">
        <f t="shared" si="90"/>
        <v>0</v>
      </c>
      <c r="X80">
        <f t="shared" si="91"/>
        <v>0</v>
      </c>
      <c r="Y80">
        <v>0.9</v>
      </c>
      <c r="Z80" s="1">
        <v>1.2</v>
      </c>
      <c r="AA80" s="1">
        <f t="shared" si="61"/>
        <v>1.9685039370078738</v>
      </c>
      <c r="AB80">
        <f t="shared" si="92"/>
        <v>30.889355446920469</v>
      </c>
      <c r="AC80">
        <f>IF(T80="medium dense",'[1]Coefficient Normal'!$E$18 + ('[1]Coefficient Normal'!$E$19*AA80) + ('[1]Coefficient Normal'!$E$20*(AA80^2)) + ('[1]Coefficient Normal'!$E$21*(AA80^3)) + ('[1]Coefficient Normal'!$E$22*(AA80^4)),IF(T80="dense",'[1]Coefficient Normal'!$F$18 + ('[1]Coefficient Normal'!$F$19*AA80) + ('[1]Coefficient Normal'!$F$20*(AA80^2)) + ('[1]Coefficient Normal'!$F$21*(AA80^3)) + ('[1]Coefficient Normal'!$F$22*(AA80^4)),IF(T80="very dense",'[1]Coefficient Normal'!$G$18 + ('[1]Coefficient Normal'!$G$19*AA80) + ('[1]Coefficient Normal'!$G$20*(AA80^2)) + ('[1]Coefficient Normal'!$G$21*(AA80^3)) + ('[1]Coefficient Normal'!$G$22*(AA80^4)),0)))</f>
        <v>15.896480151009957</v>
      </c>
      <c r="AD80">
        <f t="shared" si="62"/>
        <v>80</v>
      </c>
      <c r="AE80">
        <f t="shared" si="63"/>
        <v>490.12197186123592</v>
      </c>
      <c r="AF80">
        <f t="shared" si="93"/>
        <v>6.1946542822944775</v>
      </c>
      <c r="AG80">
        <f t="shared" si="64"/>
        <v>4.1588830833596715</v>
      </c>
      <c r="AH80">
        <f t="shared" si="65"/>
        <v>3.4304116406370531</v>
      </c>
      <c r="AI80" s="1">
        <v>2.75</v>
      </c>
      <c r="AJ80" s="5">
        <f>VLOOKUP(R80,'[1]Coefficient Normal'!$A$3:$H$7,2,TRUE)</f>
        <v>14.575100000000001</v>
      </c>
      <c r="AK80" s="5">
        <f>VLOOKUP(R80,'[1]Coefficient Normal'!$A$3:$H$7,3,TRUE)</f>
        <v>0.1356</v>
      </c>
      <c r="AL80" s="5">
        <f>VLOOKUP(R80,'[1]Coefficient Normal'!$A$3:$H$7,4,TRUE)</f>
        <v>2.9990000000000001</v>
      </c>
      <c r="AM80" s="5">
        <f>VLOOKUP(R80,'[1]Coefficient Normal'!$A$3:$H$7,5,TRUE)</f>
        <v>-0.94710000000000005</v>
      </c>
      <c r="AN80" s="5">
        <f>VLOOKUP(R80,'[1]Coefficient Normal'!$A$3:$H$7,6,TRUE)</f>
        <v>0.6603</v>
      </c>
      <c r="AO80" s="5">
        <f>VLOOKUP(R80,'[1]Coefficient Normal'!$A$3:$H$7,7,TRUE)</f>
        <v>-1.2488999999999999</v>
      </c>
      <c r="AP80" s="5">
        <f>VLOOKUP(R80,'[1]Coefficient Normal'!$A$3:$H$7,8,TRUE)</f>
        <v>-0.44140000000000001</v>
      </c>
      <c r="AR80" s="5">
        <f t="shared" si="66"/>
        <v>1.3975575406714862</v>
      </c>
      <c r="AV80" s="5">
        <f>VLOOKUP(R80,'[1]Coefficient Normal'!$A$10:$P$14,2,TRUE)</f>
        <v>5.1353999999999997</v>
      </c>
      <c r="AW80" s="5">
        <f>VLOOKUP(R80,'[1]Coefficient Normal'!$A$10:$P$14,3,TRUE)</f>
        <v>-4.9599999999999998E-2</v>
      </c>
      <c r="AX80" s="5">
        <f>VLOOKUP(R80,'[1]Coefficient Normal'!$A$10:$P$14,4,TRUE)</f>
        <v>0.44590000000000002</v>
      </c>
      <c r="AY80" s="5">
        <f>VLOOKUP(R80,'[1]Coefficient Normal'!$A$10:$P$14,5,TRUE)</f>
        <v>-0.83709999999999996</v>
      </c>
      <c r="AZ80" s="5">
        <f>VLOOKUP(R80,'[1]Coefficient Normal'!$A$10:$P$14,6,TRUE)</f>
        <v>0.63090000000000002</v>
      </c>
      <c r="BA80" s="5">
        <f>VLOOKUP(R80,'[1]Coefficient Normal'!$A$10:$P$14,7,TRUE)</f>
        <v>0.91390000000000005</v>
      </c>
      <c r="BB80" s="5">
        <f>VLOOKUP(R80,'[1]Coefficient Normal'!$A$10:$P$14,8,TRUE)</f>
        <v>2.5000000000000001E-3</v>
      </c>
      <c r="BC80" s="5">
        <f>VLOOKUP(R80,'[1]Coefficient Normal'!$A$10:$P$14,9,TRUE)</f>
        <v>1.6000000000000001E-3</v>
      </c>
      <c r="BD80" s="5">
        <f>VLOOKUP(R80,'[1]Coefficient Normal'!$A$10:$P$14,10,TRUE)</f>
        <v>-9.7500000000000003E-2</v>
      </c>
      <c r="BE80" s="5">
        <f>VLOOKUP(R80,'[1]Coefficient Normal'!$A$10:$P$14,11,TRUE)</f>
        <v>1.1999999999999999E-3</v>
      </c>
      <c r="BF80" s="5">
        <f>VLOOKUP(R80,'[1]Coefficient Normal'!$A$10:$P$14,12,TRUE)</f>
        <v>0.46479999999999999</v>
      </c>
      <c r="BG80" s="5">
        <f>VLOOKUP(R80,'[1]Coefficient Normal'!$A$10:$P$14,13,TRUE)</f>
        <v>8.0000000000000004E-4</v>
      </c>
      <c r="BH80" s="5">
        <f>VLOOKUP(R80,'[1]Coefficient Normal'!$A$10:$P$14,14,TRUE)</f>
        <v>6.7900000000000002E-2</v>
      </c>
      <c r="BI80" s="5">
        <f>VLOOKUP(R80,'[1]Coefficient Normal'!$A$10:$P$14,15,TRUE)</f>
        <v>0.58979999999999999</v>
      </c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W80" s="6">
        <f t="shared" si="67"/>
        <v>1</v>
      </c>
      <c r="BX80" s="6">
        <f t="shared" si="68"/>
        <v>1</v>
      </c>
      <c r="BY80" s="6">
        <f t="shared" si="69"/>
        <v>0</v>
      </c>
      <c r="BZ80" s="5">
        <f t="shared" si="70"/>
        <v>0.97042338861730115</v>
      </c>
      <c r="CB80">
        <f t="shared" si="71"/>
        <v>1.0116009116784799</v>
      </c>
      <c r="CG80" s="5">
        <f t="shared" si="72"/>
        <v>-0.38595662899300631</v>
      </c>
      <c r="CH80" s="5">
        <f t="shared" si="73"/>
        <v>-0.37454133976670367</v>
      </c>
      <c r="CI80" s="5">
        <f t="shared" si="74"/>
        <v>-0.20628060093463971</v>
      </c>
      <c r="CJ80" s="5">
        <f t="shared" si="75"/>
        <v>1.529620550560062</v>
      </c>
      <c r="CK80" s="5">
        <f t="shared" si="76"/>
        <v>-5.1855450997087065</v>
      </c>
      <c r="CL80" s="5">
        <f t="shared" si="77"/>
        <v>-0.31226539005126003</v>
      </c>
      <c r="CM80" s="5">
        <f t="shared" si="78"/>
        <v>0.58638812009875241</v>
      </c>
      <c r="CN80" s="7">
        <f t="shared" si="94"/>
        <v>1.7974843788684016</v>
      </c>
      <c r="CO80">
        <f>VLOOKUP(R80,'[1]Coefficient Normal'!$A$10:$P$14,16,TRUE)</f>
        <v>0.34749999999999998</v>
      </c>
      <c r="CP80">
        <v>0.3</v>
      </c>
    </row>
    <row r="81" spans="1:94" x14ac:dyDescent="0.25">
      <c r="A81">
        <v>73</v>
      </c>
      <c r="B81">
        <v>1</v>
      </c>
      <c r="C81" t="str">
        <f t="shared" si="79"/>
        <v>Normal</v>
      </c>
      <c r="D81">
        <v>0.40960000000000002</v>
      </c>
      <c r="E81">
        <f t="shared" si="80"/>
        <v>409.6</v>
      </c>
      <c r="F81">
        <v>9.5250000000000005E-3</v>
      </c>
      <c r="G81">
        <f t="shared" si="80"/>
        <v>9.5250000000000004</v>
      </c>
      <c r="H81" s="3">
        <f t="shared" si="81"/>
        <v>43.00262467191601</v>
      </c>
      <c r="I81" s="1">
        <v>30</v>
      </c>
      <c r="J81" s="4" t="s">
        <v>70</v>
      </c>
      <c r="K81" s="1">
        <f t="shared" si="82"/>
        <v>8</v>
      </c>
      <c r="L81" s="1">
        <f t="shared" si="83"/>
        <v>10</v>
      </c>
      <c r="M81" s="1">
        <f t="shared" si="84"/>
        <v>359000</v>
      </c>
      <c r="N81" s="1">
        <f t="shared" si="85"/>
        <v>455000</v>
      </c>
      <c r="O81" s="1">
        <f t="shared" si="86"/>
        <v>1.9969902892117808</v>
      </c>
      <c r="P81" s="3">
        <v>1.9041242414694344</v>
      </c>
      <c r="Q81" s="1">
        <f t="shared" si="87"/>
        <v>0.69164119173371341</v>
      </c>
      <c r="R81" s="1">
        <v>45</v>
      </c>
      <c r="S81" s="1" t="s">
        <v>78</v>
      </c>
      <c r="T81" t="s">
        <v>81</v>
      </c>
      <c r="U81">
        <f t="shared" si="88"/>
        <v>19</v>
      </c>
      <c r="V81" s="1">
        <f t="shared" si="89"/>
        <v>43</v>
      </c>
      <c r="W81">
        <f t="shared" si="90"/>
        <v>0</v>
      </c>
      <c r="X81">
        <f t="shared" si="91"/>
        <v>0</v>
      </c>
      <c r="Y81">
        <v>0.9</v>
      </c>
      <c r="Z81" s="1">
        <v>0.78739999999999999</v>
      </c>
      <c r="AA81" s="1">
        <f t="shared" si="61"/>
        <v>1.9223632812499998</v>
      </c>
      <c r="AB81">
        <f t="shared" si="92"/>
        <v>15.423155931843731</v>
      </c>
      <c r="AC81">
        <f>IF(T81="medium dense",'[1]Coefficient Normal'!$E$18 + ('[1]Coefficient Normal'!$E$19*AA81) + ('[1]Coefficient Normal'!$E$20*(AA81^2)) + ('[1]Coefficient Normal'!$E$21*(AA81^3)) + ('[1]Coefficient Normal'!$E$22*(AA81^4)),IF(T81="dense",'[1]Coefficient Normal'!$F$18 + ('[1]Coefficient Normal'!$F$19*AA81) + ('[1]Coefficient Normal'!$F$20*(AA81^2)) + ('[1]Coefficient Normal'!$F$21*(AA81^3)) + ('[1]Coefficient Normal'!$F$22*(AA81^4)),IF(T81="very dense",'[1]Coefficient Normal'!$G$18 + ('[1]Coefficient Normal'!$G$19*AA81) + ('[1]Coefficient Normal'!$G$20*(AA81^2)) + ('[1]Coefficient Normal'!$G$21*(AA81^3)) + ('[1]Coefficient Normal'!$G$22*(AA81^4)),0)))</f>
        <v>18.720510313797256</v>
      </c>
      <c r="AD81">
        <f t="shared" si="62"/>
        <v>80</v>
      </c>
      <c r="AE81">
        <f t="shared" si="63"/>
        <v>242.22354087960383</v>
      </c>
      <c r="AF81">
        <f t="shared" si="93"/>
        <v>5.4898610224304614</v>
      </c>
      <c r="AG81">
        <f t="shared" si="64"/>
        <v>3.7612611527125335</v>
      </c>
      <c r="AH81">
        <f t="shared" si="65"/>
        <v>2.7358700120349009</v>
      </c>
      <c r="AI81" s="1">
        <v>3</v>
      </c>
      <c r="AJ81" s="5">
        <f>VLOOKUP(R81,'[1]Coefficient Normal'!$A$3:$H$7,2,TRUE)</f>
        <v>3.7532999999999999</v>
      </c>
      <c r="AK81" s="5">
        <f>VLOOKUP(R81,'[1]Coefficient Normal'!$A$3:$H$7,3,TRUE)</f>
        <v>0.14510000000000001</v>
      </c>
      <c r="AL81" s="5">
        <f>VLOOKUP(R81,'[1]Coefficient Normal'!$A$3:$H$7,4,TRUE)</f>
        <v>1.2497</v>
      </c>
      <c r="AM81" s="5">
        <f>VLOOKUP(R81,'[1]Coefficient Normal'!$A$3:$H$7,5,TRUE)</f>
        <v>-0.46100000000000002</v>
      </c>
      <c r="AN81" s="5">
        <f>VLOOKUP(R81,'[1]Coefficient Normal'!$A$3:$H$7,6,TRUE)</f>
        <v>0.39140000000000003</v>
      </c>
      <c r="AO81" s="5">
        <f>VLOOKUP(R81,'[1]Coefficient Normal'!$A$3:$H$7,7,TRUE)</f>
        <v>-0.21310000000000001</v>
      </c>
      <c r="AP81" s="5">
        <f>VLOOKUP(R81,'[1]Coefficient Normal'!$A$3:$H$7,8,TRUE)</f>
        <v>-0.34139999999999998</v>
      </c>
      <c r="AR81" s="5">
        <f t="shared" si="66"/>
        <v>-0.43578467917484187</v>
      </c>
      <c r="AV81" s="5">
        <f>VLOOKUP(R81,'[1]Coefficient Normal'!$A$10:$P$14,2,TRUE)</f>
        <v>-1.1082000000000001</v>
      </c>
      <c r="AW81" s="5">
        <f>VLOOKUP(R81,'[1]Coefficient Normal'!$A$10:$P$14,3,TRUE)</f>
        <v>0.10630000000000001</v>
      </c>
      <c r="AX81" s="5">
        <f>VLOOKUP(R81,'[1]Coefficient Normal'!$A$10:$P$14,4,TRUE)</f>
        <v>-0.1439</v>
      </c>
      <c r="AY81" s="5">
        <f>VLOOKUP(R81,'[1]Coefficient Normal'!$A$10:$P$14,5,TRUE)</f>
        <v>0.27879999999999999</v>
      </c>
      <c r="AZ81" s="5">
        <f>VLOOKUP(R81,'[1]Coefficient Normal'!$A$10:$P$14,6,TRUE)</f>
        <v>-0.31030000000000002</v>
      </c>
      <c r="BA81" s="5">
        <f>VLOOKUP(R81,'[1]Coefficient Normal'!$A$10:$P$14,7,TRUE)</f>
        <v>1.2553000000000001</v>
      </c>
      <c r="BB81" s="5">
        <f>VLOOKUP(R81,'[1]Coefficient Normal'!$A$10:$P$14,8,TRUE)</f>
        <v>2.9999999999999997E-4</v>
      </c>
      <c r="BC81" s="5">
        <f>VLOOKUP(R81,'[1]Coefficient Normal'!$A$10:$P$14,9,TRUE)</f>
        <v>5.1999999999999998E-3</v>
      </c>
      <c r="BD81" s="5">
        <f>VLOOKUP(R81,'[1]Coefficient Normal'!$A$10:$P$14,10,TRUE)</f>
        <v>-8.5900000000000004E-2</v>
      </c>
      <c r="BE81" s="5">
        <f>VLOOKUP(R81,'[1]Coefficient Normal'!$A$10:$P$14,11,TRUE)</f>
        <v>5.9999999999999995E-4</v>
      </c>
      <c r="BF81" s="5">
        <f>VLOOKUP(R81,'[1]Coefficient Normal'!$A$10:$P$14,12,TRUE)</f>
        <v>-0.21759999999999999</v>
      </c>
      <c r="BG81" s="5">
        <f>VLOOKUP(R81,'[1]Coefficient Normal'!$A$10:$P$14,13,TRUE)</f>
        <v>-2.69E-2</v>
      </c>
      <c r="BH81" s="5">
        <f>VLOOKUP(R81,'[1]Coefficient Normal'!$A$10:$P$14,14,TRUE)</f>
        <v>0.57389999999999997</v>
      </c>
      <c r="BI81" s="5">
        <f>VLOOKUP(R81,'[1]Coefficient Normal'!$A$10:$P$14,15,TRUE)</f>
        <v>0.34460000000000002</v>
      </c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W81" s="6">
        <f t="shared" si="67"/>
        <v>1</v>
      </c>
      <c r="BX81" s="6">
        <f t="shared" si="68"/>
        <v>0</v>
      </c>
      <c r="BY81" s="6">
        <f t="shared" si="69"/>
        <v>1</v>
      </c>
      <c r="BZ81" s="5">
        <f t="shared" si="70"/>
        <v>1.9037395546714377</v>
      </c>
      <c r="CB81">
        <f t="shared" si="71"/>
        <v>1.0986122886681098</v>
      </c>
      <c r="CG81" s="5">
        <f t="shared" si="72"/>
        <v>1.5343969678429517</v>
      </c>
      <c r="CH81" s="5">
        <f t="shared" si="73"/>
        <v>2.9210922002505453</v>
      </c>
      <c r="CI81" s="5">
        <f t="shared" si="74"/>
        <v>0.39982206053334235</v>
      </c>
      <c r="CJ81" s="5">
        <f t="shared" si="75"/>
        <v>-0.39369169473182225</v>
      </c>
      <c r="CK81" s="5">
        <f t="shared" si="76"/>
        <v>1.5305732530536127</v>
      </c>
      <c r="CL81" s="5">
        <f t="shared" si="77"/>
        <v>0.27696577589119714</v>
      </c>
      <c r="CM81" s="5">
        <f t="shared" si="78"/>
        <v>3.626561594996875</v>
      </c>
      <c r="CN81" s="7">
        <f t="shared" si="94"/>
        <v>37.583367356871307</v>
      </c>
      <c r="CO81">
        <f>VLOOKUP(R81,'[1]Coefficient Normal'!$A$10:$P$14,16,TRUE)</f>
        <v>0.3997</v>
      </c>
      <c r="CP81">
        <v>0.3</v>
      </c>
    </row>
    <row r="82" spans="1:94" x14ac:dyDescent="0.25">
      <c r="A82">
        <v>74</v>
      </c>
      <c r="B82">
        <v>2</v>
      </c>
      <c r="C82" t="str">
        <f t="shared" si="79"/>
        <v>Normal</v>
      </c>
      <c r="D82">
        <v>0.89600000000000002</v>
      </c>
      <c r="E82">
        <f t="shared" si="80"/>
        <v>896</v>
      </c>
      <c r="F82">
        <v>9.5250000000000005E-3</v>
      </c>
      <c r="G82">
        <f t="shared" si="80"/>
        <v>9.5250000000000004</v>
      </c>
      <c r="H82" s="3">
        <f t="shared" si="81"/>
        <v>94.068241469816272</v>
      </c>
      <c r="I82" s="1">
        <v>50</v>
      </c>
      <c r="J82" s="4" t="s">
        <v>73</v>
      </c>
      <c r="K82" s="1">
        <f t="shared" si="82"/>
        <v>8</v>
      </c>
      <c r="L82" s="1">
        <f t="shared" si="83"/>
        <v>12</v>
      </c>
      <c r="M82" s="1">
        <f t="shared" si="84"/>
        <v>414000</v>
      </c>
      <c r="N82" s="1">
        <f t="shared" si="85"/>
        <v>517000</v>
      </c>
      <c r="O82" s="1">
        <f t="shared" si="86"/>
        <v>2.5466769467238102</v>
      </c>
      <c r="P82" s="3">
        <v>2.4313344008036557</v>
      </c>
      <c r="Q82" s="1">
        <f t="shared" si="87"/>
        <v>0.93478935117382533</v>
      </c>
      <c r="R82" s="1">
        <v>60</v>
      </c>
      <c r="S82" s="1" t="s">
        <v>78</v>
      </c>
      <c r="T82" t="s">
        <v>79</v>
      </c>
      <c r="U82">
        <f t="shared" si="88"/>
        <v>18</v>
      </c>
      <c r="V82" s="1">
        <f t="shared" si="89"/>
        <v>37</v>
      </c>
      <c r="W82">
        <f t="shared" si="90"/>
        <v>0</v>
      </c>
      <c r="X82">
        <f t="shared" si="91"/>
        <v>0</v>
      </c>
      <c r="Y82">
        <v>0.9</v>
      </c>
      <c r="Z82" s="1">
        <v>1</v>
      </c>
      <c r="AA82" s="1">
        <f t="shared" si="61"/>
        <v>1.8</v>
      </c>
      <c r="AB82">
        <f t="shared" si="92"/>
        <v>33.282396503295658</v>
      </c>
      <c r="AC82">
        <f>IF(T82="medium dense",'[1]Coefficient Normal'!$E$18 + ('[1]Coefficient Normal'!$E$19*AA82) + ('[1]Coefficient Normal'!$E$20*(AA82^2)) + ('[1]Coefficient Normal'!$E$21*(AA82^3)) + ('[1]Coefficient Normal'!$E$22*(AA82^4)),IF(T82="dense",'[1]Coefficient Normal'!$F$18 + ('[1]Coefficient Normal'!$F$19*AA82) + ('[1]Coefficient Normal'!$F$20*(AA82^2)) + ('[1]Coefficient Normal'!$F$21*(AA82^3)) + ('[1]Coefficient Normal'!$F$22*(AA82^4)),IF(T82="very dense",'[1]Coefficient Normal'!$G$18 + ('[1]Coefficient Normal'!$G$19*AA82) + ('[1]Coefficient Normal'!$G$20*(AA82^2)) + ('[1]Coefficient Normal'!$G$21*(AA82^3)) + ('[1]Coefficient Normal'!$G$22*(AA82^4)),0)))</f>
        <v>12.698394373823998</v>
      </c>
      <c r="AD82">
        <f t="shared" si="62"/>
        <v>64.071522599936642</v>
      </c>
      <c r="AE82">
        <f t="shared" si="63"/>
        <v>667.7384958493501</v>
      </c>
      <c r="AF82">
        <f t="shared" si="93"/>
        <v>6.5038966236115616</v>
      </c>
      <c r="AG82">
        <f t="shared" si="64"/>
        <v>4.5440204919621658</v>
      </c>
      <c r="AH82">
        <f t="shared" si="65"/>
        <v>3.5050286236757637</v>
      </c>
      <c r="AI82" s="1">
        <v>0.2</v>
      </c>
      <c r="AJ82" s="5">
        <f>VLOOKUP(R82,'[1]Coefficient Normal'!$A$3:$H$7,2,TRUE)</f>
        <v>4.3182999999999998</v>
      </c>
      <c r="AK82" s="5">
        <f>VLOOKUP(R82,'[1]Coefficient Normal'!$A$3:$H$7,3,TRUE)</f>
        <v>-2.7900000000000001E-2</v>
      </c>
      <c r="AL82" s="5">
        <f>VLOOKUP(R82,'[1]Coefficient Normal'!$A$3:$H$7,4,TRUE)</f>
        <v>1.0497000000000001</v>
      </c>
      <c r="AM82" s="5">
        <f>VLOOKUP(R82,'[1]Coefficient Normal'!$A$3:$H$7,5,TRUE)</f>
        <v>-0.46910000000000002</v>
      </c>
      <c r="AN82" s="5">
        <f>VLOOKUP(R82,'[1]Coefficient Normal'!$A$3:$H$7,6,TRUE)</f>
        <v>0.29149999999999998</v>
      </c>
      <c r="AO82" s="5">
        <f>VLOOKUP(R82,'[1]Coefficient Normal'!$A$3:$H$7,7,TRUE)</f>
        <v>-0.28610000000000002</v>
      </c>
      <c r="AP82" s="5">
        <f>VLOOKUP(R82,'[1]Coefficient Normal'!$A$3:$H$7,8,TRUE)</f>
        <v>-0.1348</v>
      </c>
      <c r="AR82" s="5">
        <f t="shared" si="66"/>
        <v>-9.8469706098252174E-2</v>
      </c>
      <c r="AV82" s="5">
        <f>VLOOKUP(R82,'[1]Coefficient Normal'!$A$10:$P$14,2,TRUE)</f>
        <v>-2.1276999999999999</v>
      </c>
      <c r="AW82" s="5">
        <f>VLOOKUP(R82,'[1]Coefficient Normal'!$A$10:$P$14,3,TRUE)</f>
        <v>0.14760000000000001</v>
      </c>
      <c r="AX82" s="5">
        <f>VLOOKUP(R82,'[1]Coefficient Normal'!$A$10:$P$14,4,TRUE)</f>
        <v>-0.21829999999999999</v>
      </c>
      <c r="AY82" s="5">
        <f>VLOOKUP(R82,'[1]Coefficient Normal'!$A$10:$P$14,5,TRUE)</f>
        <v>0.42270000000000002</v>
      </c>
      <c r="AZ82" s="5">
        <f>VLOOKUP(R82,'[1]Coefficient Normal'!$A$10:$P$14,6,TRUE)</f>
        <v>-0.53720000000000001</v>
      </c>
      <c r="BA82" s="5">
        <f>VLOOKUP(R82,'[1]Coefficient Normal'!$A$10:$P$14,7,TRUE)</f>
        <v>1.252</v>
      </c>
      <c r="BB82" s="5">
        <f>VLOOKUP(R82,'[1]Coefficient Normal'!$A$10:$P$14,8,TRUE)</f>
        <v>-5.9999999999999995E-4</v>
      </c>
      <c r="BC82" s="5">
        <f>VLOOKUP(R82,'[1]Coefficient Normal'!$A$10:$P$14,9,TRUE)</f>
        <v>5.3E-3</v>
      </c>
      <c r="BD82" s="5">
        <f>VLOOKUP(R82,'[1]Coefficient Normal'!$A$10:$P$14,10,TRUE)</f>
        <v>-4.8500000000000001E-2</v>
      </c>
      <c r="BE82" s="5">
        <f>VLOOKUP(R82,'[1]Coefficient Normal'!$A$10:$P$14,11,TRUE)</f>
        <v>1.2999999999999999E-3</v>
      </c>
      <c r="BF82" s="5">
        <f>VLOOKUP(R82,'[1]Coefficient Normal'!$A$10:$P$14,12,TRUE)</f>
        <v>-0.56599999999999995</v>
      </c>
      <c r="BG82" s="5">
        <f>VLOOKUP(R82,'[1]Coefficient Normal'!$A$10:$P$14,13,TRUE)</f>
        <v>-3.2099999999999997E-2</v>
      </c>
      <c r="BH82" s="5">
        <f>VLOOKUP(R82,'[1]Coefficient Normal'!$A$10:$P$14,14,TRUE)</f>
        <v>0.84970000000000001</v>
      </c>
      <c r="BI82" s="5">
        <f>VLOOKUP(R82,'[1]Coefficient Normal'!$A$10:$P$14,15,TRUE)</f>
        <v>9.01E-2</v>
      </c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W82" s="6">
        <f t="shared" si="67"/>
        <v>1</v>
      </c>
      <c r="BX82" s="6">
        <f t="shared" si="68"/>
        <v>1</v>
      </c>
      <c r="BY82" s="6">
        <f t="shared" si="69"/>
        <v>1</v>
      </c>
      <c r="BZ82" s="5">
        <f t="shared" si="70"/>
        <v>1.0893192760087838</v>
      </c>
      <c r="CB82">
        <f t="shared" si="71"/>
        <v>-1.6094379124341003</v>
      </c>
      <c r="CG82" s="5">
        <f t="shared" si="72"/>
        <v>-1.5109682063358481</v>
      </c>
      <c r="CH82" s="5">
        <f t="shared" si="73"/>
        <v>-1.6459267925980565</v>
      </c>
      <c r="CI82" s="5">
        <f t="shared" si="74"/>
        <v>0.6706974246136157</v>
      </c>
      <c r="CJ82" s="5">
        <f t="shared" si="75"/>
        <v>-0.76514774854841916</v>
      </c>
      <c r="CK82" s="5">
        <f t="shared" si="76"/>
        <v>2.7491971028006073</v>
      </c>
      <c r="CL82" s="5">
        <f t="shared" si="77"/>
        <v>5.8992546019071369E-2</v>
      </c>
      <c r="CM82" s="5">
        <f t="shared" si="78"/>
        <v>-1.0598874677131811</v>
      </c>
      <c r="CN82" s="7">
        <f t="shared" si="94"/>
        <v>0.34649479998843213</v>
      </c>
      <c r="CO82">
        <f>VLOOKUP(R82,'[1]Coefficient Normal'!$A$10:$P$14,16,TRUE)</f>
        <v>0.50170000000000003</v>
      </c>
      <c r="CP82">
        <v>0.3</v>
      </c>
    </row>
    <row r="83" spans="1:94" x14ac:dyDescent="0.25">
      <c r="A83">
        <v>75</v>
      </c>
      <c r="B83">
        <v>3</v>
      </c>
      <c r="C83" t="str">
        <f t="shared" si="79"/>
        <v>Normal</v>
      </c>
      <c r="D83">
        <v>0.5</v>
      </c>
      <c r="E83">
        <f t="shared" si="80"/>
        <v>500</v>
      </c>
      <c r="F83">
        <v>9.5250000000000005E-3</v>
      </c>
      <c r="G83">
        <f t="shared" si="80"/>
        <v>9.5250000000000004</v>
      </c>
      <c r="H83" s="3">
        <f t="shared" si="81"/>
        <v>52.493438320209975</v>
      </c>
      <c r="I83" s="1">
        <v>100</v>
      </c>
      <c r="J83" s="4" t="s">
        <v>75</v>
      </c>
      <c r="K83" s="1">
        <f t="shared" si="82"/>
        <v>14</v>
      </c>
      <c r="L83" s="1">
        <f t="shared" si="83"/>
        <v>15</v>
      </c>
      <c r="M83" s="1">
        <f t="shared" si="84"/>
        <v>483000</v>
      </c>
      <c r="N83" s="1">
        <f t="shared" si="85"/>
        <v>565000</v>
      </c>
      <c r="O83" s="1">
        <f t="shared" si="86"/>
        <v>2.8799444073326219</v>
      </c>
      <c r="P83" s="3">
        <v>2.7690517990613435</v>
      </c>
      <c r="Q83" s="1">
        <f t="shared" si="87"/>
        <v>1.0577709909520427</v>
      </c>
      <c r="R83" s="1">
        <v>75</v>
      </c>
      <c r="S83" s="1" t="s">
        <v>78</v>
      </c>
      <c r="T83" t="s">
        <v>80</v>
      </c>
      <c r="U83">
        <f t="shared" si="88"/>
        <v>18.5</v>
      </c>
      <c r="V83" s="1">
        <f t="shared" si="89"/>
        <v>40</v>
      </c>
      <c r="W83">
        <f t="shared" si="90"/>
        <v>0</v>
      </c>
      <c r="X83">
        <f t="shared" si="91"/>
        <v>0</v>
      </c>
      <c r="Y83">
        <v>0.9</v>
      </c>
      <c r="Z83" s="1">
        <v>1.2</v>
      </c>
      <c r="AA83" s="1">
        <f t="shared" si="61"/>
        <v>2.4</v>
      </c>
      <c r="AB83">
        <f t="shared" si="92"/>
        <v>25.335757420374399</v>
      </c>
      <c r="AC83">
        <f>IF(T83="medium dense",'[1]Coefficient Normal'!$E$18 + ('[1]Coefficient Normal'!$E$19*AA83) + ('[1]Coefficient Normal'!$E$20*(AA83^2)) + ('[1]Coefficient Normal'!$E$21*(AA83^3)) + ('[1]Coefficient Normal'!$E$22*(AA83^4)),IF(T83="dense",'[1]Coefficient Normal'!$F$18 + ('[1]Coefficient Normal'!$F$19*AA83) + ('[1]Coefficient Normal'!$F$20*(AA83^2)) + ('[1]Coefficient Normal'!$F$21*(AA83^3)) + ('[1]Coefficient Normal'!$F$22*(AA83^4)),IF(T83="very dense",'[1]Coefficient Normal'!$G$18 + ('[1]Coefficient Normal'!$G$19*AA83) + ('[1]Coefficient Normal'!$G$20*(AA83^2)) + ('[1]Coefficient Normal'!$G$21*(AA83^3)) + ('[1]Coefficient Normal'!$G$22*(AA83^4)),0)))</f>
        <v>15.970859354576</v>
      </c>
      <c r="AD83">
        <f t="shared" si="62"/>
        <v>80</v>
      </c>
      <c r="AE83">
        <f t="shared" si="63"/>
        <v>362.27653883579364</v>
      </c>
      <c r="AF83">
        <f t="shared" si="93"/>
        <v>5.8924078396237283</v>
      </c>
      <c r="AG83">
        <f t="shared" si="64"/>
        <v>3.9606881774094269</v>
      </c>
      <c r="AH83">
        <f t="shared" si="65"/>
        <v>3.2322167346868085</v>
      </c>
      <c r="AI83" s="1">
        <v>0.2</v>
      </c>
      <c r="AJ83" s="5">
        <f>VLOOKUP(R83,'[1]Coefficient Normal'!$A$3:$H$7,2,TRUE)</f>
        <v>5.5951000000000004</v>
      </c>
      <c r="AK83" s="5">
        <f>VLOOKUP(R83,'[1]Coefficient Normal'!$A$3:$H$7,3,TRUE)</f>
        <v>1.6E-2</v>
      </c>
      <c r="AL83" s="5">
        <f>VLOOKUP(R83,'[1]Coefficient Normal'!$A$3:$H$7,4,TRUE)</f>
        <v>1.2641</v>
      </c>
      <c r="AM83" s="5">
        <f>VLOOKUP(R83,'[1]Coefficient Normal'!$A$3:$H$7,5,TRUE)</f>
        <v>-0.52429999999999999</v>
      </c>
      <c r="AN83" s="5">
        <f>VLOOKUP(R83,'[1]Coefficient Normal'!$A$3:$H$7,6,TRUE)</f>
        <v>0.35830000000000001</v>
      </c>
      <c r="AO83" s="5">
        <f>VLOOKUP(R83,'[1]Coefficient Normal'!$A$3:$H$7,7,TRUE)</f>
        <v>-0.35920000000000002</v>
      </c>
      <c r="AP83" s="5">
        <f>VLOOKUP(R83,'[1]Coefficient Normal'!$A$3:$H$7,8,TRUE)</f>
        <v>-0.2482</v>
      </c>
      <c r="AR83" s="5">
        <f t="shared" si="66"/>
        <v>0.17619681713022817</v>
      </c>
      <c r="AV83" s="5">
        <f>VLOOKUP(R83,'[1]Coefficient Normal'!$A$10:$P$14,2,TRUE)</f>
        <v>-2.3450000000000002</v>
      </c>
      <c r="AW83" s="5">
        <f>VLOOKUP(R83,'[1]Coefficient Normal'!$A$10:$P$14,3,TRUE)</f>
        <v>0.19470000000000001</v>
      </c>
      <c r="AX83" s="5">
        <f>VLOOKUP(R83,'[1]Coefficient Normal'!$A$10:$P$14,4,TRUE)</f>
        <v>-0.2044</v>
      </c>
      <c r="AY83" s="5">
        <f>VLOOKUP(R83,'[1]Coefficient Normal'!$A$10:$P$14,5,TRUE)</f>
        <v>0.4143</v>
      </c>
      <c r="AZ83" s="5">
        <f>VLOOKUP(R83,'[1]Coefficient Normal'!$A$10:$P$14,6,TRUE)</f>
        <v>-0.55710000000000004</v>
      </c>
      <c r="BA83" s="5">
        <f>VLOOKUP(R83,'[1]Coefficient Normal'!$A$10:$P$14,7,TRUE)</f>
        <v>1.0931</v>
      </c>
      <c r="BB83" s="5">
        <f>VLOOKUP(R83,'[1]Coefficient Normal'!$A$10:$P$14,8,TRUE)</f>
        <v>1E-4</v>
      </c>
      <c r="BC83" s="5">
        <f>VLOOKUP(R83,'[1]Coefficient Normal'!$A$10:$P$14,9,TRUE)</f>
        <v>3.5000000000000001E-3</v>
      </c>
      <c r="BD83" s="5">
        <f>VLOOKUP(R83,'[1]Coefficient Normal'!$A$10:$P$14,10,TRUE)</f>
        <v>-4.07E-2</v>
      </c>
      <c r="BE83" s="5">
        <f>VLOOKUP(R83,'[1]Coefficient Normal'!$A$10:$P$14,11,TRUE)</f>
        <v>1.6000000000000001E-3</v>
      </c>
      <c r="BF83" s="5">
        <f>VLOOKUP(R83,'[1]Coefficient Normal'!$A$10:$P$14,12,TRUE)</f>
        <v>-0.65949999999999998</v>
      </c>
      <c r="BG83" s="5">
        <f>VLOOKUP(R83,'[1]Coefficient Normal'!$A$10:$P$14,13,TRUE)</f>
        <v>-3.0099999999999998E-2</v>
      </c>
      <c r="BH83" s="5">
        <f>VLOOKUP(R83,'[1]Coefficient Normal'!$A$10:$P$14,14,TRUE)</f>
        <v>0.84219999999999995</v>
      </c>
      <c r="BI83" s="5">
        <f>VLOOKUP(R83,'[1]Coefficient Normal'!$A$10:$P$14,15,TRUE)</f>
        <v>0.50680000000000003</v>
      </c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W83" s="6">
        <f t="shared" si="67"/>
        <v>1</v>
      </c>
      <c r="BX83" s="6">
        <f t="shared" si="68"/>
        <v>1</v>
      </c>
      <c r="BY83" s="6">
        <f t="shared" si="69"/>
        <v>0</v>
      </c>
      <c r="BZ83" s="5">
        <f t="shared" si="70"/>
        <v>1.1389230770543735</v>
      </c>
      <c r="CB83">
        <f t="shared" si="71"/>
        <v>-1.6094379124341003</v>
      </c>
      <c r="CG83" s="5">
        <f t="shared" si="72"/>
        <v>-1.7856347295643284</v>
      </c>
      <c r="CH83" s="5">
        <f t="shared" si="73"/>
        <v>-2.0337006006905591</v>
      </c>
      <c r="CI83" s="5">
        <f t="shared" si="74"/>
        <v>0.7711459881416155</v>
      </c>
      <c r="CJ83" s="5">
        <f t="shared" si="75"/>
        <v>-0.66066510056998362</v>
      </c>
      <c r="CK83" s="5">
        <f t="shared" si="76"/>
        <v>2.4412245679561106</v>
      </c>
      <c r="CL83" s="5">
        <f t="shared" si="77"/>
        <v>0.38615229428994552</v>
      </c>
      <c r="CM83" s="5">
        <f t="shared" si="78"/>
        <v>-1.4408428508728706</v>
      </c>
      <c r="CN83" s="7">
        <f t="shared" si="94"/>
        <v>0.23672814804672532</v>
      </c>
      <c r="CO83">
        <f>VLOOKUP(R83,'[1]Coefficient Normal'!$A$10:$P$14,16,TRUE)</f>
        <v>0.43780000000000002</v>
      </c>
      <c r="CP83">
        <v>0.3</v>
      </c>
    </row>
    <row r="84" spans="1:94" x14ac:dyDescent="0.25">
      <c r="A84">
        <v>76</v>
      </c>
      <c r="B84">
        <v>4</v>
      </c>
      <c r="C84" t="str">
        <f t="shared" si="79"/>
        <v>Normal</v>
      </c>
      <c r="D84">
        <v>1.0668</v>
      </c>
      <c r="E84">
        <f t="shared" si="80"/>
        <v>1066.8</v>
      </c>
      <c r="F84">
        <v>9.5250000000000005E-3</v>
      </c>
      <c r="G84">
        <f t="shared" si="80"/>
        <v>9.5250000000000004</v>
      </c>
      <c r="H84" s="3">
        <f t="shared" si="81"/>
        <v>111.99999999999999</v>
      </c>
      <c r="I84" s="1">
        <v>300</v>
      </c>
      <c r="J84" s="4" t="s">
        <v>70</v>
      </c>
      <c r="K84" s="1">
        <f t="shared" si="82"/>
        <v>8</v>
      </c>
      <c r="L84" s="1">
        <f t="shared" si="83"/>
        <v>10</v>
      </c>
      <c r="M84" s="1">
        <f t="shared" si="84"/>
        <v>359000</v>
      </c>
      <c r="N84" s="1">
        <f t="shared" si="85"/>
        <v>455000</v>
      </c>
      <c r="O84" s="1">
        <f t="shared" si="86"/>
        <v>1.9969902892117808</v>
      </c>
      <c r="P84" s="3">
        <v>1.9041242414694344</v>
      </c>
      <c r="Q84" s="1">
        <f t="shared" si="87"/>
        <v>0.69164119173371341</v>
      </c>
      <c r="R84" s="1">
        <v>90</v>
      </c>
      <c r="S84" s="1" t="s">
        <v>78</v>
      </c>
      <c r="T84" t="s">
        <v>81</v>
      </c>
      <c r="U84">
        <f t="shared" si="88"/>
        <v>19</v>
      </c>
      <c r="V84" s="1">
        <f t="shared" si="89"/>
        <v>43</v>
      </c>
      <c r="W84">
        <f t="shared" si="90"/>
        <v>0</v>
      </c>
      <c r="X84">
        <f t="shared" si="91"/>
        <v>0</v>
      </c>
      <c r="Y84">
        <v>0.9</v>
      </c>
      <c r="Z84" s="1">
        <v>2.5</v>
      </c>
      <c r="AA84" s="1">
        <f t="shared" si="61"/>
        <v>2.3434570678665168</v>
      </c>
      <c r="AB84">
        <f t="shared" si="92"/>
        <v>127.53838306794918</v>
      </c>
      <c r="AC84">
        <f>IF(T84="medium dense",'[1]Coefficient Normal'!$E$18 + ('[1]Coefficient Normal'!$E$19*AA84) + ('[1]Coefficient Normal'!$E$20*(AA84^2)) + ('[1]Coefficient Normal'!$E$21*(AA84^3)) + ('[1]Coefficient Normal'!$E$22*(AA84^4)),IF(T84="dense",'[1]Coefficient Normal'!$F$18 + ('[1]Coefficient Normal'!$F$19*AA84) + ('[1]Coefficient Normal'!$F$20*(AA84^2)) + ('[1]Coefficient Normal'!$F$21*(AA84^3)) + ('[1]Coefficient Normal'!$F$22*(AA84^4)),IF(T84="very dense",'[1]Coefficient Normal'!$G$18 + ('[1]Coefficient Normal'!$G$19*AA84) + ('[1]Coefficient Normal'!$G$20*(AA84^2)) + ('[1]Coefficient Normal'!$G$21*(AA84^3)) + ('[1]Coefficient Normal'!$G$22*(AA84^4)),0)))</f>
        <v>18.621858727008274</v>
      </c>
      <c r="AD84">
        <f t="shared" si="62"/>
        <v>80</v>
      </c>
      <c r="AE84">
        <f t="shared" si="63"/>
        <v>1808.5527496736904</v>
      </c>
      <c r="AF84">
        <f t="shared" si="93"/>
        <v>7.5002822186049887</v>
      </c>
      <c r="AG84">
        <f t="shared" si="64"/>
        <v>4.7184988712950942</v>
      </c>
      <c r="AH84">
        <f t="shared" si="65"/>
        <v>4.848417362964117</v>
      </c>
      <c r="AI84" s="1">
        <v>0.25</v>
      </c>
      <c r="AJ84" s="5">
        <f>VLOOKUP(R84,'[1]Coefficient Normal'!$A$3:$H$7,2,TRUE)</f>
        <v>14.575100000000001</v>
      </c>
      <c r="AK84" s="5">
        <f>VLOOKUP(R84,'[1]Coefficient Normal'!$A$3:$H$7,3,TRUE)</f>
        <v>0.1356</v>
      </c>
      <c r="AL84" s="5">
        <f>VLOOKUP(R84,'[1]Coefficient Normal'!$A$3:$H$7,4,TRUE)</f>
        <v>2.9990000000000001</v>
      </c>
      <c r="AM84" s="5">
        <f>VLOOKUP(R84,'[1]Coefficient Normal'!$A$3:$H$7,5,TRUE)</f>
        <v>-0.94710000000000005</v>
      </c>
      <c r="AN84" s="5">
        <f>VLOOKUP(R84,'[1]Coefficient Normal'!$A$3:$H$7,6,TRUE)</f>
        <v>0.6603</v>
      </c>
      <c r="AO84" s="5">
        <f>VLOOKUP(R84,'[1]Coefficient Normal'!$A$3:$H$7,7,TRUE)</f>
        <v>-1.2488999999999999</v>
      </c>
      <c r="AP84" s="5">
        <f>VLOOKUP(R84,'[1]Coefficient Normal'!$A$3:$H$7,8,TRUE)</f>
        <v>-0.44140000000000001</v>
      </c>
      <c r="AR84" s="5">
        <f t="shared" si="66"/>
        <v>2.3065291097276841E-2</v>
      </c>
      <c r="AV84" s="5">
        <f>VLOOKUP(R84,'[1]Coefficient Normal'!$A$10:$P$14,2,TRUE)</f>
        <v>5.1353999999999997</v>
      </c>
      <c r="AW84" s="5">
        <f>VLOOKUP(R84,'[1]Coefficient Normal'!$A$10:$P$14,3,TRUE)</f>
        <v>-4.9599999999999998E-2</v>
      </c>
      <c r="AX84" s="5">
        <f>VLOOKUP(R84,'[1]Coefficient Normal'!$A$10:$P$14,4,TRUE)</f>
        <v>0.44590000000000002</v>
      </c>
      <c r="AY84" s="5">
        <f>VLOOKUP(R84,'[1]Coefficient Normal'!$A$10:$P$14,5,TRUE)</f>
        <v>-0.83709999999999996</v>
      </c>
      <c r="AZ84" s="5">
        <f>VLOOKUP(R84,'[1]Coefficient Normal'!$A$10:$P$14,6,TRUE)</f>
        <v>0.63090000000000002</v>
      </c>
      <c r="BA84" s="5">
        <f>VLOOKUP(R84,'[1]Coefficient Normal'!$A$10:$P$14,7,TRUE)</f>
        <v>0.91390000000000005</v>
      </c>
      <c r="BB84" s="5">
        <f>VLOOKUP(R84,'[1]Coefficient Normal'!$A$10:$P$14,8,TRUE)</f>
        <v>2.5000000000000001E-3</v>
      </c>
      <c r="BC84" s="5">
        <f>VLOOKUP(R84,'[1]Coefficient Normal'!$A$10:$P$14,9,TRUE)</f>
        <v>1.6000000000000001E-3</v>
      </c>
      <c r="BD84" s="5">
        <f>VLOOKUP(R84,'[1]Coefficient Normal'!$A$10:$P$14,10,TRUE)</f>
        <v>-9.7500000000000003E-2</v>
      </c>
      <c r="BE84" s="5">
        <f>VLOOKUP(R84,'[1]Coefficient Normal'!$A$10:$P$14,11,TRUE)</f>
        <v>1.1999999999999999E-3</v>
      </c>
      <c r="BF84" s="5">
        <f>VLOOKUP(R84,'[1]Coefficient Normal'!$A$10:$P$14,12,TRUE)</f>
        <v>0.46479999999999999</v>
      </c>
      <c r="BG84" s="5">
        <f>VLOOKUP(R84,'[1]Coefficient Normal'!$A$10:$P$14,13,TRUE)</f>
        <v>8.0000000000000004E-4</v>
      </c>
      <c r="BH84" s="5">
        <f>VLOOKUP(R84,'[1]Coefficient Normal'!$A$10:$P$14,14,TRUE)</f>
        <v>6.7900000000000002E-2</v>
      </c>
      <c r="BI84" s="5">
        <f>VLOOKUP(R84,'[1]Coefficient Normal'!$A$10:$P$14,15,TRUE)</f>
        <v>0.58979999999999999</v>
      </c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W84" s="6">
        <f t="shared" si="67"/>
        <v>1</v>
      </c>
      <c r="BX84" s="6">
        <f t="shared" si="68"/>
        <v>1</v>
      </c>
      <c r="BY84" s="6">
        <f t="shared" si="69"/>
        <v>0</v>
      </c>
      <c r="BZ84" s="5">
        <f t="shared" si="70"/>
        <v>1.2696459576698729</v>
      </c>
      <c r="CB84">
        <f t="shared" si="71"/>
        <v>-1.3862943611198906</v>
      </c>
      <c r="CG84" s="5">
        <f t="shared" si="72"/>
        <v>-1.4093596522171674</v>
      </c>
      <c r="CH84" s="5">
        <f t="shared" si="73"/>
        <v>-1.7893877853405444</v>
      </c>
      <c r="CI84" s="5">
        <f t="shared" si="74"/>
        <v>-0.23403754401623666</v>
      </c>
      <c r="CJ84" s="5">
        <f t="shared" si="75"/>
        <v>2.1619093021456997</v>
      </c>
      <c r="CK84" s="5">
        <f t="shared" si="76"/>
        <v>-6.2784862451942356</v>
      </c>
      <c r="CL84" s="5">
        <f t="shared" si="77"/>
        <v>4.0796210557198086E-2</v>
      </c>
      <c r="CM84" s="5">
        <f t="shared" si="78"/>
        <v>-0.96380606184811912</v>
      </c>
      <c r="CN84" s="7">
        <f t="shared" si="94"/>
        <v>0.38143834176838154</v>
      </c>
      <c r="CO84">
        <f>VLOOKUP(R84,'[1]Coefficient Normal'!$A$10:$P$14,16,TRUE)</f>
        <v>0.34749999999999998</v>
      </c>
      <c r="CP84">
        <v>0.3</v>
      </c>
    </row>
    <row r="85" spans="1:94" x14ac:dyDescent="0.25">
      <c r="A85">
        <v>77</v>
      </c>
      <c r="B85">
        <v>5</v>
      </c>
      <c r="C85" t="str">
        <f t="shared" si="79"/>
        <v>Normal</v>
      </c>
      <c r="D85">
        <v>0.60960000000000003</v>
      </c>
      <c r="E85">
        <f t="shared" si="80"/>
        <v>609.6</v>
      </c>
      <c r="F85">
        <v>9.5250000000000005E-3</v>
      </c>
      <c r="G85">
        <f t="shared" si="80"/>
        <v>9.5250000000000004</v>
      </c>
      <c r="H85" s="3">
        <f t="shared" si="81"/>
        <v>64</v>
      </c>
      <c r="I85" s="1">
        <v>30</v>
      </c>
      <c r="J85" s="4" t="s">
        <v>75</v>
      </c>
      <c r="K85" s="1">
        <f t="shared" si="82"/>
        <v>14</v>
      </c>
      <c r="L85" s="1">
        <f t="shared" si="83"/>
        <v>15</v>
      </c>
      <c r="M85" s="1">
        <f t="shared" si="84"/>
        <v>483000</v>
      </c>
      <c r="N85" s="1">
        <f t="shared" si="85"/>
        <v>565000</v>
      </c>
      <c r="O85" s="1">
        <f t="shared" si="86"/>
        <v>2.8799444073326219</v>
      </c>
      <c r="P85" s="3">
        <v>2.7690517990613435</v>
      </c>
      <c r="Q85" s="1">
        <f t="shared" si="87"/>
        <v>1.0577709909520427</v>
      </c>
      <c r="R85" s="1">
        <v>45</v>
      </c>
      <c r="S85" s="1" t="s">
        <v>78</v>
      </c>
      <c r="T85" t="s">
        <v>79</v>
      </c>
      <c r="U85">
        <f t="shared" si="88"/>
        <v>18</v>
      </c>
      <c r="V85" s="1">
        <f t="shared" si="89"/>
        <v>37</v>
      </c>
      <c r="W85">
        <f t="shared" si="90"/>
        <v>0</v>
      </c>
      <c r="X85">
        <f t="shared" si="91"/>
        <v>0</v>
      </c>
      <c r="Y85">
        <v>0.9</v>
      </c>
      <c r="Z85" s="1">
        <v>1</v>
      </c>
      <c r="AA85" s="1">
        <f t="shared" si="61"/>
        <v>1.8</v>
      </c>
      <c r="AB85">
        <f t="shared" si="92"/>
        <v>22.643916192420797</v>
      </c>
      <c r="AC85">
        <f>IF(T85="medium dense",'[1]Coefficient Normal'!$E$18 + ('[1]Coefficient Normal'!$E$19*AA85) + ('[1]Coefficient Normal'!$E$20*(AA85^2)) + ('[1]Coefficient Normal'!$E$21*(AA85^3)) + ('[1]Coefficient Normal'!$E$22*(AA85^4)),IF(T85="dense",'[1]Coefficient Normal'!$F$18 + ('[1]Coefficient Normal'!$F$19*AA85) + ('[1]Coefficient Normal'!$F$20*(AA85^2)) + ('[1]Coefficient Normal'!$F$21*(AA85^3)) + ('[1]Coefficient Normal'!$F$22*(AA85^4)),IF(T85="very dense",'[1]Coefficient Normal'!$G$18 + ('[1]Coefficient Normal'!$G$19*AA85) + ('[1]Coefficient Normal'!$G$20*(AA85^2)) + ('[1]Coefficient Normal'!$G$21*(AA85^3)) + ('[1]Coefficient Normal'!$G$22*(AA85^4)),0)))</f>
        <v>12.698394373823998</v>
      </c>
      <c r="AD85">
        <f t="shared" si="62"/>
        <v>64.071522599936642</v>
      </c>
      <c r="AE85">
        <f t="shared" si="63"/>
        <v>353.62475395575746</v>
      </c>
      <c r="AF85">
        <f t="shared" si="93"/>
        <v>5.8682363338442034</v>
      </c>
      <c r="AG85">
        <f t="shared" si="64"/>
        <v>4.1588830833596715</v>
      </c>
      <c r="AH85">
        <f t="shared" si="65"/>
        <v>3.1198912150732698</v>
      </c>
      <c r="AI85" s="1">
        <v>0.28000000000000003</v>
      </c>
      <c r="AJ85" s="5">
        <f>VLOOKUP(R85,'[1]Coefficient Normal'!$A$3:$H$7,2,TRUE)</f>
        <v>3.7532999999999999</v>
      </c>
      <c r="AK85" s="5">
        <f>VLOOKUP(R85,'[1]Coefficient Normal'!$A$3:$H$7,3,TRUE)</f>
        <v>0.14510000000000001</v>
      </c>
      <c r="AL85" s="5">
        <f>VLOOKUP(R85,'[1]Coefficient Normal'!$A$3:$H$7,4,TRUE)</f>
        <v>1.2497</v>
      </c>
      <c r="AM85" s="5">
        <f>VLOOKUP(R85,'[1]Coefficient Normal'!$A$3:$H$7,5,TRUE)</f>
        <v>-0.46100000000000002</v>
      </c>
      <c r="AN85" s="5">
        <f>VLOOKUP(R85,'[1]Coefficient Normal'!$A$3:$H$7,6,TRUE)</f>
        <v>0.39140000000000003</v>
      </c>
      <c r="AO85" s="5">
        <f>VLOOKUP(R85,'[1]Coefficient Normal'!$A$3:$H$7,7,TRUE)</f>
        <v>-0.21310000000000001</v>
      </c>
      <c r="AP85" s="5">
        <f>VLOOKUP(R85,'[1]Coefficient Normal'!$A$3:$H$7,8,TRUE)</f>
        <v>-0.34139999999999998</v>
      </c>
      <c r="AR85" s="5">
        <f t="shared" si="66"/>
        <v>-0.19061367663895701</v>
      </c>
      <c r="AV85" s="5">
        <f>VLOOKUP(R85,'[1]Coefficient Normal'!$A$10:$P$14,2,TRUE)</f>
        <v>-1.1082000000000001</v>
      </c>
      <c r="AW85" s="5">
        <f>VLOOKUP(R85,'[1]Coefficient Normal'!$A$10:$P$14,3,TRUE)</f>
        <v>0.10630000000000001</v>
      </c>
      <c r="AX85" s="5">
        <f>VLOOKUP(R85,'[1]Coefficient Normal'!$A$10:$P$14,4,TRUE)</f>
        <v>-0.1439</v>
      </c>
      <c r="AY85" s="5">
        <f>VLOOKUP(R85,'[1]Coefficient Normal'!$A$10:$P$14,5,TRUE)</f>
        <v>0.27879999999999999</v>
      </c>
      <c r="AZ85" s="5">
        <f>VLOOKUP(R85,'[1]Coefficient Normal'!$A$10:$P$14,6,TRUE)</f>
        <v>-0.31030000000000002</v>
      </c>
      <c r="BA85" s="5">
        <f>VLOOKUP(R85,'[1]Coefficient Normal'!$A$10:$P$14,7,TRUE)</f>
        <v>1.2553000000000001</v>
      </c>
      <c r="BB85" s="5">
        <f>VLOOKUP(R85,'[1]Coefficient Normal'!$A$10:$P$14,8,TRUE)</f>
        <v>2.9999999999999997E-4</v>
      </c>
      <c r="BC85" s="5">
        <f>VLOOKUP(R85,'[1]Coefficient Normal'!$A$10:$P$14,9,TRUE)</f>
        <v>5.1999999999999998E-3</v>
      </c>
      <c r="BD85" s="5">
        <f>VLOOKUP(R85,'[1]Coefficient Normal'!$A$10:$P$14,10,TRUE)</f>
        <v>-8.5900000000000004E-2</v>
      </c>
      <c r="BE85" s="5">
        <f>VLOOKUP(R85,'[1]Coefficient Normal'!$A$10:$P$14,11,TRUE)</f>
        <v>5.9999999999999995E-4</v>
      </c>
      <c r="BF85" s="5">
        <f>VLOOKUP(R85,'[1]Coefficient Normal'!$A$10:$P$14,12,TRUE)</f>
        <v>-0.21759999999999999</v>
      </c>
      <c r="BG85" s="5">
        <f>VLOOKUP(R85,'[1]Coefficient Normal'!$A$10:$P$14,13,TRUE)</f>
        <v>-2.69E-2</v>
      </c>
      <c r="BH85" s="5">
        <f>VLOOKUP(R85,'[1]Coefficient Normal'!$A$10:$P$14,14,TRUE)</f>
        <v>0.57389999999999997</v>
      </c>
      <c r="BI85" s="5">
        <f>VLOOKUP(R85,'[1]Coefficient Normal'!$A$10:$P$14,15,TRUE)</f>
        <v>0.34460000000000002</v>
      </c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W85" s="6">
        <f t="shared" si="67"/>
        <v>1</v>
      </c>
      <c r="BX85" s="6">
        <f t="shared" si="68"/>
        <v>1</v>
      </c>
      <c r="BY85" s="6">
        <f t="shared" si="69"/>
        <v>1</v>
      </c>
      <c r="BZ85" s="5">
        <f t="shared" si="70"/>
        <v>0.93649317485772643</v>
      </c>
      <c r="CB85">
        <f t="shared" si="71"/>
        <v>-1.2729656758128873</v>
      </c>
      <c r="CG85" s="5">
        <f t="shared" si="72"/>
        <v>-1.0823519991739303</v>
      </c>
      <c r="CH85" s="5">
        <f t="shared" si="73"/>
        <v>-1.0136152600200012</v>
      </c>
      <c r="CI85" s="5">
        <f t="shared" si="74"/>
        <v>0.44208927176113311</v>
      </c>
      <c r="CJ85" s="5">
        <f t="shared" si="75"/>
        <v>-0.44895234584904353</v>
      </c>
      <c r="CK85" s="5">
        <f t="shared" si="76"/>
        <v>1.6360642898757638</v>
      </c>
      <c r="CL85" s="5">
        <f t="shared" si="77"/>
        <v>0.15358369081139006</v>
      </c>
      <c r="CM85" s="5">
        <f t="shared" si="78"/>
        <v>-0.33903035342075799</v>
      </c>
      <c r="CN85" s="7">
        <f t="shared" si="94"/>
        <v>0.71246082313784431</v>
      </c>
      <c r="CO85">
        <f>VLOOKUP(R85,'[1]Coefficient Normal'!$A$10:$P$14,16,TRUE)</f>
        <v>0.3997</v>
      </c>
      <c r="CP85">
        <v>0.3</v>
      </c>
    </row>
    <row r="86" spans="1:94" x14ac:dyDescent="0.25">
      <c r="A86">
        <v>78</v>
      </c>
      <c r="B86">
        <v>6</v>
      </c>
      <c r="C86" t="str">
        <f t="shared" si="79"/>
        <v>Normal</v>
      </c>
      <c r="D86">
        <v>0.40960000000000002</v>
      </c>
      <c r="E86">
        <f t="shared" si="80"/>
        <v>409.6</v>
      </c>
      <c r="F86">
        <v>9.5250000000000005E-3</v>
      </c>
      <c r="G86">
        <f t="shared" si="80"/>
        <v>9.5250000000000004</v>
      </c>
      <c r="H86" s="3">
        <f t="shared" si="81"/>
        <v>43.00262467191601</v>
      </c>
      <c r="I86" s="1">
        <v>50</v>
      </c>
      <c r="J86" s="4" t="s">
        <v>77</v>
      </c>
      <c r="K86" s="1">
        <f t="shared" si="82"/>
        <v>15</v>
      </c>
      <c r="L86" s="1">
        <f t="shared" si="83"/>
        <v>20</v>
      </c>
      <c r="M86" s="1">
        <f t="shared" si="84"/>
        <v>552000</v>
      </c>
      <c r="N86" s="1">
        <f t="shared" si="85"/>
        <v>625000</v>
      </c>
      <c r="O86" s="1">
        <f t="shared" si="86"/>
        <v>2.9888368774026359</v>
      </c>
      <c r="P86" s="3">
        <v>2.8464933991254466</v>
      </c>
      <c r="Q86" s="1">
        <f t="shared" si="87"/>
        <v>1.0948843075076633</v>
      </c>
      <c r="R86" s="1">
        <v>60</v>
      </c>
      <c r="S86" s="1" t="s">
        <v>78</v>
      </c>
      <c r="T86" t="s">
        <v>80</v>
      </c>
      <c r="U86">
        <f t="shared" si="88"/>
        <v>18.5</v>
      </c>
      <c r="V86" s="1">
        <f t="shared" si="89"/>
        <v>40</v>
      </c>
      <c r="W86">
        <f t="shared" si="90"/>
        <v>0</v>
      </c>
      <c r="X86">
        <f t="shared" si="91"/>
        <v>0</v>
      </c>
      <c r="Y86">
        <v>0.9</v>
      </c>
      <c r="Z86" s="1">
        <v>1.2</v>
      </c>
      <c r="AA86" s="1">
        <f t="shared" si="61"/>
        <v>2.9296874999999996</v>
      </c>
      <c r="AB86">
        <f t="shared" si="92"/>
        <v>20.755052478770708</v>
      </c>
      <c r="AC86">
        <f>IF(T86="medium dense",'[1]Coefficient Normal'!$E$18 + ('[1]Coefficient Normal'!$E$19*AA86) + ('[1]Coefficient Normal'!$E$20*(AA86^2)) + ('[1]Coefficient Normal'!$E$21*(AA86^3)) + ('[1]Coefficient Normal'!$E$22*(AA86^4)),IF(T86="dense",'[1]Coefficient Normal'!$F$18 + ('[1]Coefficient Normal'!$F$19*AA86) + ('[1]Coefficient Normal'!$F$20*(AA86^2)) + ('[1]Coefficient Normal'!$F$21*(AA86^3)) + ('[1]Coefficient Normal'!$F$22*(AA86^4)),IF(T86="very dense",'[1]Coefficient Normal'!$G$18 + ('[1]Coefficient Normal'!$G$19*AA86) + ('[1]Coefficient Normal'!$G$20*(AA86^2)) + ('[1]Coefficient Normal'!$G$21*(AA86^3)) + ('[1]Coefficient Normal'!$G$22*(AA86^4)),0)))</f>
        <v>16.165411783848704</v>
      </c>
      <c r="AD86">
        <f t="shared" si="62"/>
        <v>80</v>
      </c>
      <c r="AE86">
        <f t="shared" si="63"/>
        <v>271.14542759995038</v>
      </c>
      <c r="AF86">
        <f t="shared" si="93"/>
        <v>5.6026553101537404</v>
      </c>
      <c r="AG86">
        <f t="shared" si="64"/>
        <v>3.7612611527125335</v>
      </c>
      <c r="AH86">
        <f t="shared" si="65"/>
        <v>3.0327897099899146</v>
      </c>
      <c r="AI86" s="1">
        <v>0.18</v>
      </c>
      <c r="AJ86" s="5">
        <f>VLOOKUP(R86,'[1]Coefficient Normal'!$A$3:$H$7,2,TRUE)</f>
        <v>4.3182999999999998</v>
      </c>
      <c r="AK86" s="5">
        <f>VLOOKUP(R86,'[1]Coefficient Normal'!$A$3:$H$7,3,TRUE)</f>
        <v>-2.7900000000000001E-2</v>
      </c>
      <c r="AL86" s="5">
        <f>VLOOKUP(R86,'[1]Coefficient Normal'!$A$3:$H$7,4,TRUE)</f>
        <v>1.0497000000000001</v>
      </c>
      <c r="AM86" s="5">
        <f>VLOOKUP(R86,'[1]Coefficient Normal'!$A$3:$H$7,5,TRUE)</f>
        <v>-0.46910000000000002</v>
      </c>
      <c r="AN86" s="5">
        <f>VLOOKUP(R86,'[1]Coefficient Normal'!$A$3:$H$7,6,TRUE)</f>
        <v>0.29149999999999998</v>
      </c>
      <c r="AO86" s="5">
        <f>VLOOKUP(R86,'[1]Coefficient Normal'!$A$3:$H$7,7,TRUE)</f>
        <v>-0.28610000000000002</v>
      </c>
      <c r="AP86" s="5">
        <f>VLOOKUP(R86,'[1]Coefficient Normal'!$A$3:$H$7,8,TRUE)</f>
        <v>-0.1348</v>
      </c>
      <c r="AR86" s="5">
        <f t="shared" si="66"/>
        <v>-0.18476915335014066</v>
      </c>
      <c r="AV86" s="5">
        <f>VLOOKUP(R86,'[1]Coefficient Normal'!$A$10:$P$14,2,TRUE)</f>
        <v>-2.1276999999999999</v>
      </c>
      <c r="AW86" s="5">
        <f>VLOOKUP(R86,'[1]Coefficient Normal'!$A$10:$P$14,3,TRUE)</f>
        <v>0.14760000000000001</v>
      </c>
      <c r="AX86" s="5">
        <f>VLOOKUP(R86,'[1]Coefficient Normal'!$A$10:$P$14,4,TRUE)</f>
        <v>-0.21829999999999999</v>
      </c>
      <c r="AY86" s="5">
        <f>VLOOKUP(R86,'[1]Coefficient Normal'!$A$10:$P$14,5,TRUE)</f>
        <v>0.42270000000000002</v>
      </c>
      <c r="AZ86" s="5">
        <f>VLOOKUP(R86,'[1]Coefficient Normal'!$A$10:$P$14,6,TRUE)</f>
        <v>-0.53720000000000001</v>
      </c>
      <c r="BA86" s="5">
        <f>VLOOKUP(R86,'[1]Coefficient Normal'!$A$10:$P$14,7,TRUE)</f>
        <v>1.252</v>
      </c>
      <c r="BB86" s="5">
        <f>VLOOKUP(R86,'[1]Coefficient Normal'!$A$10:$P$14,8,TRUE)</f>
        <v>-5.9999999999999995E-4</v>
      </c>
      <c r="BC86" s="5">
        <f>VLOOKUP(R86,'[1]Coefficient Normal'!$A$10:$P$14,9,TRUE)</f>
        <v>5.3E-3</v>
      </c>
      <c r="BD86" s="5">
        <f>VLOOKUP(R86,'[1]Coefficient Normal'!$A$10:$P$14,10,TRUE)</f>
        <v>-4.8500000000000001E-2</v>
      </c>
      <c r="BE86" s="5">
        <f>VLOOKUP(R86,'[1]Coefficient Normal'!$A$10:$P$14,11,TRUE)</f>
        <v>1.2999999999999999E-3</v>
      </c>
      <c r="BF86" s="5">
        <f>VLOOKUP(R86,'[1]Coefficient Normal'!$A$10:$P$14,12,TRUE)</f>
        <v>-0.56599999999999995</v>
      </c>
      <c r="BG86" s="5">
        <f>VLOOKUP(R86,'[1]Coefficient Normal'!$A$10:$P$14,13,TRUE)</f>
        <v>-3.2099999999999997E-2</v>
      </c>
      <c r="BH86" s="5">
        <f>VLOOKUP(R86,'[1]Coefficient Normal'!$A$10:$P$14,14,TRUE)</f>
        <v>0.84970000000000001</v>
      </c>
      <c r="BI86" s="5">
        <f>VLOOKUP(R86,'[1]Coefficient Normal'!$A$10:$P$14,15,TRUE)</f>
        <v>9.01E-2</v>
      </c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W86" s="6">
        <f t="shared" si="67"/>
        <v>1</v>
      </c>
      <c r="BX86" s="6">
        <f t="shared" si="68"/>
        <v>1</v>
      </c>
      <c r="BY86" s="6">
        <f t="shared" si="69"/>
        <v>1</v>
      </c>
      <c r="BZ86" s="5">
        <f t="shared" si="70"/>
        <v>1.0304503805862284</v>
      </c>
      <c r="CB86">
        <f t="shared" si="71"/>
        <v>-1.7147984280919266</v>
      </c>
      <c r="CG86" s="5">
        <f t="shared" si="72"/>
        <v>-1.5300292747417861</v>
      </c>
      <c r="CH86" s="5">
        <f t="shared" si="73"/>
        <v>-1.5766192484657444</v>
      </c>
      <c r="CI86" s="5">
        <f t="shared" si="74"/>
        <v>0.55516214614036996</v>
      </c>
      <c r="CJ86" s="5">
        <f t="shared" si="75"/>
        <v>-0.66205799369079832</v>
      </c>
      <c r="CK86" s="5">
        <f t="shared" si="76"/>
        <v>2.3682423996019861</v>
      </c>
      <c r="CL86" s="5">
        <f t="shared" si="77"/>
        <v>0.47949086306397387</v>
      </c>
      <c r="CM86" s="5">
        <f t="shared" si="78"/>
        <v>-0.96348183335021309</v>
      </c>
      <c r="CN86" s="7">
        <f t="shared" si="94"/>
        <v>0.3815620350003287</v>
      </c>
      <c r="CO86">
        <f>VLOOKUP(R86,'[1]Coefficient Normal'!$A$10:$P$14,16,TRUE)</f>
        <v>0.50170000000000003</v>
      </c>
      <c r="CP86">
        <v>0.3</v>
      </c>
    </row>
    <row r="87" spans="1:94" x14ac:dyDescent="0.25">
      <c r="A87">
        <v>79</v>
      </c>
      <c r="B87">
        <v>7</v>
      </c>
      <c r="C87" t="str">
        <f t="shared" si="79"/>
        <v>Normal</v>
      </c>
      <c r="D87">
        <v>0.89600000000000002</v>
      </c>
      <c r="E87">
        <f t="shared" si="80"/>
        <v>896</v>
      </c>
      <c r="F87">
        <v>9.5250000000000005E-3</v>
      </c>
      <c r="G87">
        <f t="shared" si="80"/>
        <v>9.5250000000000004</v>
      </c>
      <c r="H87" s="3">
        <f t="shared" si="81"/>
        <v>94.068241469816272</v>
      </c>
      <c r="I87" s="1">
        <v>100</v>
      </c>
      <c r="J87" s="4" t="s">
        <v>70</v>
      </c>
      <c r="K87" s="1">
        <f t="shared" si="82"/>
        <v>8</v>
      </c>
      <c r="L87" s="1">
        <f t="shared" si="83"/>
        <v>10</v>
      </c>
      <c r="M87" s="1">
        <f t="shared" si="84"/>
        <v>359000</v>
      </c>
      <c r="N87" s="1">
        <f t="shared" si="85"/>
        <v>455000</v>
      </c>
      <c r="O87" s="1">
        <f t="shared" si="86"/>
        <v>1.9969902892117808</v>
      </c>
      <c r="P87" s="3">
        <v>1.9041242414694344</v>
      </c>
      <c r="Q87" s="1">
        <f t="shared" si="87"/>
        <v>0.69164119173371341</v>
      </c>
      <c r="R87" s="1">
        <v>75</v>
      </c>
      <c r="S87" s="1" t="s">
        <v>78</v>
      </c>
      <c r="T87" t="s">
        <v>81</v>
      </c>
      <c r="U87">
        <f t="shared" si="88"/>
        <v>19</v>
      </c>
      <c r="V87" s="1">
        <f t="shared" si="89"/>
        <v>43</v>
      </c>
      <c r="W87">
        <f t="shared" si="90"/>
        <v>0</v>
      </c>
      <c r="X87">
        <f t="shared" si="91"/>
        <v>0</v>
      </c>
      <c r="Y87">
        <v>0.9</v>
      </c>
      <c r="Z87" s="1">
        <v>0.8</v>
      </c>
      <c r="AA87" s="1">
        <f t="shared" si="61"/>
        <v>1.8</v>
      </c>
      <c r="AB87">
        <f t="shared" si="92"/>
        <v>34.278032614587922</v>
      </c>
      <c r="AC87">
        <f>IF(T87="medium dense",'[1]Coefficient Normal'!$E$18 + ('[1]Coefficient Normal'!$E$19*AA87) + ('[1]Coefficient Normal'!$E$20*(AA87^2)) + ('[1]Coefficient Normal'!$E$21*(AA87^3)) + ('[1]Coefficient Normal'!$E$22*(AA87^4)),IF(T87="dense",'[1]Coefficient Normal'!$F$18 + ('[1]Coefficient Normal'!$F$19*AA87) + ('[1]Coefficient Normal'!$F$20*(AA87^2)) + ('[1]Coefficient Normal'!$F$21*(AA87^3)) + ('[1]Coefficient Normal'!$F$22*(AA87^4)),IF(T87="very dense",'[1]Coefficient Normal'!$G$18 + ('[1]Coefficient Normal'!$G$19*AA87) + ('[1]Coefficient Normal'!$G$20*(AA87^2)) + ('[1]Coefficient Normal'!$G$21*(AA87^3)) + ('[1]Coefficient Normal'!$G$22*(AA87^4)),0)))</f>
        <v>18.784824717152006</v>
      </c>
      <c r="AD87">
        <f t="shared" si="62"/>
        <v>80</v>
      </c>
      <c r="AE87">
        <f t="shared" si="63"/>
        <v>865.97444478783666</v>
      </c>
      <c r="AF87">
        <f t="shared" si="93"/>
        <v>6.7638553986441545</v>
      </c>
      <c r="AG87">
        <f t="shared" si="64"/>
        <v>4.5440204919621658</v>
      </c>
      <c r="AH87">
        <f t="shared" si="65"/>
        <v>3.5345047004428238</v>
      </c>
      <c r="AI87" s="1">
        <v>0.4</v>
      </c>
      <c r="AJ87" s="5">
        <f>VLOOKUP(R87,'[1]Coefficient Normal'!$A$3:$H$7,2,TRUE)</f>
        <v>5.5951000000000004</v>
      </c>
      <c r="AK87" s="5">
        <f>VLOOKUP(R87,'[1]Coefficient Normal'!$A$3:$H$7,3,TRUE)</f>
        <v>1.6E-2</v>
      </c>
      <c r="AL87" s="5">
        <f>VLOOKUP(R87,'[1]Coefficient Normal'!$A$3:$H$7,4,TRUE)</f>
        <v>1.2641</v>
      </c>
      <c r="AM87" s="5">
        <f>VLOOKUP(R87,'[1]Coefficient Normal'!$A$3:$H$7,5,TRUE)</f>
        <v>-0.52429999999999999</v>
      </c>
      <c r="AN87" s="5">
        <f>VLOOKUP(R87,'[1]Coefficient Normal'!$A$3:$H$7,6,TRUE)</f>
        <v>0.35830000000000001</v>
      </c>
      <c r="AO87" s="5">
        <f>VLOOKUP(R87,'[1]Coefficient Normal'!$A$3:$H$7,7,TRUE)</f>
        <v>-0.35920000000000002</v>
      </c>
      <c r="AP87" s="5">
        <f>VLOOKUP(R87,'[1]Coefficient Normal'!$A$3:$H$7,8,TRUE)</f>
        <v>-0.2482</v>
      </c>
      <c r="AR87" s="5">
        <f t="shared" si="66"/>
        <v>8.8509920075637738E-2</v>
      </c>
      <c r="AV87" s="5">
        <f>VLOOKUP(R87,'[1]Coefficient Normal'!$A$10:$P$14,2,TRUE)</f>
        <v>-2.3450000000000002</v>
      </c>
      <c r="AW87" s="5">
        <f>VLOOKUP(R87,'[1]Coefficient Normal'!$A$10:$P$14,3,TRUE)</f>
        <v>0.19470000000000001</v>
      </c>
      <c r="AX87" s="5">
        <f>VLOOKUP(R87,'[1]Coefficient Normal'!$A$10:$P$14,4,TRUE)</f>
        <v>-0.2044</v>
      </c>
      <c r="AY87" s="5">
        <f>VLOOKUP(R87,'[1]Coefficient Normal'!$A$10:$P$14,5,TRUE)</f>
        <v>0.4143</v>
      </c>
      <c r="AZ87" s="5">
        <f>VLOOKUP(R87,'[1]Coefficient Normal'!$A$10:$P$14,6,TRUE)</f>
        <v>-0.55710000000000004</v>
      </c>
      <c r="BA87" s="5">
        <f>VLOOKUP(R87,'[1]Coefficient Normal'!$A$10:$P$14,7,TRUE)</f>
        <v>1.0931</v>
      </c>
      <c r="BB87" s="5">
        <f>VLOOKUP(R87,'[1]Coefficient Normal'!$A$10:$P$14,8,TRUE)</f>
        <v>1E-4</v>
      </c>
      <c r="BC87" s="5">
        <f>VLOOKUP(R87,'[1]Coefficient Normal'!$A$10:$P$14,9,TRUE)</f>
        <v>3.5000000000000001E-3</v>
      </c>
      <c r="BD87" s="5">
        <f>VLOOKUP(R87,'[1]Coefficient Normal'!$A$10:$P$14,10,TRUE)</f>
        <v>-4.07E-2</v>
      </c>
      <c r="BE87" s="5">
        <f>VLOOKUP(R87,'[1]Coefficient Normal'!$A$10:$P$14,11,TRUE)</f>
        <v>1.6000000000000001E-3</v>
      </c>
      <c r="BF87" s="5">
        <f>VLOOKUP(R87,'[1]Coefficient Normal'!$A$10:$P$14,12,TRUE)</f>
        <v>-0.65949999999999998</v>
      </c>
      <c r="BG87" s="5">
        <f>VLOOKUP(R87,'[1]Coefficient Normal'!$A$10:$P$14,13,TRUE)</f>
        <v>-3.0099999999999998E-2</v>
      </c>
      <c r="BH87" s="5">
        <f>VLOOKUP(R87,'[1]Coefficient Normal'!$A$10:$P$14,14,TRUE)</f>
        <v>0.84219999999999995</v>
      </c>
      <c r="BI87" s="5">
        <f>VLOOKUP(R87,'[1]Coefficient Normal'!$A$10:$P$14,15,TRUE)</f>
        <v>0.50680000000000003</v>
      </c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W87" s="6">
        <f t="shared" si="67"/>
        <v>1</v>
      </c>
      <c r="BX87" s="6">
        <f t="shared" si="68"/>
        <v>1</v>
      </c>
      <c r="BY87" s="6">
        <f t="shared" si="69"/>
        <v>0</v>
      </c>
      <c r="BZ87" s="5">
        <f t="shared" si="70"/>
        <v>1.2063369896131648</v>
      </c>
      <c r="CB87">
        <f t="shared" si="71"/>
        <v>-0.916290731874155</v>
      </c>
      <c r="CG87" s="5">
        <f t="shared" si="72"/>
        <v>-1.0048006519497927</v>
      </c>
      <c r="CH87" s="5">
        <f t="shared" si="73"/>
        <v>-1.2121281936344583</v>
      </c>
      <c r="CI87" s="5">
        <f t="shared" si="74"/>
        <v>0.88472078978503377</v>
      </c>
      <c r="CJ87" s="5">
        <f t="shared" si="75"/>
        <v>-0.72245276077051324</v>
      </c>
      <c r="CK87" s="5">
        <f t="shared" si="76"/>
        <v>2.8022652916582733</v>
      </c>
      <c r="CL87" s="5">
        <f t="shared" si="77"/>
        <v>6.1177861852614784E-2</v>
      </c>
      <c r="CM87" s="5">
        <f t="shared" si="78"/>
        <v>-0.53141701110905004</v>
      </c>
      <c r="CN87" s="7">
        <f t="shared" si="94"/>
        <v>0.58777150055444438</v>
      </c>
      <c r="CO87">
        <f>VLOOKUP(R87,'[1]Coefficient Normal'!$A$10:$P$14,16,TRUE)</f>
        <v>0.43780000000000002</v>
      </c>
      <c r="CP87">
        <v>0.3</v>
      </c>
    </row>
    <row r="88" spans="1:94" x14ac:dyDescent="0.25">
      <c r="A88">
        <v>80</v>
      </c>
      <c r="B88">
        <v>8</v>
      </c>
      <c r="C88" t="str">
        <f t="shared" si="79"/>
        <v>Normal</v>
      </c>
      <c r="D88">
        <v>0.5</v>
      </c>
      <c r="E88">
        <f t="shared" si="80"/>
        <v>500</v>
      </c>
      <c r="F88">
        <v>9.5250000000000005E-3</v>
      </c>
      <c r="G88">
        <f t="shared" si="80"/>
        <v>9.5250000000000004</v>
      </c>
      <c r="H88" s="3">
        <f t="shared" si="81"/>
        <v>52.493438320209975</v>
      </c>
      <c r="I88" s="1">
        <v>300</v>
      </c>
      <c r="J88" s="4" t="s">
        <v>70</v>
      </c>
      <c r="K88" s="1">
        <f t="shared" si="82"/>
        <v>8</v>
      </c>
      <c r="L88" s="1">
        <f t="shared" si="83"/>
        <v>10</v>
      </c>
      <c r="M88" s="1">
        <f t="shared" si="84"/>
        <v>359000</v>
      </c>
      <c r="N88" s="1">
        <f t="shared" si="85"/>
        <v>455000</v>
      </c>
      <c r="O88" s="1">
        <f t="shared" si="86"/>
        <v>1.9969902892117808</v>
      </c>
      <c r="P88" s="3">
        <v>1.9041242414694344</v>
      </c>
      <c r="Q88" s="1">
        <f t="shared" si="87"/>
        <v>0.69164119173371341</v>
      </c>
      <c r="R88" s="1">
        <v>90</v>
      </c>
      <c r="S88" s="1" t="s">
        <v>78</v>
      </c>
      <c r="T88" t="s">
        <v>79</v>
      </c>
      <c r="U88">
        <f t="shared" si="88"/>
        <v>18</v>
      </c>
      <c r="V88" s="1">
        <f t="shared" si="89"/>
        <v>37</v>
      </c>
      <c r="W88">
        <f t="shared" si="90"/>
        <v>0</v>
      </c>
      <c r="X88">
        <f t="shared" si="91"/>
        <v>0</v>
      </c>
      <c r="Y88">
        <v>0.9</v>
      </c>
      <c r="Z88" s="1">
        <v>2</v>
      </c>
      <c r="AA88" s="1">
        <f t="shared" si="61"/>
        <v>4</v>
      </c>
      <c r="AB88">
        <f t="shared" si="92"/>
        <v>37.145531811713909</v>
      </c>
      <c r="AC88">
        <f>IF(T88="medium dense",'[1]Coefficient Normal'!$E$18 + ('[1]Coefficient Normal'!$E$19*AA88) + ('[1]Coefficient Normal'!$E$20*(AA88^2)) + ('[1]Coefficient Normal'!$E$21*(AA88^3)) + ('[1]Coefficient Normal'!$E$22*(AA88^4)),IF(T88="dense",'[1]Coefficient Normal'!$F$18 + ('[1]Coefficient Normal'!$F$19*AA88) + ('[1]Coefficient Normal'!$F$20*(AA88^2)) + ('[1]Coefficient Normal'!$F$21*(AA88^3)) + ('[1]Coefficient Normal'!$F$22*(AA88^4)),IF(T88="very dense",'[1]Coefficient Normal'!$G$18 + ('[1]Coefficient Normal'!$G$19*AA88) + ('[1]Coefficient Normal'!$G$20*(AA88^2)) + ('[1]Coefficient Normal'!$G$21*(AA88^3)) + ('[1]Coefficient Normal'!$G$22*(AA88^4)),0)))</f>
        <v>14.286272930000003</v>
      </c>
      <c r="AD88">
        <f t="shared" si="62"/>
        <v>64.071522599936642</v>
      </c>
      <c r="AE88">
        <f t="shared" si="63"/>
        <v>401.31383858985748</v>
      </c>
      <c r="AF88">
        <f t="shared" si="93"/>
        <v>5.9947437610786407</v>
      </c>
      <c r="AG88">
        <f t="shared" si="64"/>
        <v>3.9606881774094269</v>
      </c>
      <c r="AH88">
        <f t="shared" si="65"/>
        <v>3.6148434896829706</v>
      </c>
      <c r="AI88" s="1">
        <v>1.2</v>
      </c>
      <c r="AJ88" s="5">
        <f>VLOOKUP(R88,'[1]Coefficient Normal'!$A$3:$H$7,2,TRUE)</f>
        <v>14.575100000000001</v>
      </c>
      <c r="AK88" s="5">
        <f>VLOOKUP(R88,'[1]Coefficient Normal'!$A$3:$H$7,3,TRUE)</f>
        <v>0.1356</v>
      </c>
      <c r="AL88" s="5">
        <f>VLOOKUP(R88,'[1]Coefficient Normal'!$A$3:$H$7,4,TRUE)</f>
        <v>2.9990000000000001</v>
      </c>
      <c r="AM88" s="5">
        <f>VLOOKUP(R88,'[1]Coefficient Normal'!$A$3:$H$7,5,TRUE)</f>
        <v>-0.94710000000000005</v>
      </c>
      <c r="AN88" s="5">
        <f>VLOOKUP(R88,'[1]Coefficient Normal'!$A$3:$H$7,6,TRUE)</f>
        <v>0.6603</v>
      </c>
      <c r="AO88" s="5">
        <f>VLOOKUP(R88,'[1]Coefficient Normal'!$A$3:$H$7,7,TRUE)</f>
        <v>-1.2488999999999999</v>
      </c>
      <c r="AP88" s="5">
        <f>VLOOKUP(R88,'[1]Coefficient Normal'!$A$3:$H$7,8,TRUE)</f>
        <v>-0.44140000000000001</v>
      </c>
      <c r="AR88" s="5">
        <f t="shared" si="66"/>
        <v>0.89288001558423113</v>
      </c>
      <c r="AV88" s="5">
        <f>VLOOKUP(R88,'[1]Coefficient Normal'!$A$10:$P$14,2,TRUE)</f>
        <v>5.1353999999999997</v>
      </c>
      <c r="AW88" s="5">
        <f>VLOOKUP(R88,'[1]Coefficient Normal'!$A$10:$P$14,3,TRUE)</f>
        <v>-4.9599999999999998E-2</v>
      </c>
      <c r="AX88" s="5">
        <f>VLOOKUP(R88,'[1]Coefficient Normal'!$A$10:$P$14,4,TRUE)</f>
        <v>0.44590000000000002</v>
      </c>
      <c r="AY88" s="5">
        <f>VLOOKUP(R88,'[1]Coefficient Normal'!$A$10:$P$14,5,TRUE)</f>
        <v>-0.83709999999999996</v>
      </c>
      <c r="AZ88" s="5">
        <f>VLOOKUP(R88,'[1]Coefficient Normal'!$A$10:$P$14,6,TRUE)</f>
        <v>0.63090000000000002</v>
      </c>
      <c r="BA88" s="5">
        <f>VLOOKUP(R88,'[1]Coefficient Normal'!$A$10:$P$14,7,TRUE)</f>
        <v>0.91390000000000005</v>
      </c>
      <c r="BB88" s="5">
        <f>VLOOKUP(R88,'[1]Coefficient Normal'!$A$10:$P$14,8,TRUE)</f>
        <v>2.5000000000000001E-3</v>
      </c>
      <c r="BC88" s="5">
        <f>VLOOKUP(R88,'[1]Coefficient Normal'!$A$10:$P$14,9,TRUE)</f>
        <v>1.6000000000000001E-3</v>
      </c>
      <c r="BD88" s="5">
        <f>VLOOKUP(R88,'[1]Coefficient Normal'!$A$10:$P$14,10,TRUE)</f>
        <v>-9.7500000000000003E-2</v>
      </c>
      <c r="BE88" s="5">
        <f>VLOOKUP(R88,'[1]Coefficient Normal'!$A$10:$P$14,11,TRUE)</f>
        <v>1.1999999999999999E-3</v>
      </c>
      <c r="BF88" s="5">
        <f>VLOOKUP(R88,'[1]Coefficient Normal'!$A$10:$P$14,12,TRUE)</f>
        <v>0.46479999999999999</v>
      </c>
      <c r="BG88" s="5">
        <f>VLOOKUP(R88,'[1]Coefficient Normal'!$A$10:$P$14,13,TRUE)</f>
        <v>8.0000000000000004E-4</v>
      </c>
      <c r="BH88" s="5">
        <f>VLOOKUP(R88,'[1]Coefficient Normal'!$A$10:$P$14,14,TRUE)</f>
        <v>6.7900000000000002E-2</v>
      </c>
      <c r="BI88" s="5">
        <f>VLOOKUP(R88,'[1]Coefficient Normal'!$A$10:$P$14,15,TRUE)</f>
        <v>0.58979999999999999</v>
      </c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W88" s="6">
        <f t="shared" si="67"/>
        <v>1</v>
      </c>
      <c r="BX88" s="6">
        <f t="shared" si="68"/>
        <v>1</v>
      </c>
      <c r="BY88" s="6">
        <f t="shared" si="69"/>
        <v>0</v>
      </c>
      <c r="BZ88" s="5">
        <f t="shared" si="70"/>
        <v>0.97225595551353683</v>
      </c>
      <c r="CB88">
        <f t="shared" si="71"/>
        <v>0.18232155679395459</v>
      </c>
      <c r="CG88" s="5">
        <f t="shared" si="72"/>
        <v>-0.71055845879027657</v>
      </c>
      <c r="CH88" s="5">
        <f t="shared" si="73"/>
        <v>-0.69084469329936637</v>
      </c>
      <c r="CI88" s="5">
        <f t="shared" si="74"/>
        <v>-0.19645013359950758</v>
      </c>
      <c r="CJ88" s="5">
        <f t="shared" si="75"/>
        <v>1.6118587120496366</v>
      </c>
      <c r="CK88" s="5">
        <f t="shared" si="76"/>
        <v>-5.0182000023989302</v>
      </c>
      <c r="CL88" s="5">
        <f t="shared" si="77"/>
        <v>-0.43730655621526948</v>
      </c>
      <c r="CM88" s="5">
        <f t="shared" si="78"/>
        <v>0.40445732653656241</v>
      </c>
      <c r="CN88" s="7">
        <f t="shared" si="94"/>
        <v>1.4984890891045519</v>
      </c>
      <c r="CO88">
        <f>VLOOKUP(R88,'[1]Coefficient Normal'!$A$10:$P$14,16,TRUE)</f>
        <v>0.34749999999999998</v>
      </c>
      <c r="CP88">
        <v>0.3</v>
      </c>
    </row>
  </sheetData>
  <dataValidations count="1">
    <dataValidation type="list" allowBlank="1" showInputMessage="1" showErrorMessage="1" sqref="J69:J88" xr:uid="{00000000-0002-0000-0100-000000000000}">
      <formula1>"Grade-B,X-42,X-52,X-60,X-70,X-80"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164"/>
  <sheetViews>
    <sheetView topLeftCell="B1" zoomScale="70" zoomScaleNormal="70" workbookViewId="0">
      <selection activeCell="CU84" sqref="CU84:CV84"/>
    </sheetView>
    <sheetView workbookViewId="1"/>
  </sheetViews>
  <sheetFormatPr defaultRowHeight="15" x14ac:dyDescent="0.25"/>
  <cols>
    <col min="4" max="4" width="17.42578125" customWidth="1"/>
    <col min="5" max="5" width="15.42578125" customWidth="1"/>
    <col min="6" max="6" width="16.85546875" customWidth="1"/>
    <col min="7" max="7" width="17.140625" customWidth="1"/>
    <col min="8" max="8" width="16.85546875" customWidth="1"/>
    <col min="9" max="9" width="22.140625" customWidth="1"/>
    <col min="10" max="10" width="16.42578125" customWidth="1"/>
    <col min="11" max="11" width="14.28515625" customWidth="1"/>
    <col min="12" max="12" width="15.28515625" customWidth="1"/>
    <col min="13" max="15" width="15.85546875" customWidth="1"/>
    <col min="16" max="16" width="22.85546875" customWidth="1"/>
    <col min="17" max="17" width="15.85546875" customWidth="1"/>
    <col min="18" max="20" width="14" customWidth="1"/>
    <col min="21" max="25" width="20.7109375" customWidth="1"/>
    <col min="26" max="34" width="15.42578125" customWidth="1"/>
    <col min="35" max="42" width="11.5703125" customWidth="1"/>
    <col min="43" max="47" width="20.140625" customWidth="1"/>
    <col min="48" max="61" width="13.85546875" customWidth="1"/>
    <col min="62" max="71" width="14.42578125" customWidth="1"/>
    <col min="72" max="78" width="17.140625" customWidth="1"/>
    <col min="79" max="79" width="23.140625" customWidth="1"/>
    <col min="80" max="84" width="16.85546875" customWidth="1"/>
    <col min="85" max="90" width="25.5703125" customWidth="1"/>
    <col min="91" max="100" width="29" customWidth="1"/>
  </cols>
  <sheetData>
    <row r="1" spans="1:100" x14ac:dyDescent="0.25">
      <c r="A1" t="s">
        <v>0</v>
      </c>
      <c r="B1" t="s">
        <v>82</v>
      </c>
      <c r="C1" t="s">
        <v>83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58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87</v>
      </c>
      <c r="AR1" t="s">
        <v>39</v>
      </c>
      <c r="AS1" t="s">
        <v>102</v>
      </c>
      <c r="AT1" t="s">
        <v>103</v>
      </c>
      <c r="AU1" t="s">
        <v>104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84</v>
      </c>
      <c r="BU1" t="s">
        <v>88</v>
      </c>
      <c r="BV1" t="s">
        <v>89</v>
      </c>
      <c r="BW1" t="s">
        <v>56</v>
      </c>
      <c r="BX1" t="s">
        <v>54</v>
      </c>
      <c r="BY1" t="s">
        <v>55</v>
      </c>
      <c r="BZ1" t="s">
        <v>57</v>
      </c>
      <c r="CA1" t="s">
        <v>85</v>
      </c>
      <c r="CB1" t="s">
        <v>59</v>
      </c>
      <c r="CC1" t="s">
        <v>105</v>
      </c>
      <c r="CD1" t="s">
        <v>106</v>
      </c>
      <c r="CE1" t="s">
        <v>86</v>
      </c>
      <c r="CF1" t="s">
        <v>107</v>
      </c>
      <c r="CG1" t="s">
        <v>60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  <c r="CO1" t="s">
        <v>125</v>
      </c>
      <c r="CP1" t="s">
        <v>126</v>
      </c>
      <c r="CQ1" t="s">
        <v>68</v>
      </c>
      <c r="CR1" t="s">
        <v>127</v>
      </c>
      <c r="CS1" t="s">
        <v>128</v>
      </c>
      <c r="CT1" t="s">
        <v>69</v>
      </c>
      <c r="CU1" t="s">
        <v>129</v>
      </c>
      <c r="CV1" t="s">
        <v>130</v>
      </c>
    </row>
    <row r="2" spans="1:100" x14ac:dyDescent="0.25">
      <c r="A2">
        <v>1</v>
      </c>
      <c r="B2">
        <v>105</v>
      </c>
      <c r="C2" t="str">
        <f>IF(AND(B2&gt;=0,B2&lt;=10),"Normal",IF(AND(B2&gt;10,B2&lt;90),"SSTens",IF(AND(B2&gt;=90,B2&lt;170),"SSComp",IF(AND(B2&gt;=170,B2&lt;=180),"Reverse"))))</f>
        <v>SSComp</v>
      </c>
      <c r="D2">
        <v>0.20319999999999999</v>
      </c>
      <c r="E2">
        <f>D2*1000</f>
        <v>203.2</v>
      </c>
      <c r="I2">
        <v>15</v>
      </c>
      <c r="AI2">
        <v>0.2</v>
      </c>
      <c r="AV2">
        <f t="shared" ref="AV2:AV21" si="0">-6.50785 + 0.98692*D2 + 0.01601*I2 + (-0.04575 * BT2)</f>
        <v>-5.3809078560000003</v>
      </c>
      <c r="AW2">
        <f t="shared" ref="AW2:AW21" si="1">0.34262 + (-0.10918 * D2) + 0.00197 * I2+ 0.0027*BT2</f>
        <v>0.30948462400000004</v>
      </c>
      <c r="BT2">
        <f t="shared" ref="BT2:BT21" si="2">IF(AND(B2&gt;95,B2&lt;=120),B2-120,0)</f>
        <v>-15</v>
      </c>
      <c r="BZ2">
        <f t="shared" ref="BZ2:BZ21" si="3" xml:space="preserve"> 4.54097 - 0.01093*I2</f>
        <v>4.3770199999999999</v>
      </c>
      <c r="CA2">
        <f t="shared" ref="CA2:CA21" si="4">(LN(AI2) - AV2) / BZ2</f>
        <v>0.86165243557623683</v>
      </c>
      <c r="CE2">
        <f t="shared" ref="CE2:CE21" si="5">IF(CA2&gt;=1,5,ATANH(CA2))</f>
        <v>1.2997253384540037</v>
      </c>
      <c r="CM2">
        <f t="shared" ref="CM2:CM21" si="6">(CE2 / AW2) - 4</f>
        <v>0.19964430431284885</v>
      </c>
      <c r="CN2">
        <f>MIN(EXP(CM2),100)</f>
        <v>1.2209683877232429</v>
      </c>
      <c r="CO2" s="13">
        <f>IF(OR(C2="SSComp",C2="Reverse"),CN2,0.00001)</f>
        <v>1.2209683877232429</v>
      </c>
      <c r="CP2" s="13">
        <f>IF(OR(C2="SSTens",C2="Normal"),CN2,0.00001)</f>
        <v>1.0000000000000001E-5</v>
      </c>
      <c r="CQ2">
        <v>0.57099999999999995</v>
      </c>
      <c r="CR2">
        <f>IF(OR(C2="SSComp",C2="Reverse"),CQ2,0.01)</f>
        <v>0.57099999999999995</v>
      </c>
      <c r="CS2">
        <f>IF(OR(C2="SSTens",C2="Normal"),CQ2,0.01)</f>
        <v>0.01</v>
      </c>
      <c r="CT2">
        <v>0.3</v>
      </c>
      <c r="CU2">
        <v>0.3</v>
      </c>
      <c r="CV2">
        <v>0.3</v>
      </c>
    </row>
    <row r="3" spans="1:100" x14ac:dyDescent="0.25">
      <c r="A3">
        <v>2</v>
      </c>
      <c r="B3">
        <v>145</v>
      </c>
      <c r="C3" t="str">
        <f t="shared" ref="C3:C21" si="7">IF(AND(B3&gt;=0,B3&lt;=10),"Normal",IF(AND(B3&gt;10,B3&lt;90),"SSTens",IF(AND(B3&gt;=90,B3&lt;170),"SSComp",IF(AND(B3&gt;=170,B3&lt;=180),"Reverse"))))</f>
        <v>SSComp</v>
      </c>
      <c r="D3">
        <v>0.30480000000000002</v>
      </c>
      <c r="E3">
        <f t="shared" ref="E3:E21" si="8">D3*1000</f>
        <v>304.8</v>
      </c>
      <c r="I3">
        <v>30</v>
      </c>
      <c r="AI3">
        <v>0.1</v>
      </c>
      <c r="AV3">
        <f t="shared" si="0"/>
        <v>-5.7267367840000007</v>
      </c>
      <c r="AW3">
        <f t="shared" si="1"/>
        <v>0.36844193599999997</v>
      </c>
      <c r="BT3">
        <f t="shared" si="2"/>
        <v>0</v>
      </c>
      <c r="BZ3">
        <f t="shared" si="3"/>
        <v>4.2130700000000001</v>
      </c>
      <c r="CA3">
        <f t="shared" si="4"/>
        <v>0.81274502702446316</v>
      </c>
      <c r="CE3">
        <f t="shared" si="5"/>
        <v>1.135063192462112</v>
      </c>
      <c r="CM3">
        <f t="shared" si="6"/>
        <v>-0.91928881716083488</v>
      </c>
      <c r="CN3">
        <f t="shared" ref="CN3:CN21" si="9">MIN(EXP(CM3),100)</f>
        <v>0.39880256179319534</v>
      </c>
      <c r="CO3" s="13">
        <f t="shared" ref="CO3:CO66" si="10">IF(OR(C3="SSComp",C3="Reverse"),CN3,0.00001)</f>
        <v>0.39880256179319534</v>
      </c>
      <c r="CP3" s="13">
        <f t="shared" ref="CP3:CP66" si="11">IF(OR(C3="SSTens",C3="Normal"),CN3,0.00001)</f>
        <v>1.0000000000000001E-5</v>
      </c>
      <c r="CQ3">
        <v>0.57099999999999995</v>
      </c>
      <c r="CR3">
        <f t="shared" ref="CR3:CR66" si="12">IF(OR(C3="SSComp",C3="Reverse"),CQ3,0.01)</f>
        <v>0.57099999999999995</v>
      </c>
      <c r="CS3">
        <f t="shared" ref="CS3:CS66" si="13">IF(OR(C3="SSTens",C3="Normal"),CQ3,0.01)</f>
        <v>0.01</v>
      </c>
      <c r="CT3">
        <v>0.3</v>
      </c>
      <c r="CU3">
        <v>0.3</v>
      </c>
      <c r="CV3">
        <v>0.3</v>
      </c>
    </row>
    <row r="4" spans="1:100" x14ac:dyDescent="0.25">
      <c r="A4">
        <v>3</v>
      </c>
      <c r="B4">
        <v>165</v>
      </c>
      <c r="C4" t="str">
        <f t="shared" si="7"/>
        <v>SSComp</v>
      </c>
      <c r="D4">
        <v>0.40639999999999998</v>
      </c>
      <c r="E4">
        <f t="shared" si="8"/>
        <v>406.4</v>
      </c>
      <c r="I4">
        <v>50</v>
      </c>
      <c r="AI4">
        <v>0.2</v>
      </c>
      <c r="AV4">
        <f t="shared" si="0"/>
        <v>-5.3062657120000001</v>
      </c>
      <c r="AW4">
        <f t="shared" si="1"/>
        <v>0.396749248</v>
      </c>
      <c r="BT4">
        <f t="shared" si="2"/>
        <v>0</v>
      </c>
      <c r="BZ4">
        <f t="shared" si="3"/>
        <v>3.9944699999999997</v>
      </c>
      <c r="CA4">
        <f t="shared" si="4"/>
        <v>0.92548643488770721</v>
      </c>
      <c r="CE4">
        <f t="shared" si="5"/>
        <v>1.6259763586968217</v>
      </c>
      <c r="CM4">
        <f t="shared" si="6"/>
        <v>9.8246857160575018E-2</v>
      </c>
      <c r="CN4">
        <f t="shared" si="9"/>
        <v>1.1032350929790506</v>
      </c>
      <c r="CO4" s="13">
        <f t="shared" si="10"/>
        <v>1.1032350929790506</v>
      </c>
      <c r="CP4" s="13">
        <f t="shared" si="11"/>
        <v>1.0000000000000001E-5</v>
      </c>
      <c r="CQ4">
        <v>0.57099999999999995</v>
      </c>
      <c r="CR4">
        <f t="shared" si="12"/>
        <v>0.57099999999999995</v>
      </c>
      <c r="CS4">
        <f t="shared" si="13"/>
        <v>0.01</v>
      </c>
      <c r="CT4">
        <v>0.3</v>
      </c>
      <c r="CU4">
        <v>0.3</v>
      </c>
      <c r="CV4">
        <v>0.3</v>
      </c>
    </row>
    <row r="5" spans="1:100" x14ac:dyDescent="0.25">
      <c r="A5">
        <v>4</v>
      </c>
      <c r="B5">
        <v>105</v>
      </c>
      <c r="C5" t="str">
        <f t="shared" si="7"/>
        <v>SSComp</v>
      </c>
      <c r="D5">
        <v>0.50800000000000001</v>
      </c>
      <c r="E5">
        <f t="shared" si="8"/>
        <v>508</v>
      </c>
      <c r="I5">
        <v>100</v>
      </c>
      <c r="AI5">
        <v>0.7</v>
      </c>
      <c r="AV5">
        <f t="shared" si="0"/>
        <v>-3.7192446400000003</v>
      </c>
      <c r="AW5">
        <f t="shared" si="1"/>
        <v>0.44365656000000003</v>
      </c>
      <c r="BT5">
        <f t="shared" si="2"/>
        <v>-15</v>
      </c>
      <c r="BZ5">
        <f t="shared" si="3"/>
        <v>3.4479699999999998</v>
      </c>
      <c r="CA5">
        <f t="shared" si="4"/>
        <v>0.97523171491088034</v>
      </c>
      <c r="CE5">
        <f t="shared" si="5"/>
        <v>2.1894384933683062</v>
      </c>
      <c r="CM5">
        <f t="shared" si="6"/>
        <v>0.93498505548595112</v>
      </c>
      <c r="CN5">
        <f t="shared" si="9"/>
        <v>2.5471753911561468</v>
      </c>
      <c r="CO5" s="13">
        <f t="shared" si="10"/>
        <v>2.5471753911561468</v>
      </c>
      <c r="CP5" s="13">
        <f t="shared" si="11"/>
        <v>1.0000000000000001E-5</v>
      </c>
      <c r="CQ5">
        <v>0.57099999999999995</v>
      </c>
      <c r="CR5">
        <f t="shared" si="12"/>
        <v>0.57099999999999995</v>
      </c>
      <c r="CS5">
        <f t="shared" si="13"/>
        <v>0.01</v>
      </c>
      <c r="CT5">
        <v>0.3</v>
      </c>
      <c r="CU5">
        <v>0.3</v>
      </c>
      <c r="CV5">
        <v>0.3</v>
      </c>
    </row>
    <row r="6" spans="1:100" x14ac:dyDescent="0.25">
      <c r="A6">
        <v>5</v>
      </c>
      <c r="B6">
        <v>145</v>
      </c>
      <c r="C6" t="str">
        <f t="shared" si="7"/>
        <v>SSComp</v>
      </c>
      <c r="D6">
        <v>0.60960000000000003</v>
      </c>
      <c r="E6">
        <f t="shared" si="8"/>
        <v>609.6</v>
      </c>
      <c r="I6">
        <v>15</v>
      </c>
      <c r="AI6">
        <v>0.2</v>
      </c>
      <c r="AV6">
        <f t="shared" si="0"/>
        <v>-5.6660735680000007</v>
      </c>
      <c r="AW6">
        <f t="shared" si="1"/>
        <v>0.30561387200000001</v>
      </c>
      <c r="BT6">
        <f t="shared" si="2"/>
        <v>0</v>
      </c>
      <c r="BZ6">
        <f t="shared" si="3"/>
        <v>4.3770199999999999</v>
      </c>
      <c r="CA6">
        <f t="shared" si="4"/>
        <v>0.92680308876036677</v>
      </c>
      <c r="CE6">
        <f t="shared" si="5"/>
        <v>1.6352321269547774</v>
      </c>
      <c r="CM6">
        <f t="shared" si="6"/>
        <v>1.3506475876028867</v>
      </c>
      <c r="CN6">
        <f t="shared" si="9"/>
        <v>3.8599243606680402</v>
      </c>
      <c r="CO6" s="13">
        <f t="shared" si="10"/>
        <v>3.8599243606680402</v>
      </c>
      <c r="CP6" s="13">
        <f t="shared" si="11"/>
        <v>1.0000000000000001E-5</v>
      </c>
      <c r="CQ6">
        <v>0.57099999999999995</v>
      </c>
      <c r="CR6">
        <f t="shared" si="12"/>
        <v>0.57099999999999995</v>
      </c>
      <c r="CS6">
        <f t="shared" si="13"/>
        <v>0.01</v>
      </c>
      <c r="CT6">
        <v>0.3</v>
      </c>
      <c r="CU6">
        <v>0.3</v>
      </c>
      <c r="CV6">
        <v>0.3</v>
      </c>
    </row>
    <row r="7" spans="1:100" x14ac:dyDescent="0.25">
      <c r="A7">
        <v>6</v>
      </c>
      <c r="B7">
        <v>165</v>
      </c>
      <c r="C7" t="str">
        <f t="shared" si="7"/>
        <v>SSComp</v>
      </c>
      <c r="D7">
        <v>0.76200000000000001</v>
      </c>
      <c r="E7">
        <f t="shared" si="8"/>
        <v>762</v>
      </c>
      <c r="I7">
        <v>30</v>
      </c>
      <c r="AI7">
        <v>0.3</v>
      </c>
      <c r="AV7">
        <f t="shared" si="0"/>
        <v>-5.2755169600000009</v>
      </c>
      <c r="AW7">
        <f t="shared" si="1"/>
        <v>0.31852483999999998</v>
      </c>
      <c r="BT7">
        <f t="shared" si="2"/>
        <v>0</v>
      </c>
      <c r="BZ7">
        <f t="shared" si="3"/>
        <v>4.2130700000000001</v>
      </c>
      <c r="CA7">
        <f t="shared" si="4"/>
        <v>0.96640790579650115</v>
      </c>
      <c r="CE7">
        <f t="shared" si="5"/>
        <v>2.0348365057620685</v>
      </c>
      <c r="CM7">
        <f t="shared" si="6"/>
        <v>2.38831340677251</v>
      </c>
      <c r="CN7">
        <f t="shared" si="9"/>
        <v>10.895102831591004</v>
      </c>
      <c r="CO7" s="13">
        <f t="shared" si="10"/>
        <v>10.895102831591004</v>
      </c>
      <c r="CP7" s="13">
        <f t="shared" si="11"/>
        <v>1.0000000000000001E-5</v>
      </c>
      <c r="CQ7">
        <v>0.57099999999999995</v>
      </c>
      <c r="CR7">
        <f t="shared" si="12"/>
        <v>0.57099999999999995</v>
      </c>
      <c r="CS7">
        <f t="shared" si="13"/>
        <v>0.01</v>
      </c>
      <c r="CT7">
        <v>0.3</v>
      </c>
      <c r="CU7">
        <v>0.3</v>
      </c>
      <c r="CV7">
        <v>0.3</v>
      </c>
    </row>
    <row r="8" spans="1:100" x14ac:dyDescent="0.25">
      <c r="A8">
        <v>7</v>
      </c>
      <c r="B8">
        <v>105</v>
      </c>
      <c r="C8" t="str">
        <f t="shared" si="7"/>
        <v>SSComp</v>
      </c>
      <c r="D8">
        <v>0.86360000000000003</v>
      </c>
      <c r="E8">
        <f t="shared" si="8"/>
        <v>863.6</v>
      </c>
      <c r="I8">
        <v>50</v>
      </c>
      <c r="AI8">
        <v>0.5</v>
      </c>
      <c r="AV8">
        <f t="shared" si="0"/>
        <v>-4.1687958880000009</v>
      </c>
      <c r="AW8">
        <f t="shared" si="1"/>
        <v>0.30633215199999997</v>
      </c>
      <c r="BT8">
        <f t="shared" si="2"/>
        <v>-15</v>
      </c>
      <c r="BZ8">
        <f t="shared" si="3"/>
        <v>3.9944699999999997</v>
      </c>
      <c r="CA8">
        <f t="shared" si="4"/>
        <v>0.87011511100097283</v>
      </c>
      <c r="CE8">
        <f t="shared" si="5"/>
        <v>1.3335533378406192</v>
      </c>
      <c r="CM8">
        <f t="shared" si="6"/>
        <v>0.35329210183794046</v>
      </c>
      <c r="CN8">
        <f t="shared" si="9"/>
        <v>1.4237469618042953</v>
      </c>
      <c r="CO8" s="13">
        <f t="shared" si="10"/>
        <v>1.4237469618042953</v>
      </c>
      <c r="CP8" s="13">
        <f t="shared" si="11"/>
        <v>1.0000000000000001E-5</v>
      </c>
      <c r="CQ8">
        <v>0.57099999999999995</v>
      </c>
      <c r="CR8">
        <f t="shared" si="12"/>
        <v>0.57099999999999995</v>
      </c>
      <c r="CS8">
        <f t="shared" si="13"/>
        <v>0.01</v>
      </c>
      <c r="CT8">
        <v>0.3</v>
      </c>
      <c r="CU8">
        <v>0.3</v>
      </c>
      <c r="CV8">
        <v>0.3</v>
      </c>
    </row>
    <row r="9" spans="1:100" x14ac:dyDescent="0.25">
      <c r="A9">
        <v>8</v>
      </c>
      <c r="B9">
        <v>145</v>
      </c>
      <c r="C9" t="str">
        <f t="shared" si="7"/>
        <v>SSComp</v>
      </c>
      <c r="D9">
        <v>1.0668</v>
      </c>
      <c r="E9">
        <f t="shared" si="8"/>
        <v>1066.8</v>
      </c>
      <c r="I9">
        <v>100</v>
      </c>
      <c r="AI9">
        <v>0.65</v>
      </c>
      <c r="AV9">
        <f t="shared" si="0"/>
        <v>-3.8540037440000008</v>
      </c>
      <c r="AW9">
        <f t="shared" si="1"/>
        <v>0.423146776</v>
      </c>
      <c r="BT9">
        <f t="shared" si="2"/>
        <v>0</v>
      </c>
      <c r="BZ9">
        <f t="shared" si="3"/>
        <v>3.4479699999999998</v>
      </c>
      <c r="CA9">
        <f t="shared" si="4"/>
        <v>0.99282210341376143</v>
      </c>
      <c r="CE9">
        <f t="shared" si="5"/>
        <v>2.8131503349727711</v>
      </c>
      <c r="CM9">
        <f t="shared" si="6"/>
        <v>2.6481667698509677</v>
      </c>
      <c r="CN9">
        <f t="shared" si="9"/>
        <v>14.128114804444175</v>
      </c>
      <c r="CO9" s="13">
        <f t="shared" si="10"/>
        <v>14.128114804444175</v>
      </c>
      <c r="CP9" s="13">
        <f t="shared" si="11"/>
        <v>1.0000000000000001E-5</v>
      </c>
      <c r="CQ9">
        <v>0.57099999999999995</v>
      </c>
      <c r="CR9">
        <f t="shared" si="12"/>
        <v>0.57099999999999995</v>
      </c>
      <c r="CS9">
        <f t="shared" si="13"/>
        <v>0.01</v>
      </c>
      <c r="CT9">
        <v>0.3</v>
      </c>
      <c r="CU9">
        <v>0.3</v>
      </c>
      <c r="CV9">
        <v>0.3</v>
      </c>
    </row>
    <row r="10" spans="1:100" x14ac:dyDescent="0.25">
      <c r="A10">
        <v>9</v>
      </c>
      <c r="B10">
        <v>165</v>
      </c>
      <c r="C10" t="str">
        <f t="shared" si="7"/>
        <v>SSComp</v>
      </c>
      <c r="D10">
        <v>0.60960000000000003</v>
      </c>
      <c r="E10">
        <f t="shared" si="8"/>
        <v>609.6</v>
      </c>
      <c r="I10">
        <v>150</v>
      </c>
      <c r="AI10">
        <v>0.54</v>
      </c>
      <c r="AV10">
        <f t="shared" si="0"/>
        <v>-3.5047235680000006</v>
      </c>
      <c r="AW10">
        <f t="shared" si="1"/>
        <v>0.57156387200000003</v>
      </c>
      <c r="BT10">
        <f t="shared" si="2"/>
        <v>0</v>
      </c>
      <c r="BZ10">
        <f t="shared" si="3"/>
        <v>2.9014699999999998</v>
      </c>
      <c r="CA10">
        <f t="shared" si="4"/>
        <v>0.99554275197613074</v>
      </c>
      <c r="CE10">
        <f t="shared" si="5"/>
        <v>3.0520699039355779</v>
      </c>
      <c r="CM10">
        <f t="shared" si="6"/>
        <v>1.3398579816737923</v>
      </c>
      <c r="CN10">
        <f t="shared" si="9"/>
        <v>3.8185011697117019</v>
      </c>
      <c r="CO10" s="13">
        <f t="shared" si="10"/>
        <v>3.8185011697117019</v>
      </c>
      <c r="CP10" s="13">
        <f t="shared" si="11"/>
        <v>1.0000000000000001E-5</v>
      </c>
      <c r="CQ10">
        <v>0.57099999999999995</v>
      </c>
      <c r="CR10">
        <f t="shared" si="12"/>
        <v>0.57099999999999995</v>
      </c>
      <c r="CS10">
        <f t="shared" si="13"/>
        <v>0.01</v>
      </c>
      <c r="CT10">
        <v>0.3</v>
      </c>
      <c r="CU10">
        <v>0.3</v>
      </c>
      <c r="CV10">
        <v>0.3</v>
      </c>
    </row>
    <row r="11" spans="1:100" x14ac:dyDescent="0.25">
      <c r="A11">
        <v>10</v>
      </c>
      <c r="B11">
        <v>105</v>
      </c>
      <c r="C11" t="str">
        <f t="shared" si="7"/>
        <v>SSComp</v>
      </c>
      <c r="D11">
        <v>0.60960000000000003</v>
      </c>
      <c r="E11">
        <f t="shared" si="8"/>
        <v>609.6</v>
      </c>
      <c r="I11">
        <v>200</v>
      </c>
      <c r="AI11">
        <v>0.5</v>
      </c>
      <c r="AV11">
        <f t="shared" si="0"/>
        <v>-2.0179735680000004</v>
      </c>
      <c r="AW11">
        <f t="shared" si="1"/>
        <v>0.62956387200000008</v>
      </c>
      <c r="BT11">
        <f t="shared" si="2"/>
        <v>-15</v>
      </c>
      <c r="BZ11">
        <f t="shared" si="3"/>
        <v>2.3549699999999998</v>
      </c>
      <c r="CA11">
        <f t="shared" si="4"/>
        <v>0.56256614200607868</v>
      </c>
      <c r="CE11">
        <f t="shared" si="5"/>
        <v>0.63657959947907028</v>
      </c>
      <c r="CM11">
        <f t="shared" si="6"/>
        <v>-2.9888562101621514</v>
      </c>
      <c r="CN11">
        <f t="shared" si="9"/>
        <v>5.034498788963291E-2</v>
      </c>
      <c r="CO11" s="13">
        <f t="shared" si="10"/>
        <v>5.034498788963291E-2</v>
      </c>
      <c r="CP11" s="13">
        <f t="shared" si="11"/>
        <v>1.0000000000000001E-5</v>
      </c>
      <c r="CQ11">
        <v>0.57099999999999995</v>
      </c>
      <c r="CR11">
        <f t="shared" si="12"/>
        <v>0.57099999999999995</v>
      </c>
      <c r="CS11">
        <f t="shared" si="13"/>
        <v>0.01</v>
      </c>
      <c r="CT11">
        <v>0.3</v>
      </c>
      <c r="CU11">
        <v>0.3</v>
      </c>
      <c r="CV11">
        <v>0.3</v>
      </c>
    </row>
    <row r="12" spans="1:100" x14ac:dyDescent="0.25">
      <c r="A12">
        <v>11</v>
      </c>
      <c r="B12">
        <v>145</v>
      </c>
      <c r="C12" t="str">
        <f t="shared" si="7"/>
        <v>SSComp</v>
      </c>
      <c r="D12">
        <v>0.20319999999999999</v>
      </c>
      <c r="E12">
        <f t="shared" si="8"/>
        <v>203.2</v>
      </c>
      <c r="I12">
        <v>15</v>
      </c>
      <c r="AI12">
        <v>0.7</v>
      </c>
      <c r="AV12">
        <f t="shared" si="0"/>
        <v>-6.0671578560000006</v>
      </c>
      <c r="AW12">
        <f t="shared" si="1"/>
        <v>0.34998462400000002</v>
      </c>
      <c r="BT12">
        <f t="shared" si="2"/>
        <v>0</v>
      </c>
      <c r="BZ12">
        <f t="shared" si="3"/>
        <v>4.3770199999999999</v>
      </c>
      <c r="CA12">
        <f t="shared" si="4"/>
        <v>1.3046508611021352</v>
      </c>
      <c r="CE12">
        <f t="shared" si="5"/>
        <v>5</v>
      </c>
      <c r="CM12">
        <f t="shared" si="6"/>
        <v>10.286341905123237</v>
      </c>
      <c r="CN12">
        <f t="shared" si="9"/>
        <v>100</v>
      </c>
      <c r="CO12" s="13">
        <f t="shared" si="10"/>
        <v>100</v>
      </c>
      <c r="CP12" s="13">
        <f t="shared" si="11"/>
        <v>1.0000000000000001E-5</v>
      </c>
      <c r="CQ12">
        <v>0.57099999999999995</v>
      </c>
      <c r="CR12">
        <f t="shared" si="12"/>
        <v>0.57099999999999995</v>
      </c>
      <c r="CS12">
        <f t="shared" si="13"/>
        <v>0.01</v>
      </c>
      <c r="CT12">
        <v>0.3</v>
      </c>
      <c r="CU12">
        <v>0.3</v>
      </c>
      <c r="CV12">
        <v>0.3</v>
      </c>
    </row>
    <row r="13" spans="1:100" x14ac:dyDescent="0.25">
      <c r="A13">
        <v>12</v>
      </c>
      <c r="B13">
        <v>165</v>
      </c>
      <c r="C13" t="str">
        <f t="shared" si="7"/>
        <v>SSComp</v>
      </c>
      <c r="D13">
        <v>0.30480000000000002</v>
      </c>
      <c r="E13">
        <f t="shared" si="8"/>
        <v>304.8</v>
      </c>
      <c r="I13">
        <v>30</v>
      </c>
      <c r="AI13">
        <v>0.6</v>
      </c>
      <c r="AV13">
        <f t="shared" si="0"/>
        <v>-5.7267367840000007</v>
      </c>
      <c r="AW13">
        <f t="shared" si="1"/>
        <v>0.36844193599999997</v>
      </c>
      <c r="BT13">
        <f t="shared" si="2"/>
        <v>0</v>
      </c>
      <c r="BZ13">
        <f t="shared" si="3"/>
        <v>4.2130700000000001</v>
      </c>
      <c r="CA13">
        <f t="shared" si="4"/>
        <v>1.2380309750927494</v>
      </c>
      <c r="CE13">
        <f t="shared" si="5"/>
        <v>5</v>
      </c>
      <c r="CM13">
        <f t="shared" si="6"/>
        <v>9.570659339929211</v>
      </c>
      <c r="CN13">
        <f t="shared" si="9"/>
        <v>100</v>
      </c>
      <c r="CO13" s="13">
        <f t="shared" si="10"/>
        <v>100</v>
      </c>
      <c r="CP13" s="13">
        <f t="shared" si="11"/>
        <v>1.0000000000000001E-5</v>
      </c>
      <c r="CQ13">
        <v>0.57099999999999995</v>
      </c>
      <c r="CR13">
        <f t="shared" si="12"/>
        <v>0.57099999999999995</v>
      </c>
      <c r="CS13">
        <f t="shared" si="13"/>
        <v>0.01</v>
      </c>
      <c r="CT13">
        <v>0.3</v>
      </c>
      <c r="CU13">
        <v>0.3</v>
      </c>
      <c r="CV13">
        <v>0.3</v>
      </c>
    </row>
    <row r="14" spans="1:100" x14ac:dyDescent="0.25">
      <c r="A14">
        <v>13</v>
      </c>
      <c r="B14">
        <v>105</v>
      </c>
      <c r="C14" t="str">
        <f t="shared" si="7"/>
        <v>SSComp</v>
      </c>
      <c r="D14">
        <v>0.40639999999999998</v>
      </c>
      <c r="E14">
        <f t="shared" si="8"/>
        <v>406.4</v>
      </c>
      <c r="I14">
        <v>50</v>
      </c>
      <c r="AI14">
        <v>0.5</v>
      </c>
      <c r="AV14">
        <f t="shared" si="0"/>
        <v>-4.6200157119999998</v>
      </c>
      <c r="AW14">
        <f t="shared" si="1"/>
        <v>0.35624924800000002</v>
      </c>
      <c r="BT14">
        <f t="shared" si="2"/>
        <v>-15</v>
      </c>
      <c r="BZ14">
        <f t="shared" si="3"/>
        <v>3.9944699999999997</v>
      </c>
      <c r="CA14">
        <f t="shared" si="4"/>
        <v>0.98307623575594627</v>
      </c>
      <c r="CE14">
        <f t="shared" si="5"/>
        <v>2.3818428849754718</v>
      </c>
      <c r="CM14">
        <f t="shared" si="6"/>
        <v>2.6858888779337766</v>
      </c>
      <c r="CN14">
        <f t="shared" si="9"/>
        <v>14.671236524486245</v>
      </c>
      <c r="CO14" s="13">
        <f t="shared" si="10"/>
        <v>14.671236524486245</v>
      </c>
      <c r="CP14" s="13">
        <f t="shared" si="11"/>
        <v>1.0000000000000001E-5</v>
      </c>
      <c r="CQ14">
        <v>0.57099999999999995</v>
      </c>
      <c r="CR14">
        <f t="shared" si="12"/>
        <v>0.57099999999999995</v>
      </c>
      <c r="CS14">
        <f t="shared" si="13"/>
        <v>0.01</v>
      </c>
      <c r="CT14">
        <v>0.3</v>
      </c>
      <c r="CU14">
        <v>0.3</v>
      </c>
      <c r="CV14">
        <v>0.3</v>
      </c>
    </row>
    <row r="15" spans="1:100" x14ac:dyDescent="0.25">
      <c r="A15">
        <v>14</v>
      </c>
      <c r="B15">
        <v>145</v>
      </c>
      <c r="C15" t="str">
        <f t="shared" si="7"/>
        <v>SSComp</v>
      </c>
      <c r="D15">
        <v>0.50800000000000001</v>
      </c>
      <c r="E15">
        <f t="shared" si="8"/>
        <v>508</v>
      </c>
      <c r="I15">
        <v>100</v>
      </c>
      <c r="AI15">
        <v>0.2</v>
      </c>
      <c r="AV15">
        <f t="shared" si="0"/>
        <v>-4.4054946400000006</v>
      </c>
      <c r="AW15">
        <f t="shared" si="1"/>
        <v>0.48415656000000001</v>
      </c>
      <c r="BT15">
        <f t="shared" si="2"/>
        <v>0</v>
      </c>
      <c r="BZ15">
        <f t="shared" si="3"/>
        <v>3.4479699999999998</v>
      </c>
      <c r="CA15">
        <f t="shared" si="4"/>
        <v>0.81092838034144732</v>
      </c>
      <c r="CE15">
        <f t="shared" si="5"/>
        <v>1.129734513403053</v>
      </c>
      <c r="CM15">
        <f t="shared" si="6"/>
        <v>-1.6665925720327883</v>
      </c>
      <c r="CN15">
        <f t="shared" si="9"/>
        <v>0.18888959802468036</v>
      </c>
      <c r="CO15" s="13">
        <f t="shared" si="10"/>
        <v>0.18888959802468036</v>
      </c>
      <c r="CP15" s="13">
        <f t="shared" si="11"/>
        <v>1.0000000000000001E-5</v>
      </c>
      <c r="CQ15">
        <v>0.57099999999999995</v>
      </c>
      <c r="CR15">
        <f t="shared" si="12"/>
        <v>0.57099999999999995</v>
      </c>
      <c r="CS15">
        <f t="shared" si="13"/>
        <v>0.01</v>
      </c>
      <c r="CT15">
        <v>0.3</v>
      </c>
      <c r="CU15">
        <v>0.3</v>
      </c>
      <c r="CV15">
        <v>0.3</v>
      </c>
    </row>
    <row r="16" spans="1:100" x14ac:dyDescent="0.25">
      <c r="A16">
        <v>15</v>
      </c>
      <c r="B16">
        <v>165</v>
      </c>
      <c r="C16" t="str">
        <f t="shared" si="7"/>
        <v>SSComp</v>
      </c>
      <c r="D16">
        <v>0.60960000000000003</v>
      </c>
      <c r="E16">
        <f t="shared" si="8"/>
        <v>609.6</v>
      </c>
      <c r="I16">
        <v>15</v>
      </c>
      <c r="AI16">
        <v>0.4</v>
      </c>
      <c r="AV16">
        <f t="shared" si="0"/>
        <v>-5.6660735680000007</v>
      </c>
      <c r="AW16">
        <f t="shared" si="1"/>
        <v>0.30561387200000001</v>
      </c>
      <c r="BT16">
        <f t="shared" si="2"/>
        <v>0</v>
      </c>
      <c r="BZ16">
        <f t="shared" si="3"/>
        <v>4.3770199999999999</v>
      </c>
      <c r="CA16">
        <f t="shared" si="4"/>
        <v>1.0851636127150084</v>
      </c>
      <c r="CE16">
        <f t="shared" si="5"/>
        <v>5</v>
      </c>
      <c r="CM16">
        <f t="shared" si="6"/>
        <v>12.360513897091685</v>
      </c>
      <c r="CN16">
        <f t="shared" si="9"/>
        <v>100</v>
      </c>
      <c r="CO16" s="13">
        <f t="shared" si="10"/>
        <v>100</v>
      </c>
      <c r="CP16" s="13">
        <f t="shared" si="11"/>
        <v>1.0000000000000001E-5</v>
      </c>
      <c r="CQ16">
        <v>0.57099999999999995</v>
      </c>
      <c r="CR16">
        <f t="shared" si="12"/>
        <v>0.57099999999999995</v>
      </c>
      <c r="CS16">
        <f t="shared" si="13"/>
        <v>0.01</v>
      </c>
      <c r="CT16">
        <v>0.3</v>
      </c>
      <c r="CU16">
        <v>0.3</v>
      </c>
      <c r="CV16">
        <v>0.3</v>
      </c>
    </row>
    <row r="17" spans="1:100" x14ac:dyDescent="0.25">
      <c r="A17">
        <v>16</v>
      </c>
      <c r="B17">
        <v>105</v>
      </c>
      <c r="C17" t="str">
        <f t="shared" si="7"/>
        <v>SSComp</v>
      </c>
      <c r="D17">
        <v>0.76200000000000001</v>
      </c>
      <c r="E17">
        <f t="shared" si="8"/>
        <v>762</v>
      </c>
      <c r="I17">
        <v>30</v>
      </c>
      <c r="AI17">
        <v>0.3</v>
      </c>
      <c r="AV17">
        <f t="shared" si="0"/>
        <v>-4.5892669600000007</v>
      </c>
      <c r="AW17">
        <f t="shared" si="1"/>
        <v>0.27802484</v>
      </c>
      <c r="BT17">
        <f t="shared" si="2"/>
        <v>-15</v>
      </c>
      <c r="BZ17">
        <f t="shared" si="3"/>
        <v>4.2130700000000001</v>
      </c>
      <c r="CA17">
        <f t="shared" si="4"/>
        <v>0.80352193428404106</v>
      </c>
      <c r="CE17">
        <f t="shared" si="5"/>
        <v>1.1084729310554529</v>
      </c>
      <c r="CM17">
        <f t="shared" si="6"/>
        <v>-1.3043542960215593E-2</v>
      </c>
      <c r="CN17">
        <f t="shared" si="9"/>
        <v>0.98704115539080384</v>
      </c>
      <c r="CO17" s="13">
        <f t="shared" si="10"/>
        <v>0.98704115539080384</v>
      </c>
      <c r="CP17" s="13">
        <f t="shared" si="11"/>
        <v>1.0000000000000001E-5</v>
      </c>
      <c r="CQ17">
        <v>0.57099999999999995</v>
      </c>
      <c r="CR17">
        <f t="shared" si="12"/>
        <v>0.57099999999999995</v>
      </c>
      <c r="CS17">
        <f t="shared" si="13"/>
        <v>0.01</v>
      </c>
      <c r="CT17">
        <v>0.3</v>
      </c>
      <c r="CU17">
        <v>0.3</v>
      </c>
      <c r="CV17">
        <v>0.3</v>
      </c>
    </row>
    <row r="18" spans="1:100" x14ac:dyDescent="0.25">
      <c r="A18">
        <v>17</v>
      </c>
      <c r="B18">
        <v>145</v>
      </c>
      <c r="C18" t="str">
        <f t="shared" si="7"/>
        <v>SSComp</v>
      </c>
      <c r="D18">
        <v>0.86360000000000003</v>
      </c>
      <c r="E18">
        <f t="shared" si="8"/>
        <v>863.6</v>
      </c>
      <c r="I18">
        <v>50</v>
      </c>
      <c r="AI18">
        <v>0.5</v>
      </c>
      <c r="AV18">
        <f t="shared" si="0"/>
        <v>-4.8550458880000011</v>
      </c>
      <c r="AW18">
        <f t="shared" si="1"/>
        <v>0.34683215199999995</v>
      </c>
      <c r="BT18">
        <f t="shared" si="2"/>
        <v>0</v>
      </c>
      <c r="BZ18">
        <f t="shared" si="3"/>
        <v>3.9944699999999997</v>
      </c>
      <c r="CA18">
        <f t="shared" si="4"/>
        <v>1.0419151245196625</v>
      </c>
      <c r="CE18">
        <f t="shared" si="5"/>
        <v>5</v>
      </c>
      <c r="CM18">
        <f t="shared" si="6"/>
        <v>10.416195185964192</v>
      </c>
      <c r="CN18">
        <f t="shared" si="9"/>
        <v>100</v>
      </c>
      <c r="CO18" s="13">
        <f t="shared" si="10"/>
        <v>100</v>
      </c>
      <c r="CP18" s="13">
        <f t="shared" si="11"/>
        <v>1.0000000000000001E-5</v>
      </c>
      <c r="CQ18">
        <v>0.57099999999999995</v>
      </c>
      <c r="CR18">
        <f t="shared" si="12"/>
        <v>0.57099999999999995</v>
      </c>
      <c r="CS18">
        <f t="shared" si="13"/>
        <v>0.01</v>
      </c>
      <c r="CT18">
        <v>0.3</v>
      </c>
      <c r="CU18">
        <v>0.3</v>
      </c>
      <c r="CV18">
        <v>0.3</v>
      </c>
    </row>
    <row r="19" spans="1:100" x14ac:dyDescent="0.25">
      <c r="A19">
        <v>18</v>
      </c>
      <c r="B19">
        <v>165</v>
      </c>
      <c r="C19" t="str">
        <f t="shared" si="7"/>
        <v>SSComp</v>
      </c>
      <c r="D19">
        <v>1.0668</v>
      </c>
      <c r="E19">
        <f t="shared" si="8"/>
        <v>1066.8</v>
      </c>
      <c r="I19">
        <v>100</v>
      </c>
      <c r="AI19">
        <v>0.7</v>
      </c>
      <c r="AV19">
        <f t="shared" si="0"/>
        <v>-3.8540037440000008</v>
      </c>
      <c r="AW19">
        <f t="shared" si="1"/>
        <v>0.423146776</v>
      </c>
      <c r="BT19">
        <f t="shared" si="2"/>
        <v>0</v>
      </c>
      <c r="BZ19">
        <f t="shared" si="3"/>
        <v>3.4479699999999998</v>
      </c>
      <c r="CA19">
        <f t="shared" si="4"/>
        <v>1.0143153217868104</v>
      </c>
      <c r="CE19">
        <f t="shared" si="5"/>
        <v>5</v>
      </c>
      <c r="CM19">
        <f t="shared" si="6"/>
        <v>7.8162308768246405</v>
      </c>
      <c r="CN19">
        <f t="shared" si="9"/>
        <v>100</v>
      </c>
      <c r="CO19" s="13">
        <f t="shared" si="10"/>
        <v>100</v>
      </c>
      <c r="CP19" s="13">
        <f t="shared" si="11"/>
        <v>1.0000000000000001E-5</v>
      </c>
      <c r="CQ19">
        <v>0.57099999999999995</v>
      </c>
      <c r="CR19">
        <f t="shared" si="12"/>
        <v>0.57099999999999995</v>
      </c>
      <c r="CS19">
        <f t="shared" si="13"/>
        <v>0.01</v>
      </c>
      <c r="CT19">
        <v>0.3</v>
      </c>
      <c r="CU19">
        <v>0.3</v>
      </c>
      <c r="CV19">
        <v>0.3</v>
      </c>
    </row>
    <row r="20" spans="1:100" x14ac:dyDescent="0.25">
      <c r="A20">
        <v>19</v>
      </c>
      <c r="B20">
        <v>115</v>
      </c>
      <c r="C20" t="str">
        <f t="shared" si="7"/>
        <v>SSComp</v>
      </c>
      <c r="D20">
        <v>0.60960000000000003</v>
      </c>
      <c r="E20">
        <f t="shared" si="8"/>
        <v>609.6</v>
      </c>
      <c r="I20">
        <v>150</v>
      </c>
      <c r="AI20">
        <v>0.6</v>
      </c>
      <c r="AV20">
        <f t="shared" si="0"/>
        <v>-3.2759735680000004</v>
      </c>
      <c r="AW20">
        <f t="shared" si="1"/>
        <v>0.55806387200000007</v>
      </c>
      <c r="BT20">
        <f t="shared" si="2"/>
        <v>-5</v>
      </c>
      <c r="BZ20">
        <f t="shared" si="3"/>
        <v>2.9014699999999998</v>
      </c>
      <c r="CA20">
        <f t="shared" si="4"/>
        <v>0.95301621048434415</v>
      </c>
      <c r="CE20">
        <f t="shared" si="5"/>
        <v>1.8636637964233149</v>
      </c>
      <c r="CM20">
        <f t="shared" si="6"/>
        <v>-0.66048298424285967</v>
      </c>
      <c r="CN20">
        <f t="shared" si="9"/>
        <v>0.51660176371546651</v>
      </c>
      <c r="CO20" s="13">
        <f t="shared" si="10"/>
        <v>0.51660176371546651</v>
      </c>
      <c r="CP20" s="13">
        <f t="shared" si="11"/>
        <v>1.0000000000000001E-5</v>
      </c>
      <c r="CQ20">
        <v>0.57099999999999995</v>
      </c>
      <c r="CR20">
        <f t="shared" si="12"/>
        <v>0.57099999999999995</v>
      </c>
      <c r="CS20">
        <f t="shared" si="13"/>
        <v>0.01</v>
      </c>
      <c r="CT20">
        <v>0.3</v>
      </c>
      <c r="CU20">
        <v>0.3</v>
      </c>
      <c r="CV20">
        <v>0.3</v>
      </c>
    </row>
    <row r="21" spans="1:100" x14ac:dyDescent="0.25">
      <c r="A21">
        <v>20</v>
      </c>
      <c r="B21">
        <v>135</v>
      </c>
      <c r="C21" t="str">
        <f t="shared" si="7"/>
        <v>SSComp</v>
      </c>
      <c r="D21">
        <v>0.60960000000000003</v>
      </c>
      <c r="E21">
        <f t="shared" si="8"/>
        <v>609.6</v>
      </c>
      <c r="I21">
        <v>200</v>
      </c>
      <c r="AI21">
        <v>1.5</v>
      </c>
      <c r="AV21">
        <f t="shared" si="0"/>
        <v>-2.7042235680000006</v>
      </c>
      <c r="AW21">
        <f t="shared" si="1"/>
        <v>0.67006387200000006</v>
      </c>
      <c r="BT21">
        <f t="shared" si="2"/>
        <v>0</v>
      </c>
      <c r="BZ21">
        <f t="shared" si="3"/>
        <v>2.3549699999999998</v>
      </c>
      <c r="CA21">
        <f t="shared" si="4"/>
        <v>1.3204791042383408</v>
      </c>
      <c r="CE21">
        <f t="shared" si="5"/>
        <v>5</v>
      </c>
      <c r="CM21">
        <f t="shared" si="6"/>
        <v>3.4619752070441425</v>
      </c>
      <c r="CN21">
        <f t="shared" si="9"/>
        <v>31.879883737745445</v>
      </c>
      <c r="CO21" s="13">
        <f t="shared" si="10"/>
        <v>31.879883737745445</v>
      </c>
      <c r="CP21" s="13">
        <f t="shared" si="11"/>
        <v>1.0000000000000001E-5</v>
      </c>
      <c r="CQ21">
        <v>0.57099999999999995</v>
      </c>
      <c r="CR21">
        <f t="shared" si="12"/>
        <v>0.57099999999999995</v>
      </c>
      <c r="CS21">
        <f t="shared" si="13"/>
        <v>0.01</v>
      </c>
      <c r="CT21">
        <v>0.3</v>
      </c>
      <c r="CU21">
        <v>0.3</v>
      </c>
      <c r="CV21">
        <v>0.3</v>
      </c>
    </row>
    <row r="22" spans="1:100" x14ac:dyDescent="0.25">
      <c r="A22">
        <v>21</v>
      </c>
      <c r="B22">
        <v>15</v>
      </c>
      <c r="C22" t="str">
        <f>IF(AND(B22&gt;=0,B22&lt;=10),"Normal",IF(AND(B22&gt;10,B22&lt;90),"SSTens",IF(AND(B22&gt;=90,B22&lt;170),"SSComp",IF(AND(B22&gt;=170,B22&lt;=180),"Reverse"))))</f>
        <v>SSTens</v>
      </c>
      <c r="D22">
        <v>0.20319999999999999</v>
      </c>
      <c r="E22">
        <f t="shared" ref="E22:E41" si="14">D22*1000</f>
        <v>203.2</v>
      </c>
      <c r="F22">
        <v>5.5599999999999998E-3</v>
      </c>
      <c r="G22">
        <f t="shared" ref="G22:G41" si="15">F22*1000</f>
        <v>5.56</v>
      </c>
      <c r="H22">
        <f t="shared" ref="H22:H41" si="16">D22/F22</f>
        <v>36.546762589928058</v>
      </c>
      <c r="I22">
        <v>15</v>
      </c>
      <c r="J22" t="s">
        <v>70</v>
      </c>
      <c r="K22">
        <f>IF(J22="Grade-B",3,IF(J22="X-42",3,IF(J22="X-52",8,IF(J22="X-60",8,IF(J22="X-70",14,IF(J22="X-80",15,8))))))</f>
        <v>8</v>
      </c>
      <c r="L22">
        <f>IF(J22="Grade-B",8,IF(J22="X-42",9,IF(J22="X-52",10,IF(J22="X-60",12,IF(J22="X-70",15,IF(J22="X-80",20,10))))))</f>
        <v>10</v>
      </c>
      <c r="M22">
        <f>IF(J22="Grade-B",241,IF(J22="X-42",290,IF(J22="X-52",359,IF(J22="X-60",414,IF(J22="X-70",483,IF(J22="X-80",552,359))))))*1000</f>
        <v>359000</v>
      </c>
      <c r="N22">
        <f>IF(J22="Grade-B",344,IF(J22="X-42",414,IF(J22="X-52",455,IF(J22="X-60",517,IF(J22="X-70",565,IF(J22="X-80",625,M22*1.2/1000))))))*1000</f>
        <v>455000</v>
      </c>
      <c r="O22">
        <f>N22/200000000*(1+K22/(1+L22)*(N22/M22)^L22)*100</f>
        <v>1.9969902892117808</v>
      </c>
      <c r="S22" t="s">
        <v>78</v>
      </c>
      <c r="T22" t="s">
        <v>79</v>
      </c>
      <c r="U22">
        <f>IF(T22="medium dense",18,IF(T22="dense",18.5,IF(T22="very dense",19,IF(T22="soft",17.5,IF(T22="medium stiff",18,IF(T22="stiff",18.5,0))))))</f>
        <v>18</v>
      </c>
      <c r="V22">
        <f>IF(T22="medium dense",37,IF(T22="dense",40,IF(T22="very dense",43,0)))</f>
        <v>37</v>
      </c>
      <c r="W22">
        <f>IF(T22="soft",37.5,IF(T22="medium stiff",75,IF(T22="stiff",125,0)))</f>
        <v>0</v>
      </c>
      <c r="X22">
        <f>IF(T22="soft",1.1,IF(T22="medium stiff",0.72,IF(T22="stiff",0.4,0)))</f>
        <v>0</v>
      </c>
      <c r="Y22">
        <v>0.9</v>
      </c>
      <c r="Z22">
        <v>1</v>
      </c>
      <c r="AB22">
        <f t="shared" ref="AB22:AB41" si="17">IF(S22="clay",X22*W22,IF(S22="sand",Z22*U22*TAN(RADIANS(Y22*V22))))*PI()*D22</f>
        <v>7.5479720641402661</v>
      </c>
      <c r="AI22">
        <v>0.75</v>
      </c>
      <c r="AK22">
        <f t="shared" ref="AK22:AK41" si="18">0.00081*AB22+0.00314*LN(O22)</f>
        <v>8.2856107139974745E-3</v>
      </c>
      <c r="AQ22">
        <f t="shared" ref="AQ22:AQ41" si="19">-0.15507+AK22*LN(H22)+0.05203*LN(I22)</f>
        <v>1.5646389426880153E-2</v>
      </c>
      <c r="AR22">
        <f t="shared" ref="AR22:AR41" si="20">IF(I22&lt;15,AQ22+0.75,IF(I22&gt;50,AQ22+1.5,AQ22+1))</f>
        <v>1.0156463894268801</v>
      </c>
      <c r="AV22">
        <v>-2.307229</v>
      </c>
      <c r="AW22">
        <v>0.5852366</v>
      </c>
      <c r="AX22">
        <v>0.201322</v>
      </c>
      <c r="BJ22">
        <v>1.4274935</v>
      </c>
      <c r="BK22">
        <v>-7.1050000000000002E-3</v>
      </c>
      <c r="BL22">
        <v>5.1415999999999996E-3</v>
      </c>
      <c r="BM22">
        <v>-1.4290590000000001</v>
      </c>
      <c r="BN22">
        <v>4.9200300000000002E-2</v>
      </c>
      <c r="BO22">
        <v>0.14513599999999999</v>
      </c>
      <c r="BP22">
        <v>2.0170299999999999E-2</v>
      </c>
      <c r="BQ22">
        <v>-1.032025</v>
      </c>
      <c r="BR22">
        <f t="shared" ref="BR22:BR41" si="21">BU22*(LN(AI22)-AQ22)*(BJ22+BK22*AB22+BL22*H22)</f>
        <v>-0.47373050310383741</v>
      </c>
      <c r="BS22">
        <f t="shared" ref="BS22:BS41" si="22">BV22*(LN(AI22)-AR22)*(BM22+BN22*AB22+BO22*I22+BP22*H22+BQ22*LN(O22))</f>
        <v>0</v>
      </c>
      <c r="BU22">
        <f t="shared" ref="BU22:BU41" si="23">IF(AI22&lt;EXP(AQ22),1,0)</f>
        <v>1</v>
      </c>
      <c r="BV22">
        <f t="shared" ref="BV22:BV41" si="24">IF(AI22&gt;EXP(AR22),1,0)</f>
        <v>0</v>
      </c>
      <c r="BW22">
        <f t="shared" ref="BW22:BW41" si="25">IF(S22="sand",1,0)</f>
        <v>1</v>
      </c>
      <c r="BZ22">
        <f t="shared" ref="BZ22:BZ41" si="26">BR22+BS22</f>
        <v>-0.47373050310383741</v>
      </c>
      <c r="CM22">
        <f t="shared" ref="CM22:CM41" si="27">AV22+BZ22*AI22+AW22*LN(H22)+BW22*AX22*LN(AB22)</f>
        <v>-0.14957085894174343</v>
      </c>
      <c r="CN22">
        <f>MIN(EXP(CM22),40)</f>
        <v>0.86107742082312089</v>
      </c>
      <c r="CO22" s="13">
        <f t="shared" si="10"/>
        <v>1.0000000000000001E-5</v>
      </c>
      <c r="CP22" s="13">
        <f t="shared" si="11"/>
        <v>0.86107742082312089</v>
      </c>
      <c r="CQ22">
        <v>0.72299999999999998</v>
      </c>
      <c r="CR22">
        <f t="shared" si="12"/>
        <v>0.01</v>
      </c>
      <c r="CS22">
        <f t="shared" si="13"/>
        <v>0.72299999999999998</v>
      </c>
      <c r="CT22">
        <v>0.3</v>
      </c>
      <c r="CU22">
        <v>0.3</v>
      </c>
      <c r="CV22">
        <v>0.3</v>
      </c>
    </row>
    <row r="23" spans="1:100" x14ac:dyDescent="0.25">
      <c r="A23">
        <v>22</v>
      </c>
      <c r="B23">
        <v>15</v>
      </c>
      <c r="C23" t="str">
        <f t="shared" ref="C23:C41" si="28">IF(AND(B23&gt;=0,B23&lt;=10),"Normal",IF(AND(B23&gt;10,B23&lt;90),"SSTens",IF(AND(B23&gt;=90,B23&lt;170),"SSComp",IF(AND(B23&gt;=170,B23&lt;=180),"Reverse"))))</f>
        <v>SSTens</v>
      </c>
      <c r="D23">
        <v>0.30480000000000002</v>
      </c>
      <c r="E23">
        <f t="shared" si="14"/>
        <v>304.8</v>
      </c>
      <c r="F23">
        <v>7.1399999999999996E-3</v>
      </c>
      <c r="G23">
        <f t="shared" si="15"/>
        <v>7.14</v>
      </c>
      <c r="H23">
        <f t="shared" si="16"/>
        <v>42.689075630252105</v>
      </c>
      <c r="I23">
        <v>30</v>
      </c>
      <c r="J23" t="s">
        <v>73</v>
      </c>
      <c r="K23">
        <f t="shared" ref="K23:K41" si="29">IF(J23="Grade-B",3,IF(J23="X-42",3,IF(J23="X-52",8,IF(J23="X-60",8,IF(J23="X-70",14,IF(J23="X-80",15,8))))))</f>
        <v>8</v>
      </c>
      <c r="L23">
        <f t="shared" ref="L23:L41" si="30">IF(J23="Grade-B",8,IF(J23="X-42",9,IF(J23="X-52",10,IF(J23="X-60",12,IF(J23="X-70",15,IF(J23="X-80",20,10))))))</f>
        <v>12</v>
      </c>
      <c r="M23">
        <f t="shared" ref="M23:M41" si="31">IF(J23="Grade-B",241,IF(J23="X-42",290,IF(J23="X-52",359,IF(J23="X-60",414,IF(J23="X-70",483,IF(J23="X-80",552,359))))))*1000</f>
        <v>414000</v>
      </c>
      <c r="N23">
        <f t="shared" ref="N23:N41" si="32">IF(J23="Grade-B",344,IF(J23="X-42",414,IF(J23="X-52",455,IF(J23="X-60",517,IF(J23="X-70",565,IF(J23="X-80",625,M23*1.2/1000))))))*1000</f>
        <v>517000</v>
      </c>
      <c r="O23">
        <f t="shared" ref="O23:O41" si="33">N23/200000000*(1+K23/(1+L23)*(N23/M23)^L23)*100</f>
        <v>2.5466769467238102</v>
      </c>
      <c r="S23" t="s">
        <v>78</v>
      </c>
      <c r="T23" t="s">
        <v>79</v>
      </c>
      <c r="U23">
        <f t="shared" ref="U23:U41" si="34">IF(T23="medium dense",18,IF(T23="dense",18.5,IF(T23="very dense",19,IF(T23="soft",17.5,IF(T23="medium stiff",18,IF(T23="stiff",18.5,0))))))</f>
        <v>18</v>
      </c>
      <c r="V23">
        <f t="shared" ref="V23:V41" si="35">IF(T23="medium dense",37,IF(T23="dense",40,IF(T23="very dense",43,0)))</f>
        <v>37</v>
      </c>
      <c r="W23">
        <f t="shared" ref="W23:W41" si="36">IF(T23="soft",37.5,IF(T23="medium stiff",75,IF(T23="stiff",125,0)))</f>
        <v>0</v>
      </c>
      <c r="X23">
        <f t="shared" ref="X23:X41" si="37">IF(T23="soft",1.1,IF(T23="medium stiff",0.72,IF(T23="stiff",0.4,0)))</f>
        <v>0</v>
      </c>
      <c r="Y23">
        <v>0.9</v>
      </c>
      <c r="Z23">
        <v>2</v>
      </c>
      <c r="AB23">
        <f t="shared" si="17"/>
        <v>22.6439161924208</v>
      </c>
      <c r="AI23">
        <v>0.75</v>
      </c>
      <c r="AK23">
        <f t="shared" si="18"/>
        <v>2.1276810678546657E-2</v>
      </c>
      <c r="AQ23">
        <f t="shared" si="19"/>
        <v>0.10176623528675607</v>
      </c>
      <c r="AR23">
        <f t="shared" si="20"/>
        <v>1.1017662352867561</v>
      </c>
      <c r="AV23">
        <v>-2.307229</v>
      </c>
      <c r="AW23">
        <v>0.5852366</v>
      </c>
      <c r="AX23">
        <v>0.201322</v>
      </c>
      <c r="BJ23">
        <v>1.4274935</v>
      </c>
      <c r="BK23">
        <v>-7.1050000000000002E-3</v>
      </c>
      <c r="BL23">
        <v>5.1415999999999996E-3</v>
      </c>
      <c r="BM23">
        <v>-1.4290590000000001</v>
      </c>
      <c r="BN23">
        <v>4.9200300000000002E-2</v>
      </c>
      <c r="BO23">
        <v>0.14513599999999999</v>
      </c>
      <c r="BP23">
        <v>2.0170299999999999E-2</v>
      </c>
      <c r="BQ23">
        <v>-1.032025</v>
      </c>
      <c r="BR23">
        <f t="shared" si="21"/>
        <v>-0.57875859530607965</v>
      </c>
      <c r="BS23">
        <f t="shared" si="22"/>
        <v>0</v>
      </c>
      <c r="BU23">
        <f t="shared" si="23"/>
        <v>1</v>
      </c>
      <c r="BV23">
        <f t="shared" si="24"/>
        <v>0</v>
      </c>
      <c r="BW23">
        <f t="shared" si="25"/>
        <v>1</v>
      </c>
      <c r="BZ23">
        <f t="shared" si="26"/>
        <v>-0.57875859530607965</v>
      </c>
      <c r="CM23">
        <f t="shared" si="27"/>
        <v>8.374965841113402E-2</v>
      </c>
      <c r="CN23">
        <f t="shared" ref="CN23:CN41" si="38">MIN(EXP(CM23),40)</f>
        <v>1.0873566491419566</v>
      </c>
      <c r="CO23" s="13">
        <f t="shared" si="10"/>
        <v>1.0000000000000001E-5</v>
      </c>
      <c r="CP23" s="13">
        <f t="shared" si="11"/>
        <v>1.0873566491419566</v>
      </c>
      <c r="CQ23">
        <v>0.72299999999999998</v>
      </c>
      <c r="CR23">
        <f t="shared" si="12"/>
        <v>0.01</v>
      </c>
      <c r="CS23">
        <f t="shared" si="13"/>
        <v>0.72299999999999998</v>
      </c>
      <c r="CT23">
        <v>0.3</v>
      </c>
      <c r="CU23">
        <v>0.3</v>
      </c>
      <c r="CV23">
        <v>0.3</v>
      </c>
    </row>
    <row r="24" spans="1:100" x14ac:dyDescent="0.25">
      <c r="A24">
        <v>23</v>
      </c>
      <c r="B24">
        <v>15</v>
      </c>
      <c r="C24" t="str">
        <f t="shared" si="28"/>
        <v>SSTens</v>
      </c>
      <c r="D24">
        <v>0.40639999999999998</v>
      </c>
      <c r="E24">
        <f t="shared" si="14"/>
        <v>406.4</v>
      </c>
      <c r="F24">
        <v>9.5299999999999985E-3</v>
      </c>
      <c r="G24">
        <f t="shared" si="15"/>
        <v>9.5299999999999994</v>
      </c>
      <c r="H24">
        <f t="shared" si="16"/>
        <v>42.644281217208821</v>
      </c>
      <c r="I24">
        <v>50</v>
      </c>
      <c r="J24" t="s">
        <v>75</v>
      </c>
      <c r="K24">
        <f t="shared" si="29"/>
        <v>14</v>
      </c>
      <c r="L24">
        <f t="shared" si="30"/>
        <v>15</v>
      </c>
      <c r="M24">
        <f t="shared" si="31"/>
        <v>483000</v>
      </c>
      <c r="N24">
        <f t="shared" si="32"/>
        <v>565000</v>
      </c>
      <c r="O24">
        <f t="shared" si="33"/>
        <v>2.8799444073326219</v>
      </c>
      <c r="S24" t="s">
        <v>78</v>
      </c>
      <c r="T24" t="s">
        <v>79</v>
      </c>
      <c r="U24">
        <f t="shared" si="34"/>
        <v>18</v>
      </c>
      <c r="V24">
        <f t="shared" si="35"/>
        <v>37</v>
      </c>
      <c r="W24">
        <f t="shared" si="36"/>
        <v>0</v>
      </c>
      <c r="X24">
        <f t="shared" si="37"/>
        <v>0</v>
      </c>
      <c r="Y24">
        <v>0.9</v>
      </c>
      <c r="Z24">
        <v>1</v>
      </c>
      <c r="AB24">
        <f t="shared" si="17"/>
        <v>15.095944128280532</v>
      </c>
      <c r="AI24">
        <v>0.75</v>
      </c>
      <c r="AK24">
        <f t="shared" si="18"/>
        <v>1.5549115655496644E-2</v>
      </c>
      <c r="AQ24">
        <f t="shared" si="19"/>
        <v>0.10682672704917365</v>
      </c>
      <c r="AR24">
        <f t="shared" si="20"/>
        <v>1.1068267270491736</v>
      </c>
      <c r="AV24">
        <v>-2.307229</v>
      </c>
      <c r="AW24">
        <v>0.5852366</v>
      </c>
      <c r="AX24">
        <v>0.201322</v>
      </c>
      <c r="BJ24">
        <v>1.4274935</v>
      </c>
      <c r="BK24">
        <v>-7.1050000000000002E-3</v>
      </c>
      <c r="BL24">
        <v>5.1415999999999996E-3</v>
      </c>
      <c r="BM24">
        <v>-1.4290590000000001</v>
      </c>
      <c r="BN24">
        <v>4.9200300000000002E-2</v>
      </c>
      <c r="BO24">
        <v>0.14513599999999999</v>
      </c>
      <c r="BP24">
        <v>2.0170299999999999E-2</v>
      </c>
      <c r="BQ24">
        <v>-1.032025</v>
      </c>
      <c r="BR24">
        <f t="shared" si="21"/>
        <v>-0.60734497651924468</v>
      </c>
      <c r="BS24">
        <f t="shared" si="22"/>
        <v>0</v>
      </c>
      <c r="BU24">
        <f t="shared" si="23"/>
        <v>1</v>
      </c>
      <c r="BV24">
        <f t="shared" si="24"/>
        <v>0</v>
      </c>
      <c r="BW24">
        <f t="shared" si="25"/>
        <v>1</v>
      </c>
      <c r="BZ24">
        <f t="shared" si="26"/>
        <v>-0.60734497651924468</v>
      </c>
      <c r="CM24">
        <f t="shared" si="27"/>
        <v>-1.9933595677024019E-2</v>
      </c>
      <c r="CN24">
        <f t="shared" si="38"/>
        <v>0.9802637648971958</v>
      </c>
      <c r="CO24" s="13">
        <f t="shared" si="10"/>
        <v>1.0000000000000001E-5</v>
      </c>
      <c r="CP24" s="13">
        <f t="shared" si="11"/>
        <v>0.9802637648971958</v>
      </c>
      <c r="CQ24">
        <v>0.72299999999999998</v>
      </c>
      <c r="CR24">
        <f t="shared" si="12"/>
        <v>0.01</v>
      </c>
      <c r="CS24">
        <f t="shared" si="13"/>
        <v>0.72299999999999998</v>
      </c>
      <c r="CT24">
        <v>0.3</v>
      </c>
      <c r="CU24">
        <v>0.3</v>
      </c>
      <c r="CV24">
        <v>0.3</v>
      </c>
    </row>
    <row r="25" spans="1:100" x14ac:dyDescent="0.25">
      <c r="A25">
        <v>24</v>
      </c>
      <c r="B25">
        <v>30</v>
      </c>
      <c r="C25" t="str">
        <f t="shared" si="28"/>
        <v>SSTens</v>
      </c>
      <c r="D25">
        <v>0.50800000000000001</v>
      </c>
      <c r="E25">
        <f t="shared" si="14"/>
        <v>508</v>
      </c>
      <c r="F25">
        <v>1.1130000000000001E-2</v>
      </c>
      <c r="G25">
        <f t="shared" si="15"/>
        <v>11.13</v>
      </c>
      <c r="H25">
        <f t="shared" si="16"/>
        <v>45.642407906558844</v>
      </c>
      <c r="I25">
        <v>100</v>
      </c>
      <c r="J25" t="s">
        <v>77</v>
      </c>
      <c r="K25">
        <f t="shared" si="29"/>
        <v>15</v>
      </c>
      <c r="L25">
        <f t="shared" si="30"/>
        <v>20</v>
      </c>
      <c r="M25">
        <f t="shared" si="31"/>
        <v>552000</v>
      </c>
      <c r="N25">
        <f t="shared" si="32"/>
        <v>625000</v>
      </c>
      <c r="O25">
        <f t="shared" si="33"/>
        <v>2.9888368774026359</v>
      </c>
      <c r="S25" t="s">
        <v>78</v>
      </c>
      <c r="T25" t="s">
        <v>79</v>
      </c>
      <c r="U25">
        <f t="shared" si="34"/>
        <v>18</v>
      </c>
      <c r="V25">
        <f t="shared" si="35"/>
        <v>37</v>
      </c>
      <c r="W25">
        <f t="shared" si="36"/>
        <v>0</v>
      </c>
      <c r="X25">
        <f t="shared" si="37"/>
        <v>0</v>
      </c>
      <c r="Y25">
        <v>0.9</v>
      </c>
      <c r="Z25">
        <v>2</v>
      </c>
      <c r="AB25">
        <f t="shared" si="17"/>
        <v>37.739860320701332</v>
      </c>
      <c r="AI25">
        <v>0.75</v>
      </c>
      <c r="AK25">
        <f t="shared" si="18"/>
        <v>3.4007223585342139E-2</v>
      </c>
      <c r="AQ25">
        <f t="shared" si="19"/>
        <v>0.21447307251904243</v>
      </c>
      <c r="AR25">
        <f t="shared" si="20"/>
        <v>1.7144730725190425</v>
      </c>
      <c r="AV25">
        <v>-2.307229</v>
      </c>
      <c r="AW25">
        <v>0.5852366</v>
      </c>
      <c r="AX25">
        <v>0.201322</v>
      </c>
      <c r="BJ25">
        <v>1.4274935</v>
      </c>
      <c r="BK25">
        <v>-7.1050000000000002E-3</v>
      </c>
      <c r="BL25">
        <v>5.1415999999999996E-3</v>
      </c>
      <c r="BM25">
        <v>-1.4290590000000001</v>
      </c>
      <c r="BN25">
        <v>4.9200300000000002E-2</v>
      </c>
      <c r="BO25">
        <v>0.14513599999999999</v>
      </c>
      <c r="BP25">
        <v>2.0170299999999999E-2</v>
      </c>
      <c r="BQ25">
        <v>-1.032025</v>
      </c>
      <c r="BR25">
        <f t="shared" si="21"/>
        <v>-0.70001772829745168</v>
      </c>
      <c r="BS25">
        <f t="shared" si="22"/>
        <v>0</v>
      </c>
      <c r="BU25">
        <f t="shared" si="23"/>
        <v>1</v>
      </c>
      <c r="BV25">
        <f t="shared" si="24"/>
        <v>0</v>
      </c>
      <c r="BW25">
        <f t="shared" si="25"/>
        <v>1</v>
      </c>
      <c r="BZ25">
        <f t="shared" si="26"/>
        <v>-0.70001772829745168</v>
      </c>
      <c r="CM25">
        <f t="shared" si="27"/>
        <v>0.13479469944695044</v>
      </c>
      <c r="CN25">
        <f t="shared" si="38"/>
        <v>1.1443018344350007</v>
      </c>
      <c r="CO25" s="13">
        <f t="shared" si="10"/>
        <v>1.0000000000000001E-5</v>
      </c>
      <c r="CP25" s="13">
        <f t="shared" si="11"/>
        <v>1.1443018344350007</v>
      </c>
      <c r="CQ25">
        <v>0.72299999999999998</v>
      </c>
      <c r="CR25">
        <f t="shared" si="12"/>
        <v>0.01</v>
      </c>
      <c r="CS25">
        <f t="shared" si="13"/>
        <v>0.72299999999999998</v>
      </c>
      <c r="CT25">
        <v>0.3</v>
      </c>
      <c r="CU25">
        <v>0.3</v>
      </c>
      <c r="CV25">
        <v>0.3</v>
      </c>
    </row>
    <row r="26" spans="1:100" x14ac:dyDescent="0.25">
      <c r="A26">
        <v>25</v>
      </c>
      <c r="B26">
        <v>30</v>
      </c>
      <c r="C26" t="str">
        <f t="shared" si="28"/>
        <v>SSTens</v>
      </c>
      <c r="D26">
        <v>0.60960000000000003</v>
      </c>
      <c r="E26">
        <f t="shared" si="14"/>
        <v>609.6</v>
      </c>
      <c r="F26">
        <v>9.5299999999999985E-3</v>
      </c>
      <c r="G26">
        <f t="shared" si="15"/>
        <v>9.5299999999999994</v>
      </c>
      <c r="H26">
        <f t="shared" si="16"/>
        <v>63.966421825813235</v>
      </c>
      <c r="I26">
        <v>15</v>
      </c>
      <c r="J26" t="s">
        <v>70</v>
      </c>
      <c r="K26">
        <f t="shared" si="29"/>
        <v>8</v>
      </c>
      <c r="L26">
        <f t="shared" si="30"/>
        <v>10</v>
      </c>
      <c r="M26">
        <f t="shared" si="31"/>
        <v>359000</v>
      </c>
      <c r="N26">
        <f t="shared" si="32"/>
        <v>455000</v>
      </c>
      <c r="O26">
        <f t="shared" si="33"/>
        <v>1.9969902892117808</v>
      </c>
      <c r="S26" t="s">
        <v>78</v>
      </c>
      <c r="T26" t="s">
        <v>80</v>
      </c>
      <c r="U26">
        <f t="shared" si="34"/>
        <v>18.5</v>
      </c>
      <c r="V26">
        <f t="shared" si="35"/>
        <v>40</v>
      </c>
      <c r="W26">
        <f t="shared" si="36"/>
        <v>0</v>
      </c>
      <c r="X26">
        <f t="shared" si="37"/>
        <v>0</v>
      </c>
      <c r="Y26">
        <v>0.9</v>
      </c>
      <c r="Z26">
        <v>1</v>
      </c>
      <c r="AB26">
        <f t="shared" si="17"/>
        <v>25.741129539100392</v>
      </c>
      <c r="AI26">
        <v>2.75</v>
      </c>
      <c r="AK26">
        <f t="shared" si="18"/>
        <v>2.3022068268715178E-2</v>
      </c>
      <c r="AQ26">
        <f t="shared" si="19"/>
        <v>8.1563860325678486E-2</v>
      </c>
      <c r="AR26">
        <f t="shared" si="20"/>
        <v>1.0815638603256785</v>
      </c>
      <c r="AV26">
        <v>-2.307229</v>
      </c>
      <c r="AW26">
        <v>0.5852366</v>
      </c>
      <c r="AX26">
        <v>0.201322</v>
      </c>
      <c r="BJ26">
        <v>1.4274935</v>
      </c>
      <c r="BK26">
        <v>-7.1050000000000002E-3</v>
      </c>
      <c r="BL26">
        <v>5.1415999999999996E-3</v>
      </c>
      <c r="BM26">
        <v>-1.4290590000000001</v>
      </c>
      <c r="BN26">
        <v>4.9200300000000002E-2</v>
      </c>
      <c r="BO26">
        <v>0.14513599999999999</v>
      </c>
      <c r="BP26">
        <v>2.0170299999999999E-2</v>
      </c>
      <c r="BQ26">
        <v>-1.032025</v>
      </c>
      <c r="BR26">
        <f t="shared" si="21"/>
        <v>0</v>
      </c>
      <c r="BS26">
        <f t="shared" si="22"/>
        <v>0</v>
      </c>
      <c r="BU26">
        <f t="shared" si="23"/>
        <v>0</v>
      </c>
      <c r="BV26">
        <f t="shared" si="24"/>
        <v>0</v>
      </c>
      <c r="BW26">
        <f t="shared" si="25"/>
        <v>1</v>
      </c>
      <c r="BZ26">
        <f t="shared" si="26"/>
        <v>0</v>
      </c>
      <c r="CM26">
        <f t="shared" si="27"/>
        <v>0.78030645715329561</v>
      </c>
      <c r="CN26">
        <f t="shared" si="38"/>
        <v>2.1821408957267043</v>
      </c>
      <c r="CO26" s="13">
        <f t="shared" si="10"/>
        <v>1.0000000000000001E-5</v>
      </c>
      <c r="CP26" s="13">
        <f t="shared" si="11"/>
        <v>2.1821408957267043</v>
      </c>
      <c r="CQ26">
        <v>0.72299999999999998</v>
      </c>
      <c r="CR26">
        <f t="shared" si="12"/>
        <v>0.01</v>
      </c>
      <c r="CS26">
        <f t="shared" si="13"/>
        <v>0.72299999999999998</v>
      </c>
      <c r="CT26">
        <v>0.3</v>
      </c>
      <c r="CU26">
        <v>0.3</v>
      </c>
      <c r="CV26">
        <v>0.3</v>
      </c>
    </row>
    <row r="27" spans="1:100" x14ac:dyDescent="0.25">
      <c r="A27">
        <v>26</v>
      </c>
      <c r="B27">
        <v>30</v>
      </c>
      <c r="C27" t="str">
        <f t="shared" si="28"/>
        <v>SSTens</v>
      </c>
      <c r="D27">
        <v>0.76200000000000001</v>
      </c>
      <c r="E27">
        <f t="shared" si="14"/>
        <v>762</v>
      </c>
      <c r="F27">
        <v>1.2699999999999999E-2</v>
      </c>
      <c r="G27">
        <f t="shared" si="15"/>
        <v>12.7</v>
      </c>
      <c r="H27">
        <f t="shared" si="16"/>
        <v>60</v>
      </c>
      <c r="I27">
        <v>30</v>
      </c>
      <c r="J27" t="s">
        <v>73</v>
      </c>
      <c r="K27">
        <f t="shared" si="29"/>
        <v>8</v>
      </c>
      <c r="L27">
        <f t="shared" si="30"/>
        <v>12</v>
      </c>
      <c r="M27">
        <f t="shared" si="31"/>
        <v>414000</v>
      </c>
      <c r="N27">
        <f t="shared" si="32"/>
        <v>517000</v>
      </c>
      <c r="O27">
        <f t="shared" si="33"/>
        <v>2.5466769467238102</v>
      </c>
      <c r="S27" t="s">
        <v>78</v>
      </c>
      <c r="T27" t="s">
        <v>80</v>
      </c>
      <c r="U27">
        <f t="shared" si="34"/>
        <v>18.5</v>
      </c>
      <c r="V27">
        <f t="shared" si="35"/>
        <v>40</v>
      </c>
      <c r="W27">
        <f t="shared" si="36"/>
        <v>0</v>
      </c>
      <c r="X27">
        <f t="shared" si="37"/>
        <v>0</v>
      </c>
      <c r="Y27">
        <v>0.9</v>
      </c>
      <c r="Z27">
        <v>2</v>
      </c>
      <c r="AB27">
        <f t="shared" si="17"/>
        <v>64.352823847750969</v>
      </c>
      <c r="AI27">
        <v>3.5</v>
      </c>
      <c r="AK27">
        <f t="shared" si="18"/>
        <v>5.5061025879364095E-2</v>
      </c>
      <c r="AQ27">
        <f t="shared" si="19"/>
        <v>0.24733311166742666</v>
      </c>
      <c r="AR27">
        <f t="shared" si="20"/>
        <v>1.2473331116674267</v>
      </c>
      <c r="AV27">
        <v>-2.307229</v>
      </c>
      <c r="AW27">
        <v>0.5852366</v>
      </c>
      <c r="AX27">
        <v>0.201322</v>
      </c>
      <c r="BJ27">
        <v>1.4274935</v>
      </c>
      <c r="BK27">
        <v>-7.1050000000000002E-3</v>
      </c>
      <c r="BL27">
        <v>5.1415999999999996E-3</v>
      </c>
      <c r="BM27">
        <v>-1.4290590000000001</v>
      </c>
      <c r="BN27">
        <v>4.9200300000000002E-2</v>
      </c>
      <c r="BO27">
        <v>0.14513599999999999</v>
      </c>
      <c r="BP27">
        <v>2.0170299999999999E-2</v>
      </c>
      <c r="BQ27">
        <v>-1.032025</v>
      </c>
      <c r="BR27">
        <f t="shared" si="21"/>
        <v>0</v>
      </c>
      <c r="BS27">
        <f t="shared" si="22"/>
        <v>3.440732629929924E-2</v>
      </c>
      <c r="BU27">
        <f t="shared" si="23"/>
        <v>0</v>
      </c>
      <c r="BV27">
        <f t="shared" si="24"/>
        <v>1</v>
      </c>
      <c r="BW27">
        <f t="shared" si="25"/>
        <v>1</v>
      </c>
      <c r="BZ27">
        <f t="shared" si="26"/>
        <v>3.440732629929924E-2</v>
      </c>
      <c r="CM27">
        <f t="shared" si="27"/>
        <v>1.0477384074527265</v>
      </c>
      <c r="CN27">
        <f t="shared" si="38"/>
        <v>2.8511955782437828</v>
      </c>
      <c r="CO27" s="13">
        <f t="shared" si="10"/>
        <v>1.0000000000000001E-5</v>
      </c>
      <c r="CP27" s="13">
        <f t="shared" si="11"/>
        <v>2.8511955782437828</v>
      </c>
      <c r="CQ27">
        <v>0.72299999999999998</v>
      </c>
      <c r="CR27">
        <f t="shared" si="12"/>
        <v>0.01</v>
      </c>
      <c r="CS27">
        <f t="shared" si="13"/>
        <v>0.72299999999999998</v>
      </c>
      <c r="CT27">
        <v>0.3</v>
      </c>
      <c r="CU27">
        <v>0.3</v>
      </c>
      <c r="CV27">
        <v>0.3</v>
      </c>
    </row>
    <row r="28" spans="1:100" x14ac:dyDescent="0.25">
      <c r="A28">
        <v>27</v>
      </c>
      <c r="B28">
        <v>45</v>
      </c>
      <c r="C28" t="str">
        <f t="shared" si="28"/>
        <v>SSTens</v>
      </c>
      <c r="D28">
        <v>0.86360000000000003</v>
      </c>
      <c r="E28">
        <f t="shared" si="14"/>
        <v>863.6</v>
      </c>
      <c r="F28">
        <v>1.1130000000000001E-2</v>
      </c>
      <c r="G28">
        <f t="shared" si="15"/>
        <v>11.13</v>
      </c>
      <c r="H28">
        <f t="shared" si="16"/>
        <v>77.592093441150041</v>
      </c>
      <c r="I28">
        <v>50</v>
      </c>
      <c r="J28" t="s">
        <v>75</v>
      </c>
      <c r="K28">
        <f t="shared" si="29"/>
        <v>14</v>
      </c>
      <c r="L28">
        <f t="shared" si="30"/>
        <v>15</v>
      </c>
      <c r="M28">
        <f t="shared" si="31"/>
        <v>483000</v>
      </c>
      <c r="N28">
        <f t="shared" si="32"/>
        <v>565000</v>
      </c>
      <c r="O28">
        <f t="shared" si="33"/>
        <v>2.8799444073326219</v>
      </c>
      <c r="S28" t="s">
        <v>78</v>
      </c>
      <c r="T28" t="s">
        <v>80</v>
      </c>
      <c r="U28">
        <f t="shared" si="34"/>
        <v>18.5</v>
      </c>
      <c r="V28">
        <f t="shared" si="35"/>
        <v>40</v>
      </c>
      <c r="W28">
        <f t="shared" si="36"/>
        <v>0</v>
      </c>
      <c r="X28">
        <f t="shared" si="37"/>
        <v>0</v>
      </c>
      <c r="Y28">
        <v>0.9</v>
      </c>
      <c r="Z28">
        <v>1</v>
      </c>
      <c r="AB28">
        <f t="shared" si="17"/>
        <v>36.46660018039222</v>
      </c>
      <c r="AI28">
        <v>1.5</v>
      </c>
      <c r="AK28">
        <f t="shared" si="18"/>
        <v>3.2859347057707114E-2</v>
      </c>
      <c r="AQ28">
        <f t="shared" si="19"/>
        <v>0.19145887314252977</v>
      </c>
      <c r="AR28">
        <f t="shared" si="20"/>
        <v>1.1914588731425297</v>
      </c>
      <c r="AV28">
        <v>-2.307229</v>
      </c>
      <c r="AW28">
        <v>0.5852366</v>
      </c>
      <c r="AX28">
        <v>0.201322</v>
      </c>
      <c r="BJ28">
        <v>1.4274935</v>
      </c>
      <c r="BK28">
        <v>-7.1050000000000002E-3</v>
      </c>
      <c r="BL28">
        <v>5.1415999999999996E-3</v>
      </c>
      <c r="BM28">
        <v>-1.4290590000000001</v>
      </c>
      <c r="BN28">
        <v>4.9200300000000002E-2</v>
      </c>
      <c r="BO28">
        <v>0.14513599999999999</v>
      </c>
      <c r="BP28">
        <v>2.0170299999999999E-2</v>
      </c>
      <c r="BQ28">
        <v>-1.032025</v>
      </c>
      <c r="BR28">
        <f t="shared" si="21"/>
        <v>0</v>
      </c>
      <c r="BS28">
        <f t="shared" si="22"/>
        <v>0</v>
      </c>
      <c r="BU28">
        <f t="shared" si="23"/>
        <v>0</v>
      </c>
      <c r="BV28">
        <f t="shared" si="24"/>
        <v>0</v>
      </c>
      <c r="BW28">
        <f t="shared" si="25"/>
        <v>1</v>
      </c>
      <c r="BZ28">
        <f t="shared" si="26"/>
        <v>0</v>
      </c>
      <c r="CM28">
        <f t="shared" si="27"/>
        <v>0.963441685919739</v>
      </c>
      <c r="CN28">
        <f t="shared" si="38"/>
        <v>2.6207005981990892</v>
      </c>
      <c r="CO28" s="13">
        <f t="shared" si="10"/>
        <v>1.0000000000000001E-5</v>
      </c>
      <c r="CP28" s="13">
        <f t="shared" si="11"/>
        <v>2.6207005981990892</v>
      </c>
      <c r="CQ28">
        <v>0.72299999999999998</v>
      </c>
      <c r="CR28">
        <f t="shared" si="12"/>
        <v>0.01</v>
      </c>
      <c r="CS28">
        <f t="shared" si="13"/>
        <v>0.72299999999999998</v>
      </c>
      <c r="CT28">
        <v>0.3</v>
      </c>
      <c r="CU28">
        <v>0.3</v>
      </c>
      <c r="CV28">
        <v>0.3</v>
      </c>
    </row>
    <row r="29" spans="1:100" x14ac:dyDescent="0.25">
      <c r="A29">
        <v>28</v>
      </c>
      <c r="B29">
        <v>45</v>
      </c>
      <c r="C29" t="str">
        <f t="shared" si="28"/>
        <v>SSTens</v>
      </c>
      <c r="D29">
        <v>1.0668</v>
      </c>
      <c r="E29">
        <f t="shared" si="14"/>
        <v>1066.8</v>
      </c>
      <c r="F29">
        <v>1.2699999999999999E-2</v>
      </c>
      <c r="G29">
        <f t="shared" si="15"/>
        <v>12.7</v>
      </c>
      <c r="H29">
        <f t="shared" si="16"/>
        <v>84</v>
      </c>
      <c r="I29">
        <v>100</v>
      </c>
      <c r="J29" t="s">
        <v>77</v>
      </c>
      <c r="K29">
        <f t="shared" si="29"/>
        <v>15</v>
      </c>
      <c r="L29">
        <f t="shared" si="30"/>
        <v>20</v>
      </c>
      <c r="M29">
        <f t="shared" si="31"/>
        <v>552000</v>
      </c>
      <c r="N29">
        <f t="shared" si="32"/>
        <v>625000</v>
      </c>
      <c r="O29">
        <f t="shared" si="33"/>
        <v>2.9888368774026359</v>
      </c>
      <c r="S29" t="s">
        <v>78</v>
      </c>
      <c r="T29" t="s">
        <v>81</v>
      </c>
      <c r="U29">
        <f t="shared" si="34"/>
        <v>19</v>
      </c>
      <c r="V29">
        <f t="shared" si="35"/>
        <v>43</v>
      </c>
      <c r="W29">
        <f t="shared" si="36"/>
        <v>0</v>
      </c>
      <c r="X29">
        <f t="shared" si="37"/>
        <v>0</v>
      </c>
      <c r="Y29">
        <v>0.9</v>
      </c>
      <c r="Z29">
        <v>2</v>
      </c>
      <c r="AB29">
        <f t="shared" si="17"/>
        <v>102.03070645435936</v>
      </c>
      <c r="AI29">
        <v>1.5</v>
      </c>
      <c r="AK29">
        <f t="shared" si="18"/>
        <v>8.6082808953605136E-2</v>
      </c>
      <c r="AQ29">
        <f t="shared" si="19"/>
        <v>0.46595416078021362</v>
      </c>
      <c r="AR29">
        <f t="shared" si="20"/>
        <v>1.9659541607802136</v>
      </c>
      <c r="AV29">
        <v>-2.307229</v>
      </c>
      <c r="AW29">
        <v>0.5852366</v>
      </c>
      <c r="AX29">
        <v>0.201322</v>
      </c>
      <c r="BJ29">
        <v>1.4274935</v>
      </c>
      <c r="BK29">
        <v>-7.1050000000000002E-3</v>
      </c>
      <c r="BL29">
        <v>5.1415999999999996E-3</v>
      </c>
      <c r="BM29">
        <v>-1.4290590000000001</v>
      </c>
      <c r="BN29">
        <v>4.9200300000000002E-2</v>
      </c>
      <c r="BO29">
        <v>0.14513599999999999</v>
      </c>
      <c r="BP29">
        <v>2.0170299999999999E-2</v>
      </c>
      <c r="BQ29">
        <v>-1.032025</v>
      </c>
      <c r="BR29">
        <f t="shared" si="21"/>
        <v>-6.8622394401109219E-2</v>
      </c>
      <c r="BS29">
        <f t="shared" si="22"/>
        <v>0</v>
      </c>
      <c r="BU29">
        <f t="shared" si="23"/>
        <v>1</v>
      </c>
      <c r="BV29">
        <f t="shared" si="24"/>
        <v>0</v>
      </c>
      <c r="BW29">
        <f t="shared" si="25"/>
        <v>1</v>
      </c>
      <c r="BZ29">
        <f t="shared" si="26"/>
        <v>-6.8622394401109219E-2</v>
      </c>
      <c r="CM29">
        <f t="shared" si="27"/>
        <v>1.1140829412852633</v>
      </c>
      <c r="CN29">
        <f t="shared" si="38"/>
        <v>3.0467728280542432</v>
      </c>
      <c r="CO29" s="13">
        <f t="shared" si="10"/>
        <v>1.0000000000000001E-5</v>
      </c>
      <c r="CP29" s="13">
        <f t="shared" si="11"/>
        <v>3.0467728280542432</v>
      </c>
      <c r="CQ29">
        <v>0.72299999999999998</v>
      </c>
      <c r="CR29">
        <f t="shared" si="12"/>
        <v>0.01</v>
      </c>
      <c r="CS29">
        <f t="shared" si="13"/>
        <v>0.72299999999999998</v>
      </c>
      <c r="CT29">
        <v>0.3</v>
      </c>
      <c r="CU29">
        <v>0.3</v>
      </c>
      <c r="CV29">
        <v>0.3</v>
      </c>
    </row>
    <row r="30" spans="1:100" x14ac:dyDescent="0.25">
      <c r="A30">
        <v>29</v>
      </c>
      <c r="B30">
        <v>45</v>
      </c>
      <c r="C30" t="str">
        <f t="shared" si="28"/>
        <v>SSTens</v>
      </c>
      <c r="D30">
        <v>0.60960000000000003</v>
      </c>
      <c r="E30">
        <f t="shared" si="14"/>
        <v>609.6</v>
      </c>
      <c r="F30">
        <v>1.1130000000000001E-2</v>
      </c>
      <c r="G30">
        <f t="shared" si="15"/>
        <v>11.13</v>
      </c>
      <c r="H30">
        <f t="shared" si="16"/>
        <v>54.770889487870619</v>
      </c>
      <c r="I30">
        <v>150</v>
      </c>
      <c r="J30" t="s">
        <v>100</v>
      </c>
      <c r="K30">
        <f t="shared" si="29"/>
        <v>3</v>
      </c>
      <c r="L30">
        <f t="shared" si="30"/>
        <v>9</v>
      </c>
      <c r="M30">
        <f t="shared" si="31"/>
        <v>290000</v>
      </c>
      <c r="N30">
        <f t="shared" si="32"/>
        <v>414000</v>
      </c>
      <c r="O30">
        <f t="shared" si="33"/>
        <v>1.7363704307629526</v>
      </c>
      <c r="S30" t="s">
        <v>78</v>
      </c>
      <c r="T30" t="s">
        <v>81</v>
      </c>
      <c r="U30">
        <f t="shared" si="34"/>
        <v>19</v>
      </c>
      <c r="V30">
        <f t="shared" si="35"/>
        <v>43</v>
      </c>
      <c r="W30">
        <f t="shared" si="36"/>
        <v>0</v>
      </c>
      <c r="X30">
        <f t="shared" si="37"/>
        <v>0</v>
      </c>
      <c r="Y30">
        <v>0.9</v>
      </c>
      <c r="Z30">
        <v>1</v>
      </c>
      <c r="AB30">
        <f t="shared" si="17"/>
        <v>29.151630415531248</v>
      </c>
      <c r="AI30">
        <v>1.5</v>
      </c>
      <c r="AK30">
        <f t="shared" si="18"/>
        <v>2.5345463138869703E-2</v>
      </c>
      <c r="AQ30">
        <f t="shared" si="19"/>
        <v>0.20709526914689702</v>
      </c>
      <c r="AR30">
        <f t="shared" si="20"/>
        <v>1.707095269146897</v>
      </c>
      <c r="AV30">
        <v>-2.307229</v>
      </c>
      <c r="AW30">
        <v>0.5852366</v>
      </c>
      <c r="AX30">
        <v>0.201322</v>
      </c>
      <c r="BJ30">
        <v>1.4274935</v>
      </c>
      <c r="BK30">
        <v>-7.1050000000000002E-3</v>
      </c>
      <c r="BL30">
        <v>5.1415999999999996E-3</v>
      </c>
      <c r="BM30">
        <v>-1.4290590000000001</v>
      </c>
      <c r="BN30">
        <v>4.9200300000000002E-2</v>
      </c>
      <c r="BO30">
        <v>0.14513599999999999</v>
      </c>
      <c r="BP30">
        <v>2.0170299999999999E-2</v>
      </c>
      <c r="BQ30">
        <v>-1.032025</v>
      </c>
      <c r="BR30">
        <f t="shared" si="21"/>
        <v>0</v>
      </c>
      <c r="BS30">
        <f t="shared" si="22"/>
        <v>0</v>
      </c>
      <c r="BU30">
        <f t="shared" si="23"/>
        <v>0</v>
      </c>
      <c r="BV30">
        <f t="shared" si="24"/>
        <v>0</v>
      </c>
      <c r="BW30">
        <f t="shared" si="25"/>
        <v>1</v>
      </c>
      <c r="BZ30">
        <f t="shared" si="26"/>
        <v>0</v>
      </c>
      <c r="CM30">
        <f t="shared" si="27"/>
        <v>0.71452669621160059</v>
      </c>
      <c r="CN30">
        <f t="shared" si="38"/>
        <v>2.0432193898872777</v>
      </c>
      <c r="CO30" s="13">
        <f t="shared" si="10"/>
        <v>1.0000000000000001E-5</v>
      </c>
      <c r="CP30" s="13">
        <f t="shared" si="11"/>
        <v>2.0432193898872777</v>
      </c>
      <c r="CQ30">
        <v>0.72299999999999998</v>
      </c>
      <c r="CR30">
        <f t="shared" si="12"/>
        <v>0.01</v>
      </c>
      <c r="CS30">
        <f t="shared" si="13"/>
        <v>0.72299999999999998</v>
      </c>
      <c r="CT30">
        <v>0.3</v>
      </c>
      <c r="CU30">
        <v>0.3</v>
      </c>
      <c r="CV30">
        <v>0.3</v>
      </c>
    </row>
    <row r="31" spans="1:100" x14ac:dyDescent="0.25">
      <c r="A31">
        <v>30</v>
      </c>
      <c r="B31">
        <v>60</v>
      </c>
      <c r="C31" t="str">
        <f t="shared" si="28"/>
        <v>SSTens</v>
      </c>
      <c r="D31">
        <v>0.60960000000000003</v>
      </c>
      <c r="E31">
        <f t="shared" si="14"/>
        <v>609.6</v>
      </c>
      <c r="F31">
        <v>1.1130000000000001E-2</v>
      </c>
      <c r="G31">
        <f t="shared" si="15"/>
        <v>11.13</v>
      </c>
      <c r="H31">
        <f t="shared" si="16"/>
        <v>54.770889487870619</v>
      </c>
      <c r="I31">
        <v>200</v>
      </c>
      <c r="J31" t="s">
        <v>101</v>
      </c>
      <c r="K31">
        <f t="shared" si="29"/>
        <v>3</v>
      </c>
      <c r="L31">
        <f t="shared" si="30"/>
        <v>8</v>
      </c>
      <c r="M31">
        <f t="shared" si="31"/>
        <v>241000</v>
      </c>
      <c r="N31">
        <f t="shared" si="32"/>
        <v>344000</v>
      </c>
      <c r="O31">
        <f t="shared" si="33"/>
        <v>1.1599577949833839</v>
      </c>
      <c r="S31" t="s">
        <v>78</v>
      </c>
      <c r="T31" t="s">
        <v>81</v>
      </c>
      <c r="U31">
        <f t="shared" si="34"/>
        <v>19</v>
      </c>
      <c r="V31">
        <f t="shared" si="35"/>
        <v>43</v>
      </c>
      <c r="W31">
        <f t="shared" si="36"/>
        <v>0</v>
      </c>
      <c r="X31">
        <f t="shared" si="37"/>
        <v>0</v>
      </c>
      <c r="Y31">
        <v>0.9</v>
      </c>
      <c r="Z31">
        <v>2</v>
      </c>
      <c r="AB31">
        <f t="shared" si="17"/>
        <v>58.303260831062495</v>
      </c>
      <c r="AI31">
        <v>2.75</v>
      </c>
      <c r="AK31">
        <f t="shared" si="18"/>
        <v>4.7691565842539682E-2</v>
      </c>
      <c r="AQ31">
        <f t="shared" si="19"/>
        <v>0.31151836593386051</v>
      </c>
      <c r="AR31">
        <f t="shared" si="20"/>
        <v>1.8115183659338605</v>
      </c>
      <c r="AV31">
        <v>-2.307229</v>
      </c>
      <c r="AW31">
        <v>0.5852366</v>
      </c>
      <c r="AX31">
        <v>0.201322</v>
      </c>
      <c r="BJ31">
        <v>1.4274935</v>
      </c>
      <c r="BK31">
        <v>-7.1050000000000002E-3</v>
      </c>
      <c r="BL31">
        <v>5.1415999999999996E-3</v>
      </c>
      <c r="BM31">
        <v>-1.4290590000000001</v>
      </c>
      <c r="BN31">
        <v>4.9200300000000002E-2</v>
      </c>
      <c r="BO31">
        <v>0.14513599999999999</v>
      </c>
      <c r="BP31">
        <v>2.0170299999999999E-2</v>
      </c>
      <c r="BQ31">
        <v>-1.032025</v>
      </c>
      <c r="BR31">
        <f t="shared" si="21"/>
        <v>0</v>
      </c>
      <c r="BS31">
        <f t="shared" si="22"/>
        <v>0</v>
      </c>
      <c r="BU31">
        <f t="shared" si="23"/>
        <v>0</v>
      </c>
      <c r="BV31">
        <f t="shared" si="24"/>
        <v>0</v>
      </c>
      <c r="BW31">
        <f t="shared" si="25"/>
        <v>1</v>
      </c>
      <c r="BZ31">
        <f t="shared" si="26"/>
        <v>0</v>
      </c>
      <c r="CM31">
        <f t="shared" si="27"/>
        <v>0.85407247289628985</v>
      </c>
      <c r="CN31">
        <f t="shared" si="38"/>
        <v>2.3491944282446702</v>
      </c>
      <c r="CO31" s="13">
        <f t="shared" si="10"/>
        <v>1.0000000000000001E-5</v>
      </c>
      <c r="CP31" s="13">
        <f t="shared" si="11"/>
        <v>2.3491944282446702</v>
      </c>
      <c r="CQ31">
        <v>0.72299999999999998</v>
      </c>
      <c r="CR31">
        <f t="shared" si="12"/>
        <v>0.01</v>
      </c>
      <c r="CS31">
        <f t="shared" si="13"/>
        <v>0.72299999999999998</v>
      </c>
      <c r="CT31">
        <v>0.3</v>
      </c>
      <c r="CU31">
        <v>0.3</v>
      </c>
      <c r="CV31">
        <v>0.3</v>
      </c>
    </row>
    <row r="32" spans="1:100" x14ac:dyDescent="0.25">
      <c r="A32">
        <v>31</v>
      </c>
      <c r="B32">
        <v>60</v>
      </c>
      <c r="C32" t="str">
        <f t="shared" si="28"/>
        <v>SSTens</v>
      </c>
      <c r="D32">
        <v>0.20319999999999999</v>
      </c>
      <c r="E32">
        <f t="shared" si="14"/>
        <v>203.2</v>
      </c>
      <c r="F32">
        <v>5.5599999999999998E-3</v>
      </c>
      <c r="G32">
        <f t="shared" si="15"/>
        <v>5.56</v>
      </c>
      <c r="H32">
        <f t="shared" si="16"/>
        <v>36.546762589928058</v>
      </c>
      <c r="I32">
        <v>15</v>
      </c>
      <c r="J32" t="s">
        <v>70</v>
      </c>
      <c r="K32">
        <f t="shared" si="29"/>
        <v>8</v>
      </c>
      <c r="L32">
        <f t="shared" si="30"/>
        <v>10</v>
      </c>
      <c r="M32">
        <f t="shared" si="31"/>
        <v>359000</v>
      </c>
      <c r="N32">
        <f t="shared" si="32"/>
        <v>455000</v>
      </c>
      <c r="O32">
        <f t="shared" si="33"/>
        <v>1.9969902892117808</v>
      </c>
      <c r="S32" t="s">
        <v>71</v>
      </c>
      <c r="T32" t="s">
        <v>72</v>
      </c>
      <c r="U32">
        <f t="shared" si="34"/>
        <v>17.5</v>
      </c>
      <c r="V32">
        <f t="shared" si="35"/>
        <v>0</v>
      </c>
      <c r="W32">
        <f t="shared" si="36"/>
        <v>37.5</v>
      </c>
      <c r="X32">
        <f t="shared" si="37"/>
        <v>1.1000000000000001</v>
      </c>
      <c r="Y32">
        <v>0.9</v>
      </c>
      <c r="Z32">
        <v>0</v>
      </c>
      <c r="AB32">
        <f t="shared" si="17"/>
        <v>26.332829622389642</v>
      </c>
      <c r="AI32">
        <v>0.75</v>
      </c>
      <c r="AK32">
        <f t="shared" si="18"/>
        <v>2.350134533617947E-2</v>
      </c>
      <c r="AQ32">
        <f t="shared" si="19"/>
        <v>7.0401619555061065E-2</v>
      </c>
      <c r="AR32">
        <f t="shared" si="20"/>
        <v>1.070401619555061</v>
      </c>
      <c r="AV32">
        <v>-2.307229</v>
      </c>
      <c r="AW32">
        <v>0.5852366</v>
      </c>
      <c r="AX32">
        <v>0.201322</v>
      </c>
      <c r="BJ32">
        <v>1.4274935</v>
      </c>
      <c r="BK32">
        <v>-7.1050000000000002E-3</v>
      </c>
      <c r="BL32">
        <v>5.1415999999999996E-3</v>
      </c>
      <c r="BM32">
        <v>-1.4290590000000001</v>
      </c>
      <c r="BN32">
        <v>4.9200300000000002E-2</v>
      </c>
      <c r="BO32">
        <v>0.14513599999999999</v>
      </c>
      <c r="BP32">
        <v>2.0170299999999999E-2</v>
      </c>
      <c r="BQ32">
        <v>-1.032025</v>
      </c>
      <c r="BR32">
        <f t="shared" si="21"/>
        <v>-0.51145365159113909</v>
      </c>
      <c r="BS32">
        <f t="shared" si="22"/>
        <v>0</v>
      </c>
      <c r="BU32">
        <f t="shared" si="23"/>
        <v>1</v>
      </c>
      <c r="BV32">
        <f t="shared" si="24"/>
        <v>0</v>
      </c>
      <c r="BW32">
        <f t="shared" si="25"/>
        <v>0</v>
      </c>
      <c r="BZ32">
        <f t="shared" si="26"/>
        <v>-0.51145365159113909</v>
      </c>
      <c r="CM32">
        <f t="shared" si="27"/>
        <v>-0.58479113632895929</v>
      </c>
      <c r="CN32">
        <f t="shared" si="38"/>
        <v>0.55722223314007857</v>
      </c>
      <c r="CO32" s="13">
        <f t="shared" si="10"/>
        <v>1.0000000000000001E-5</v>
      </c>
      <c r="CP32" s="13">
        <f t="shared" si="11"/>
        <v>0.55722223314007857</v>
      </c>
      <c r="CQ32">
        <v>0.72299999999999998</v>
      </c>
      <c r="CR32">
        <f t="shared" si="12"/>
        <v>0.01</v>
      </c>
      <c r="CS32">
        <f t="shared" si="13"/>
        <v>0.72299999999999998</v>
      </c>
      <c r="CT32">
        <v>0.3</v>
      </c>
      <c r="CU32">
        <v>0.3</v>
      </c>
      <c r="CV32">
        <v>0.3</v>
      </c>
    </row>
    <row r="33" spans="1:114" x14ac:dyDescent="0.25">
      <c r="A33">
        <v>32</v>
      </c>
      <c r="B33">
        <v>60</v>
      </c>
      <c r="C33" t="str">
        <f t="shared" si="28"/>
        <v>SSTens</v>
      </c>
      <c r="D33">
        <v>0.30480000000000002</v>
      </c>
      <c r="E33">
        <f t="shared" si="14"/>
        <v>304.8</v>
      </c>
      <c r="F33">
        <v>7.1399999999999996E-3</v>
      </c>
      <c r="G33">
        <f t="shared" si="15"/>
        <v>7.14</v>
      </c>
      <c r="H33">
        <f t="shared" si="16"/>
        <v>42.689075630252105</v>
      </c>
      <c r="I33">
        <v>30</v>
      </c>
      <c r="J33" t="s">
        <v>73</v>
      </c>
      <c r="K33">
        <f t="shared" si="29"/>
        <v>8</v>
      </c>
      <c r="L33">
        <f t="shared" si="30"/>
        <v>12</v>
      </c>
      <c r="M33">
        <f t="shared" si="31"/>
        <v>414000</v>
      </c>
      <c r="N33">
        <f t="shared" si="32"/>
        <v>517000</v>
      </c>
      <c r="O33">
        <f t="shared" si="33"/>
        <v>2.5466769467238102</v>
      </c>
      <c r="S33" t="s">
        <v>71</v>
      </c>
      <c r="T33" t="s">
        <v>72</v>
      </c>
      <c r="U33">
        <f t="shared" si="34"/>
        <v>17.5</v>
      </c>
      <c r="V33">
        <f t="shared" si="35"/>
        <v>0</v>
      </c>
      <c r="W33">
        <f t="shared" si="36"/>
        <v>37.5</v>
      </c>
      <c r="X33">
        <f t="shared" si="37"/>
        <v>1.1000000000000001</v>
      </c>
      <c r="Y33">
        <v>0.9</v>
      </c>
      <c r="Z33">
        <v>0</v>
      </c>
      <c r="AB33">
        <f t="shared" si="17"/>
        <v>39.499244433584465</v>
      </c>
      <c r="AI33">
        <v>0.75</v>
      </c>
      <c r="AK33">
        <f t="shared" si="18"/>
        <v>3.4929626553889231E-2</v>
      </c>
      <c r="AQ33">
        <f t="shared" si="19"/>
        <v>0.15301812852026347</v>
      </c>
      <c r="AR33">
        <f t="shared" si="20"/>
        <v>1.1530181285202634</v>
      </c>
      <c r="AV33">
        <v>-2.307229</v>
      </c>
      <c r="AW33">
        <v>0.5852366</v>
      </c>
      <c r="AX33">
        <v>0.201322</v>
      </c>
      <c r="BJ33">
        <v>1.4274935</v>
      </c>
      <c r="BK33">
        <v>-7.1050000000000002E-3</v>
      </c>
      <c r="BL33">
        <v>5.1415999999999996E-3</v>
      </c>
      <c r="BM33">
        <v>-1.4290590000000001</v>
      </c>
      <c r="BN33">
        <v>4.9200300000000002E-2</v>
      </c>
      <c r="BO33">
        <v>0.14513599999999999</v>
      </c>
      <c r="BP33">
        <v>2.0170299999999999E-2</v>
      </c>
      <c r="BQ33">
        <v>-1.032025</v>
      </c>
      <c r="BR33">
        <f t="shared" si="21"/>
        <v>-0.60214698226649055</v>
      </c>
      <c r="BS33">
        <f t="shared" si="22"/>
        <v>0</v>
      </c>
      <c r="BU33">
        <f t="shared" si="23"/>
        <v>1</v>
      </c>
      <c r="BV33">
        <f t="shared" si="24"/>
        <v>0</v>
      </c>
      <c r="BW33">
        <f t="shared" si="25"/>
        <v>0</v>
      </c>
      <c r="BZ33">
        <f t="shared" si="26"/>
        <v>-0.60214698226649055</v>
      </c>
      <c r="CM33">
        <f t="shared" si="27"/>
        <v>-0.56189437101015471</v>
      </c>
      <c r="CN33">
        <f t="shared" si="38"/>
        <v>0.57012800624291049</v>
      </c>
      <c r="CO33" s="13">
        <f t="shared" si="10"/>
        <v>1.0000000000000001E-5</v>
      </c>
      <c r="CP33" s="13">
        <f t="shared" si="11"/>
        <v>0.57012800624291049</v>
      </c>
      <c r="CQ33">
        <v>0.72299999999999998</v>
      </c>
      <c r="CR33">
        <f t="shared" si="12"/>
        <v>0.01</v>
      </c>
      <c r="CS33">
        <f t="shared" si="13"/>
        <v>0.72299999999999998</v>
      </c>
      <c r="CT33">
        <v>0.3</v>
      </c>
      <c r="CU33">
        <v>0.3</v>
      </c>
      <c r="CV33">
        <v>0.3</v>
      </c>
    </row>
    <row r="34" spans="1:114" x14ac:dyDescent="0.25">
      <c r="A34">
        <v>33</v>
      </c>
      <c r="B34">
        <v>75</v>
      </c>
      <c r="C34" t="str">
        <f t="shared" si="28"/>
        <v>SSTens</v>
      </c>
      <c r="D34">
        <v>0.40639999999999998</v>
      </c>
      <c r="E34">
        <f t="shared" si="14"/>
        <v>406.4</v>
      </c>
      <c r="F34">
        <v>9.5299999999999985E-3</v>
      </c>
      <c r="G34">
        <f t="shared" si="15"/>
        <v>9.5299999999999994</v>
      </c>
      <c r="H34">
        <f t="shared" si="16"/>
        <v>42.644281217208821</v>
      </c>
      <c r="I34">
        <v>50</v>
      </c>
      <c r="J34" t="s">
        <v>75</v>
      </c>
      <c r="K34">
        <f t="shared" si="29"/>
        <v>14</v>
      </c>
      <c r="L34">
        <f t="shared" si="30"/>
        <v>15</v>
      </c>
      <c r="M34">
        <f t="shared" si="31"/>
        <v>483000</v>
      </c>
      <c r="N34">
        <f t="shared" si="32"/>
        <v>565000</v>
      </c>
      <c r="O34">
        <f t="shared" si="33"/>
        <v>2.8799444073326219</v>
      </c>
      <c r="S34" t="s">
        <v>71</v>
      </c>
      <c r="T34" t="s">
        <v>72</v>
      </c>
      <c r="U34">
        <f t="shared" si="34"/>
        <v>17.5</v>
      </c>
      <c r="V34">
        <f t="shared" si="35"/>
        <v>0</v>
      </c>
      <c r="W34">
        <f t="shared" si="36"/>
        <v>37.5</v>
      </c>
      <c r="X34">
        <f t="shared" si="37"/>
        <v>1.1000000000000001</v>
      </c>
      <c r="Y34">
        <v>0.9</v>
      </c>
      <c r="Z34">
        <v>0</v>
      </c>
      <c r="AB34">
        <f t="shared" si="17"/>
        <v>52.665659244779285</v>
      </c>
      <c r="AI34">
        <v>0.75</v>
      </c>
      <c r="AK34">
        <f t="shared" si="18"/>
        <v>4.5980584899860635E-2</v>
      </c>
      <c r="AQ34">
        <f t="shared" si="19"/>
        <v>0.22103278039106702</v>
      </c>
      <c r="AR34">
        <f t="shared" si="20"/>
        <v>1.221032780391067</v>
      </c>
      <c r="AV34">
        <v>-2.307229</v>
      </c>
      <c r="AW34">
        <v>0.5852366</v>
      </c>
      <c r="AX34">
        <v>0.201322</v>
      </c>
      <c r="BJ34">
        <v>1.4274935</v>
      </c>
      <c r="BK34">
        <v>-7.1050000000000002E-3</v>
      </c>
      <c r="BL34">
        <v>5.1415999999999996E-3</v>
      </c>
      <c r="BM34">
        <v>-1.4290590000000001</v>
      </c>
      <c r="BN34">
        <v>4.9200300000000002E-2</v>
      </c>
      <c r="BO34">
        <v>0.14513599999999999</v>
      </c>
      <c r="BP34">
        <v>2.0170299999999999E-2</v>
      </c>
      <c r="BQ34">
        <v>-1.032025</v>
      </c>
      <c r="BR34">
        <f t="shared" si="21"/>
        <v>-0.6473721201748025</v>
      </c>
      <c r="BS34">
        <f t="shared" si="22"/>
        <v>0</v>
      </c>
      <c r="BU34">
        <f t="shared" si="23"/>
        <v>1</v>
      </c>
      <c r="BV34">
        <f t="shared" si="24"/>
        <v>0</v>
      </c>
      <c r="BW34">
        <f t="shared" si="25"/>
        <v>0</v>
      </c>
      <c r="BZ34">
        <f t="shared" si="26"/>
        <v>-0.6473721201748025</v>
      </c>
      <c r="CM34">
        <f t="shared" si="27"/>
        <v>-0.59642764612512122</v>
      </c>
      <c r="CN34">
        <f t="shared" si="38"/>
        <v>0.55077569153060479</v>
      </c>
      <c r="CO34" s="13">
        <f t="shared" si="10"/>
        <v>1.0000000000000001E-5</v>
      </c>
      <c r="CP34" s="13">
        <f t="shared" si="11"/>
        <v>0.55077569153060479</v>
      </c>
      <c r="CQ34">
        <v>0.72299999999999998</v>
      </c>
      <c r="CR34">
        <f t="shared" si="12"/>
        <v>0.01</v>
      </c>
      <c r="CS34">
        <f t="shared" si="13"/>
        <v>0.72299999999999998</v>
      </c>
      <c r="CT34">
        <v>0.3</v>
      </c>
      <c r="CU34">
        <v>0.3</v>
      </c>
      <c r="CV34">
        <v>0.3</v>
      </c>
    </row>
    <row r="35" spans="1:114" x14ac:dyDescent="0.25">
      <c r="A35">
        <v>34</v>
      </c>
      <c r="B35">
        <v>75</v>
      </c>
      <c r="C35" t="str">
        <f t="shared" si="28"/>
        <v>SSTens</v>
      </c>
      <c r="D35">
        <v>0.50800000000000001</v>
      </c>
      <c r="E35">
        <f t="shared" si="14"/>
        <v>508</v>
      </c>
      <c r="F35">
        <v>1.1130000000000001E-2</v>
      </c>
      <c r="G35">
        <f t="shared" si="15"/>
        <v>11.13</v>
      </c>
      <c r="H35">
        <f t="shared" si="16"/>
        <v>45.642407906558844</v>
      </c>
      <c r="I35">
        <v>100</v>
      </c>
      <c r="J35" t="s">
        <v>77</v>
      </c>
      <c r="K35">
        <f t="shared" si="29"/>
        <v>15</v>
      </c>
      <c r="L35">
        <f t="shared" si="30"/>
        <v>20</v>
      </c>
      <c r="M35">
        <f t="shared" si="31"/>
        <v>552000</v>
      </c>
      <c r="N35">
        <f t="shared" si="32"/>
        <v>625000</v>
      </c>
      <c r="O35">
        <f t="shared" si="33"/>
        <v>2.9888368774026359</v>
      </c>
      <c r="S35" t="s">
        <v>71</v>
      </c>
      <c r="T35" t="s">
        <v>72</v>
      </c>
      <c r="U35">
        <f t="shared" si="34"/>
        <v>17.5</v>
      </c>
      <c r="V35">
        <f t="shared" si="35"/>
        <v>0</v>
      </c>
      <c r="W35">
        <f t="shared" si="36"/>
        <v>37.5</v>
      </c>
      <c r="X35">
        <f t="shared" si="37"/>
        <v>1.1000000000000001</v>
      </c>
      <c r="Y35">
        <v>0.9</v>
      </c>
      <c r="Z35">
        <v>0</v>
      </c>
      <c r="AB35">
        <f t="shared" si="17"/>
        <v>65.832074055974104</v>
      </c>
      <c r="AI35">
        <v>0.75</v>
      </c>
      <c r="AK35">
        <f t="shared" si="18"/>
        <v>5.6761916710913081E-2</v>
      </c>
      <c r="AQ35">
        <f t="shared" si="19"/>
        <v>0.30141505236031529</v>
      </c>
      <c r="AR35">
        <f t="shared" si="20"/>
        <v>1.8014150523603152</v>
      </c>
      <c r="AV35">
        <v>-2.307229</v>
      </c>
      <c r="AW35">
        <v>0.5852366</v>
      </c>
      <c r="AX35">
        <v>0.201322</v>
      </c>
      <c r="BJ35">
        <v>1.4274935</v>
      </c>
      <c r="BK35">
        <v>-7.1050000000000002E-3</v>
      </c>
      <c r="BL35">
        <v>5.1415999999999996E-3</v>
      </c>
      <c r="BM35">
        <v>-1.4290590000000001</v>
      </c>
      <c r="BN35">
        <v>4.9200300000000002E-2</v>
      </c>
      <c r="BO35">
        <v>0.14513599999999999</v>
      </c>
      <c r="BP35">
        <v>2.0170299999999999E-2</v>
      </c>
      <c r="BQ35">
        <v>-1.032025</v>
      </c>
      <c r="BR35">
        <f t="shared" si="21"/>
        <v>-0.70363623213972026</v>
      </c>
      <c r="BS35">
        <f t="shared" si="22"/>
        <v>0</v>
      </c>
      <c r="BU35">
        <f t="shared" si="23"/>
        <v>1</v>
      </c>
      <c r="BV35">
        <f t="shared" si="24"/>
        <v>0</v>
      </c>
      <c r="BW35">
        <f t="shared" si="25"/>
        <v>0</v>
      </c>
      <c r="BZ35">
        <f t="shared" si="26"/>
        <v>-0.70363623213972026</v>
      </c>
      <c r="CM35">
        <f t="shared" si="27"/>
        <v>-0.59886235386354869</v>
      </c>
      <c r="CN35">
        <f t="shared" si="38"/>
        <v>0.54943634481282166</v>
      </c>
      <c r="CO35" s="13">
        <f t="shared" si="10"/>
        <v>1.0000000000000001E-5</v>
      </c>
      <c r="CP35" s="13">
        <f t="shared" si="11"/>
        <v>0.54943634481282166</v>
      </c>
      <c r="CQ35">
        <v>0.72299999999999998</v>
      </c>
      <c r="CR35">
        <f t="shared" si="12"/>
        <v>0.01</v>
      </c>
      <c r="CS35">
        <f t="shared" si="13"/>
        <v>0.72299999999999998</v>
      </c>
      <c r="CT35">
        <v>0.3</v>
      </c>
      <c r="CU35">
        <v>0.3</v>
      </c>
      <c r="CV35">
        <v>0.3</v>
      </c>
    </row>
    <row r="36" spans="1:114" x14ac:dyDescent="0.25">
      <c r="A36">
        <v>35</v>
      </c>
      <c r="B36">
        <v>75</v>
      </c>
      <c r="C36" t="str">
        <f t="shared" si="28"/>
        <v>SSTens</v>
      </c>
      <c r="D36">
        <v>0.60960000000000003</v>
      </c>
      <c r="E36">
        <f t="shared" si="14"/>
        <v>609.6</v>
      </c>
      <c r="F36">
        <v>9.5299999999999985E-3</v>
      </c>
      <c r="G36">
        <f t="shared" si="15"/>
        <v>9.5299999999999994</v>
      </c>
      <c r="H36">
        <f t="shared" si="16"/>
        <v>63.966421825813235</v>
      </c>
      <c r="I36">
        <v>15</v>
      </c>
      <c r="J36" t="s">
        <v>70</v>
      </c>
      <c r="K36">
        <f t="shared" si="29"/>
        <v>8</v>
      </c>
      <c r="L36">
        <f t="shared" si="30"/>
        <v>10</v>
      </c>
      <c r="M36">
        <f t="shared" si="31"/>
        <v>359000</v>
      </c>
      <c r="N36">
        <f t="shared" si="32"/>
        <v>455000</v>
      </c>
      <c r="O36">
        <f t="shared" si="33"/>
        <v>1.9969902892117808</v>
      </c>
      <c r="S36" t="s">
        <v>71</v>
      </c>
      <c r="T36" t="s">
        <v>74</v>
      </c>
      <c r="U36">
        <f t="shared" si="34"/>
        <v>18</v>
      </c>
      <c r="V36">
        <f t="shared" si="35"/>
        <v>0</v>
      </c>
      <c r="W36">
        <f t="shared" si="36"/>
        <v>75</v>
      </c>
      <c r="X36">
        <f t="shared" si="37"/>
        <v>0.72</v>
      </c>
      <c r="Y36">
        <v>0.9</v>
      </c>
      <c r="Z36">
        <v>0</v>
      </c>
      <c r="AB36">
        <f t="shared" si="17"/>
        <v>103.41620360793024</v>
      </c>
      <c r="AI36">
        <v>0.75</v>
      </c>
      <c r="AK36">
        <f t="shared" si="18"/>
        <v>8.5938878264467361E-2</v>
      </c>
      <c r="AQ36">
        <f t="shared" si="19"/>
        <v>0.34319449854464201</v>
      </c>
      <c r="AR36">
        <f t="shared" si="20"/>
        <v>1.343194498544642</v>
      </c>
      <c r="AV36">
        <v>-2.307229</v>
      </c>
      <c r="AW36">
        <v>0.5852366</v>
      </c>
      <c r="AX36">
        <v>0.201322</v>
      </c>
      <c r="BJ36">
        <v>1.4274935</v>
      </c>
      <c r="BK36">
        <v>-7.1050000000000002E-3</v>
      </c>
      <c r="BL36">
        <v>5.1415999999999996E-3</v>
      </c>
      <c r="BM36">
        <v>-1.4290590000000001</v>
      </c>
      <c r="BN36">
        <v>4.9200300000000002E-2</v>
      </c>
      <c r="BO36">
        <v>0.14513599999999999</v>
      </c>
      <c r="BP36">
        <v>2.0170299999999999E-2</v>
      </c>
      <c r="BQ36">
        <v>-1.032025</v>
      </c>
      <c r="BR36">
        <f t="shared" si="21"/>
        <v>-0.64451052521418639</v>
      </c>
      <c r="BS36">
        <f t="shared" si="22"/>
        <v>0</v>
      </c>
      <c r="BU36">
        <f t="shared" si="23"/>
        <v>1</v>
      </c>
      <c r="BV36">
        <f t="shared" si="24"/>
        <v>0</v>
      </c>
      <c r="BW36">
        <f t="shared" si="25"/>
        <v>0</v>
      </c>
      <c r="BZ36">
        <f t="shared" si="26"/>
        <v>-0.64451052521418639</v>
      </c>
      <c r="CM36">
        <f t="shared" si="27"/>
        <v>-0.35698842861680458</v>
      </c>
      <c r="CN36">
        <f t="shared" si="38"/>
        <v>0.69978059511718083</v>
      </c>
      <c r="CO36" s="13">
        <f t="shared" si="10"/>
        <v>1.0000000000000001E-5</v>
      </c>
      <c r="CP36" s="13">
        <f t="shared" si="11"/>
        <v>0.69978059511718083</v>
      </c>
      <c r="CQ36">
        <v>0.72299999999999998</v>
      </c>
      <c r="CR36">
        <f t="shared" si="12"/>
        <v>0.01</v>
      </c>
      <c r="CS36">
        <f t="shared" si="13"/>
        <v>0.72299999999999998</v>
      </c>
      <c r="CT36">
        <v>0.3</v>
      </c>
      <c r="CU36">
        <v>0.3</v>
      </c>
      <c r="CV36">
        <v>0.3</v>
      </c>
    </row>
    <row r="37" spans="1:114" x14ac:dyDescent="0.25">
      <c r="A37">
        <v>36</v>
      </c>
      <c r="B37">
        <v>80</v>
      </c>
      <c r="C37" t="str">
        <f t="shared" si="28"/>
        <v>SSTens</v>
      </c>
      <c r="D37">
        <v>0.76200000000000001</v>
      </c>
      <c r="E37">
        <f t="shared" si="14"/>
        <v>762</v>
      </c>
      <c r="F37">
        <v>1.2699999999999999E-2</v>
      </c>
      <c r="G37">
        <f t="shared" si="15"/>
        <v>12.7</v>
      </c>
      <c r="H37">
        <f t="shared" si="16"/>
        <v>60</v>
      </c>
      <c r="I37">
        <v>30</v>
      </c>
      <c r="J37" t="s">
        <v>73</v>
      </c>
      <c r="K37">
        <f t="shared" si="29"/>
        <v>8</v>
      </c>
      <c r="L37">
        <f t="shared" si="30"/>
        <v>12</v>
      </c>
      <c r="M37">
        <f t="shared" si="31"/>
        <v>414000</v>
      </c>
      <c r="N37">
        <f t="shared" si="32"/>
        <v>517000</v>
      </c>
      <c r="O37">
        <f t="shared" si="33"/>
        <v>2.5466769467238102</v>
      </c>
      <c r="S37" t="s">
        <v>71</v>
      </c>
      <c r="T37" t="s">
        <v>74</v>
      </c>
      <c r="U37">
        <f t="shared" si="34"/>
        <v>18</v>
      </c>
      <c r="V37">
        <f t="shared" si="35"/>
        <v>0</v>
      </c>
      <c r="W37">
        <f t="shared" si="36"/>
        <v>75</v>
      </c>
      <c r="X37">
        <f t="shared" si="37"/>
        <v>0.72</v>
      </c>
      <c r="Y37">
        <v>0.9</v>
      </c>
      <c r="Z37">
        <v>0</v>
      </c>
      <c r="AB37">
        <f t="shared" si="17"/>
        <v>129.2702545099128</v>
      </c>
      <c r="AI37">
        <v>1.5</v>
      </c>
      <c r="AK37">
        <f t="shared" si="18"/>
        <v>0.10764414471571518</v>
      </c>
      <c r="AQ37">
        <f t="shared" si="19"/>
        <v>0.46262651833971924</v>
      </c>
      <c r="AR37">
        <f t="shared" si="20"/>
        <v>1.4626265183397194</v>
      </c>
      <c r="AV37">
        <v>-2.307229</v>
      </c>
      <c r="AW37">
        <v>0.5852366</v>
      </c>
      <c r="AX37">
        <v>0.201322</v>
      </c>
      <c r="BJ37">
        <v>1.4274935</v>
      </c>
      <c r="BK37">
        <v>-7.1050000000000002E-3</v>
      </c>
      <c r="BL37">
        <v>5.1415999999999996E-3</v>
      </c>
      <c r="BM37">
        <v>-1.4290590000000001</v>
      </c>
      <c r="BN37">
        <v>4.9200300000000002E-2</v>
      </c>
      <c r="BO37">
        <v>0.14513599999999999</v>
      </c>
      <c r="BP37">
        <v>2.0170299999999999E-2</v>
      </c>
      <c r="BQ37">
        <v>-1.032025</v>
      </c>
      <c r="BR37">
        <f t="shared" si="21"/>
        <v>-4.6730844270599627E-2</v>
      </c>
      <c r="BS37">
        <f t="shared" si="22"/>
        <v>0</v>
      </c>
      <c r="BU37">
        <f t="shared" si="23"/>
        <v>1</v>
      </c>
      <c r="BV37">
        <f t="shared" si="24"/>
        <v>0</v>
      </c>
      <c r="BW37">
        <f t="shared" si="25"/>
        <v>0</v>
      </c>
      <c r="BZ37">
        <f t="shared" si="26"/>
        <v>-4.6730844270599627E-2</v>
      </c>
      <c r="CM37">
        <f t="shared" si="27"/>
        <v>1.8835024417450885E-2</v>
      </c>
      <c r="CN37">
        <f t="shared" si="38"/>
        <v>1.0190135223999457</v>
      </c>
      <c r="CO37" s="13">
        <f t="shared" si="10"/>
        <v>1.0000000000000001E-5</v>
      </c>
      <c r="CP37" s="13">
        <f t="shared" si="11"/>
        <v>1.0190135223999457</v>
      </c>
      <c r="CQ37">
        <v>0.72299999999999998</v>
      </c>
      <c r="CR37">
        <f t="shared" si="12"/>
        <v>0.01</v>
      </c>
      <c r="CS37">
        <f t="shared" si="13"/>
        <v>0.72299999999999998</v>
      </c>
      <c r="CT37">
        <v>0.3</v>
      </c>
      <c r="CU37">
        <v>0.3</v>
      </c>
      <c r="CV37">
        <v>0.3</v>
      </c>
    </row>
    <row r="38" spans="1:114" x14ac:dyDescent="0.25">
      <c r="A38">
        <v>37</v>
      </c>
      <c r="B38">
        <v>80</v>
      </c>
      <c r="C38" t="str">
        <f t="shared" si="28"/>
        <v>SSTens</v>
      </c>
      <c r="D38">
        <v>0.86360000000000003</v>
      </c>
      <c r="E38">
        <f t="shared" si="14"/>
        <v>863.6</v>
      </c>
      <c r="F38">
        <v>1.1130000000000001E-2</v>
      </c>
      <c r="G38">
        <f t="shared" si="15"/>
        <v>11.13</v>
      </c>
      <c r="H38">
        <f t="shared" si="16"/>
        <v>77.592093441150041</v>
      </c>
      <c r="I38">
        <v>50</v>
      </c>
      <c r="J38" t="s">
        <v>75</v>
      </c>
      <c r="K38">
        <f t="shared" si="29"/>
        <v>14</v>
      </c>
      <c r="L38">
        <f t="shared" si="30"/>
        <v>15</v>
      </c>
      <c r="M38">
        <f t="shared" si="31"/>
        <v>483000</v>
      </c>
      <c r="N38">
        <f t="shared" si="32"/>
        <v>565000</v>
      </c>
      <c r="O38">
        <f t="shared" si="33"/>
        <v>2.8799444073326219</v>
      </c>
      <c r="S38" t="s">
        <v>71</v>
      </c>
      <c r="T38" t="s">
        <v>74</v>
      </c>
      <c r="U38">
        <f t="shared" si="34"/>
        <v>18</v>
      </c>
      <c r="V38">
        <f t="shared" si="35"/>
        <v>0</v>
      </c>
      <c r="W38">
        <f t="shared" si="36"/>
        <v>75</v>
      </c>
      <c r="X38">
        <f t="shared" si="37"/>
        <v>0.72</v>
      </c>
      <c r="Y38">
        <v>0.9</v>
      </c>
      <c r="Z38">
        <v>0</v>
      </c>
      <c r="AB38">
        <f t="shared" si="17"/>
        <v>146.50628844456784</v>
      </c>
      <c r="AI38">
        <v>1.5</v>
      </c>
      <c r="AK38">
        <f t="shared" si="18"/>
        <v>0.12199149455168937</v>
      </c>
      <c r="AQ38">
        <f t="shared" si="19"/>
        <v>0.57931434087634726</v>
      </c>
      <c r="AR38">
        <f t="shared" si="20"/>
        <v>1.5793143408763473</v>
      </c>
      <c r="AV38">
        <v>-2.307229</v>
      </c>
      <c r="AW38">
        <v>0.5852366</v>
      </c>
      <c r="AX38">
        <v>0.201322</v>
      </c>
      <c r="BJ38">
        <v>1.4274935</v>
      </c>
      <c r="BK38">
        <v>-7.1050000000000002E-3</v>
      </c>
      <c r="BL38">
        <v>5.1415999999999996E-3</v>
      </c>
      <c r="BM38">
        <v>-1.4290590000000001</v>
      </c>
      <c r="BN38">
        <v>4.9200300000000002E-2</v>
      </c>
      <c r="BO38">
        <v>0.14513599999999999</v>
      </c>
      <c r="BP38">
        <v>2.0170299999999999E-2</v>
      </c>
      <c r="BQ38">
        <v>-1.032025</v>
      </c>
      <c r="BR38">
        <f t="shared" si="21"/>
        <v>-0.13656097636803749</v>
      </c>
      <c r="BS38">
        <f t="shared" si="22"/>
        <v>0</v>
      </c>
      <c r="BU38">
        <f t="shared" si="23"/>
        <v>1</v>
      </c>
      <c r="BV38">
        <f t="shared" si="24"/>
        <v>0</v>
      </c>
      <c r="BW38">
        <f t="shared" si="25"/>
        <v>0</v>
      </c>
      <c r="BZ38">
        <f t="shared" si="26"/>
        <v>-0.13656097636803749</v>
      </c>
      <c r="CM38">
        <f t="shared" si="27"/>
        <v>3.4566429204756499E-2</v>
      </c>
      <c r="CN38">
        <f t="shared" si="38"/>
        <v>1.0351707916646211</v>
      </c>
      <c r="CO38" s="13">
        <f t="shared" si="10"/>
        <v>1.0000000000000001E-5</v>
      </c>
      <c r="CP38" s="13">
        <f t="shared" si="11"/>
        <v>1.0351707916646211</v>
      </c>
      <c r="CQ38">
        <v>0.72299999999999998</v>
      </c>
      <c r="CR38">
        <f t="shared" si="12"/>
        <v>0.01</v>
      </c>
      <c r="CS38">
        <f t="shared" si="13"/>
        <v>0.72299999999999998</v>
      </c>
      <c r="CT38">
        <v>0.3</v>
      </c>
      <c r="CU38">
        <v>0.3</v>
      </c>
      <c r="CV38">
        <v>0.3</v>
      </c>
    </row>
    <row r="39" spans="1:114" x14ac:dyDescent="0.25">
      <c r="A39">
        <v>38</v>
      </c>
      <c r="B39">
        <v>85</v>
      </c>
      <c r="C39" t="str">
        <f t="shared" si="28"/>
        <v>SSTens</v>
      </c>
      <c r="D39">
        <v>1.0668</v>
      </c>
      <c r="E39">
        <f t="shared" si="14"/>
        <v>1066.8</v>
      </c>
      <c r="F39">
        <v>1.2699999999999999E-2</v>
      </c>
      <c r="G39">
        <f t="shared" si="15"/>
        <v>12.7</v>
      </c>
      <c r="H39">
        <f t="shared" si="16"/>
        <v>84</v>
      </c>
      <c r="I39">
        <v>100</v>
      </c>
      <c r="J39" t="s">
        <v>77</v>
      </c>
      <c r="K39">
        <f t="shared" si="29"/>
        <v>15</v>
      </c>
      <c r="L39">
        <f t="shared" si="30"/>
        <v>20</v>
      </c>
      <c r="M39">
        <f t="shared" si="31"/>
        <v>552000</v>
      </c>
      <c r="N39">
        <f t="shared" si="32"/>
        <v>625000</v>
      </c>
      <c r="O39">
        <f t="shared" si="33"/>
        <v>2.9888368774026359</v>
      </c>
      <c r="S39" t="s">
        <v>71</v>
      </c>
      <c r="T39" t="s">
        <v>76</v>
      </c>
      <c r="U39">
        <f t="shared" si="34"/>
        <v>18.5</v>
      </c>
      <c r="V39">
        <f t="shared" si="35"/>
        <v>0</v>
      </c>
      <c r="W39">
        <f t="shared" si="36"/>
        <v>125</v>
      </c>
      <c r="X39">
        <f t="shared" si="37"/>
        <v>0.4</v>
      </c>
      <c r="Y39">
        <v>0.9</v>
      </c>
      <c r="Z39">
        <v>0</v>
      </c>
      <c r="AB39">
        <f t="shared" si="17"/>
        <v>167.57255214247957</v>
      </c>
      <c r="AI39">
        <v>1.5</v>
      </c>
      <c r="AK39">
        <f t="shared" si="18"/>
        <v>0.13917170396098252</v>
      </c>
      <c r="AQ39">
        <f t="shared" si="19"/>
        <v>0.70118132861093019</v>
      </c>
      <c r="AR39">
        <f t="shared" si="20"/>
        <v>2.2011813286109301</v>
      </c>
      <c r="AV39">
        <v>-2.307229</v>
      </c>
      <c r="AW39">
        <v>0.5852366</v>
      </c>
      <c r="AX39">
        <v>0.201322</v>
      </c>
      <c r="BJ39">
        <v>1.4274935</v>
      </c>
      <c r="BK39">
        <v>-7.1050000000000002E-3</v>
      </c>
      <c r="BL39">
        <v>5.1415999999999996E-3</v>
      </c>
      <c r="BM39">
        <v>-1.4290590000000001</v>
      </c>
      <c r="BN39">
        <v>4.9200300000000002E-2</v>
      </c>
      <c r="BO39">
        <v>0.14513599999999999</v>
      </c>
      <c r="BP39">
        <v>2.0170299999999999E-2</v>
      </c>
      <c r="BQ39">
        <v>-1.032025</v>
      </c>
      <c r="BR39">
        <f t="shared" si="21"/>
        <v>-0.19777054799268215</v>
      </c>
      <c r="BS39">
        <f t="shared" si="22"/>
        <v>0</v>
      </c>
      <c r="BU39">
        <f t="shared" si="23"/>
        <v>1</v>
      </c>
      <c r="BV39">
        <f t="shared" si="24"/>
        <v>0</v>
      </c>
      <c r="BW39">
        <f t="shared" si="25"/>
        <v>0</v>
      </c>
      <c r="BZ39">
        <f t="shared" si="26"/>
        <v>-0.19777054799268215</v>
      </c>
      <c r="CM39">
        <f t="shared" si="27"/>
        <v>-1.0808663411078889E-2</v>
      </c>
      <c r="CN39">
        <f t="shared" si="38"/>
        <v>0.98924954030109691</v>
      </c>
      <c r="CO39" s="13">
        <f t="shared" si="10"/>
        <v>1.0000000000000001E-5</v>
      </c>
      <c r="CP39" s="13">
        <f t="shared" si="11"/>
        <v>0.98924954030109691</v>
      </c>
      <c r="CQ39">
        <v>0.72299999999999998</v>
      </c>
      <c r="CR39">
        <f t="shared" si="12"/>
        <v>0.01</v>
      </c>
      <c r="CS39">
        <f t="shared" si="13"/>
        <v>0.72299999999999998</v>
      </c>
      <c r="CT39">
        <v>0.3</v>
      </c>
      <c r="CU39">
        <v>0.3</v>
      </c>
      <c r="CV39">
        <v>0.3</v>
      </c>
    </row>
    <row r="40" spans="1:114" x14ac:dyDescent="0.25">
      <c r="A40">
        <v>39</v>
      </c>
      <c r="B40">
        <v>85</v>
      </c>
      <c r="C40" t="str">
        <f t="shared" si="28"/>
        <v>SSTens</v>
      </c>
      <c r="D40">
        <v>0.60960000000000003</v>
      </c>
      <c r="E40">
        <f t="shared" si="14"/>
        <v>609.6</v>
      </c>
      <c r="F40">
        <v>1.1130000000000001E-2</v>
      </c>
      <c r="G40">
        <f t="shared" si="15"/>
        <v>11.13</v>
      </c>
      <c r="H40">
        <f t="shared" si="16"/>
        <v>54.770889487870619</v>
      </c>
      <c r="I40">
        <v>150</v>
      </c>
      <c r="J40" t="s">
        <v>100</v>
      </c>
      <c r="K40">
        <f t="shared" si="29"/>
        <v>3</v>
      </c>
      <c r="L40">
        <f t="shared" si="30"/>
        <v>9</v>
      </c>
      <c r="M40">
        <f t="shared" si="31"/>
        <v>290000</v>
      </c>
      <c r="N40">
        <f t="shared" si="32"/>
        <v>414000</v>
      </c>
      <c r="O40">
        <f t="shared" si="33"/>
        <v>1.7363704307629526</v>
      </c>
      <c r="S40" t="s">
        <v>71</v>
      </c>
      <c r="T40" t="s">
        <v>76</v>
      </c>
      <c r="U40">
        <f t="shared" si="34"/>
        <v>18.5</v>
      </c>
      <c r="V40">
        <f t="shared" si="35"/>
        <v>0</v>
      </c>
      <c r="W40">
        <f t="shared" si="36"/>
        <v>125</v>
      </c>
      <c r="X40">
        <f t="shared" si="37"/>
        <v>0.4</v>
      </c>
      <c r="Y40">
        <v>0.9</v>
      </c>
      <c r="Z40">
        <v>0</v>
      </c>
      <c r="AB40">
        <f t="shared" si="17"/>
        <v>95.755744081416907</v>
      </c>
      <c r="AI40">
        <v>7.5</v>
      </c>
      <c r="AK40">
        <f t="shared" si="18"/>
        <v>7.9294795208237082E-2</v>
      </c>
      <c r="AQ40">
        <f t="shared" si="19"/>
        <v>0.42306301468311602</v>
      </c>
      <c r="AR40">
        <f t="shared" si="20"/>
        <v>1.923063014683116</v>
      </c>
      <c r="AV40">
        <v>-2.307229</v>
      </c>
      <c r="AW40">
        <v>0.5852366</v>
      </c>
      <c r="AX40">
        <v>0.201322</v>
      </c>
      <c r="BJ40">
        <v>1.4274935</v>
      </c>
      <c r="BK40">
        <v>-7.1050000000000002E-3</v>
      </c>
      <c r="BL40">
        <v>5.1415999999999996E-3</v>
      </c>
      <c r="BM40">
        <v>-1.4290590000000001</v>
      </c>
      <c r="BN40">
        <v>4.9200300000000002E-2</v>
      </c>
      <c r="BO40">
        <v>0.14513599999999999</v>
      </c>
      <c r="BP40">
        <v>2.0170299999999999E-2</v>
      </c>
      <c r="BQ40">
        <v>-1.032025</v>
      </c>
      <c r="BR40">
        <f t="shared" si="21"/>
        <v>0</v>
      </c>
      <c r="BS40">
        <f t="shared" si="22"/>
        <v>2.3499863959925666</v>
      </c>
      <c r="BU40">
        <f t="shared" si="23"/>
        <v>0</v>
      </c>
      <c r="BV40">
        <f t="shared" si="24"/>
        <v>1</v>
      </c>
      <c r="BW40">
        <f t="shared" si="25"/>
        <v>0</v>
      </c>
      <c r="BZ40">
        <f t="shared" si="26"/>
        <v>2.3499863959925666</v>
      </c>
      <c r="CM40">
        <f t="shared" si="27"/>
        <v>17.660464038190291</v>
      </c>
      <c r="CN40">
        <f t="shared" si="38"/>
        <v>40</v>
      </c>
      <c r="CO40" s="13">
        <f t="shared" si="10"/>
        <v>1.0000000000000001E-5</v>
      </c>
      <c r="CP40" s="13">
        <f t="shared" si="11"/>
        <v>40</v>
      </c>
      <c r="CQ40">
        <v>0.72299999999999998</v>
      </c>
      <c r="CR40">
        <f t="shared" si="12"/>
        <v>0.01</v>
      </c>
      <c r="CS40">
        <f t="shared" si="13"/>
        <v>0.72299999999999998</v>
      </c>
      <c r="CT40">
        <v>0.3</v>
      </c>
      <c r="CU40">
        <v>0.3</v>
      </c>
      <c r="CV40">
        <v>0.3</v>
      </c>
    </row>
    <row r="41" spans="1:114" x14ac:dyDescent="0.25">
      <c r="A41">
        <v>40</v>
      </c>
      <c r="B41">
        <v>85</v>
      </c>
      <c r="C41" t="str">
        <f t="shared" si="28"/>
        <v>SSTens</v>
      </c>
      <c r="D41">
        <v>0.60960000000000003</v>
      </c>
      <c r="E41">
        <f t="shared" si="14"/>
        <v>609.6</v>
      </c>
      <c r="F41">
        <v>1.1130000000000001E-2</v>
      </c>
      <c r="G41">
        <f t="shared" si="15"/>
        <v>11.13</v>
      </c>
      <c r="H41">
        <f t="shared" si="16"/>
        <v>54.770889487870619</v>
      </c>
      <c r="I41">
        <v>200</v>
      </c>
      <c r="J41" t="s">
        <v>101</v>
      </c>
      <c r="K41">
        <f t="shared" si="29"/>
        <v>3</v>
      </c>
      <c r="L41">
        <f t="shared" si="30"/>
        <v>8</v>
      </c>
      <c r="M41">
        <f t="shared" si="31"/>
        <v>241000</v>
      </c>
      <c r="N41">
        <f t="shared" si="32"/>
        <v>344000</v>
      </c>
      <c r="O41">
        <f t="shared" si="33"/>
        <v>1.1599577949833839</v>
      </c>
      <c r="S41" t="s">
        <v>71</v>
      </c>
      <c r="T41" t="s">
        <v>76</v>
      </c>
      <c r="U41">
        <f t="shared" si="34"/>
        <v>18.5</v>
      </c>
      <c r="V41">
        <f t="shared" si="35"/>
        <v>0</v>
      </c>
      <c r="W41">
        <f t="shared" si="36"/>
        <v>125</v>
      </c>
      <c r="X41">
        <f t="shared" si="37"/>
        <v>0.4</v>
      </c>
      <c r="Y41">
        <v>0.9</v>
      </c>
      <c r="Z41">
        <v>0</v>
      </c>
      <c r="AB41">
        <f t="shared" si="17"/>
        <v>95.755744081416907</v>
      </c>
      <c r="AI41">
        <v>3.5</v>
      </c>
      <c r="AK41">
        <f t="shared" si="18"/>
        <v>7.8028077275326749E-2</v>
      </c>
      <c r="AQ41">
        <f t="shared" si="19"/>
        <v>0.43296023982302467</v>
      </c>
      <c r="AR41">
        <f t="shared" si="20"/>
        <v>1.9329602398230246</v>
      </c>
      <c r="AV41">
        <v>-2.307229</v>
      </c>
      <c r="AW41">
        <v>0.5852366</v>
      </c>
      <c r="AX41">
        <v>0.201322</v>
      </c>
      <c r="BJ41">
        <v>1.4274935</v>
      </c>
      <c r="BK41">
        <v>-7.1050000000000002E-3</v>
      </c>
      <c r="BL41">
        <v>5.1415999999999996E-3</v>
      </c>
      <c r="BM41">
        <v>-1.4290590000000001</v>
      </c>
      <c r="BN41">
        <v>4.9200300000000002E-2</v>
      </c>
      <c r="BO41">
        <v>0.14513599999999999</v>
      </c>
      <c r="BP41">
        <v>2.0170299999999999E-2</v>
      </c>
      <c r="BQ41">
        <v>-1.032025</v>
      </c>
      <c r="BR41">
        <f t="shared" si="21"/>
        <v>0</v>
      </c>
      <c r="BS41">
        <f t="shared" si="22"/>
        <v>0</v>
      </c>
      <c r="BU41">
        <f t="shared" si="23"/>
        <v>0</v>
      </c>
      <c r="BV41">
        <f t="shared" si="24"/>
        <v>0</v>
      </c>
      <c r="BW41">
        <f t="shared" si="25"/>
        <v>0</v>
      </c>
      <c r="BZ41">
        <f t="shared" si="26"/>
        <v>0</v>
      </c>
      <c r="CM41">
        <f t="shared" si="27"/>
        <v>3.5566068246042359E-2</v>
      </c>
      <c r="CN41">
        <f t="shared" si="38"/>
        <v>1.0362061061865622</v>
      </c>
      <c r="CO41" s="13">
        <f t="shared" si="10"/>
        <v>1.0000000000000001E-5</v>
      </c>
      <c r="CP41" s="13">
        <f t="shared" si="11"/>
        <v>1.0362061061865622</v>
      </c>
      <c r="CQ41">
        <v>0.72299999999999998</v>
      </c>
      <c r="CR41">
        <f t="shared" si="12"/>
        <v>0.01</v>
      </c>
      <c r="CS41">
        <f t="shared" si="13"/>
        <v>0.72299999999999998</v>
      </c>
      <c r="CT41">
        <v>0.3</v>
      </c>
      <c r="CU41">
        <v>0.3</v>
      </c>
      <c r="CV41">
        <v>0.3</v>
      </c>
    </row>
    <row r="42" spans="1:114" x14ac:dyDescent="0.25">
      <c r="A42">
        <v>41</v>
      </c>
      <c r="B42">
        <v>170</v>
      </c>
      <c r="C42" t="str">
        <f>IF(AND(B42&gt;=0,B42&lt;=10),"Normal",IF(AND(B42&gt;10,B42&lt;90),"SSTens",IF(AND(B42&gt;=90,B42&lt;170),"SSComp",IF(AND(B42&gt;=170,B42&lt;=180),"Reverse"))))</f>
        <v>Reverse</v>
      </c>
      <c r="D42">
        <v>0.20319999999999999</v>
      </c>
      <c r="E42">
        <f>D42*1000</f>
        <v>203.2</v>
      </c>
      <c r="F42">
        <v>1.11252E-2</v>
      </c>
      <c r="G42">
        <f>F42*1000</f>
        <v>11.1252</v>
      </c>
      <c r="H42">
        <f>D42/F42</f>
        <v>18.264840182648403</v>
      </c>
      <c r="I42">
        <v>30</v>
      </c>
      <c r="R42">
        <v>75</v>
      </c>
      <c r="S42" t="s">
        <v>78</v>
      </c>
      <c r="T42" t="s">
        <v>79</v>
      </c>
      <c r="U42">
        <f t="shared" ref="U42:U62" si="39">IF(T42="medium dense",18,IF(T42="dense",18.5,IF(T42="very dense",19,IF(T42="soft",17.5,IF(T42="medium stiff",18,IF(T42="stiff",18.5,0))))))</f>
        <v>18</v>
      </c>
      <c r="V42">
        <f t="shared" ref="V42:V62" si="40">IF(T42="medium dense",37,IF(T42="dense",40,IF(T42="very dense",43,0)))</f>
        <v>37</v>
      </c>
      <c r="W42">
        <f t="shared" ref="W42:W62" si="41">IF(T42="soft",37.5,IF(T42="medium stiff",75,IF(T42="stiff",125,0)))</f>
        <v>0</v>
      </c>
      <c r="X42">
        <f t="shared" ref="X42:X62" si="42">IF(T42="soft",1.1,IF(T42="medium stiff",0.72,IF(T42="stiff",0.4,0)))</f>
        <v>0</v>
      </c>
      <c r="Y42">
        <v>0.9</v>
      </c>
      <c r="Z42">
        <v>1</v>
      </c>
      <c r="AB42">
        <f t="shared" ref="AB42:AB61" si="43">IF(S42="sand", PI() * D42 * Z42*U42 * TAN(RADIANS(Y42*V42)), PI() * D42 * X42 * W42)</f>
        <v>7.5479720641402661</v>
      </c>
      <c r="AH42">
        <f t="shared" ref="AH42:AH81" si="44">LN(AB42)</f>
        <v>2.0212789264051603</v>
      </c>
      <c r="AI42">
        <v>0.1</v>
      </c>
      <c r="AS42">
        <f t="shared" ref="AS42:AS61" si="45">IF(AND(R42&lt;=90,R42&gt;60),60-R42,0)</f>
        <v>-15</v>
      </c>
      <c r="AT42">
        <f t="shared" ref="AT42:AT61" si="46">IF(D42&lt;0.5,1,0)</f>
        <v>1</v>
      </c>
      <c r="AU42">
        <f t="shared" ref="AU42:AU61" si="47">LN(H42)</f>
        <v>2.9049779102855271</v>
      </c>
      <c r="AV42">
        <f t="shared" ref="AV42:AV61" si="48">-4.11127 + 0.6064 * D42 + 0.002805 * I42 + 0.038944*AS42</f>
        <v>-4.4880595200000002</v>
      </c>
      <c r="AW42">
        <f t="shared" ref="AW42:AW61" si="49">0.42882 + 0.09845 * D42 + 0.0006 * I42 + 0.01203*AS42</f>
        <v>0.28637503999999997</v>
      </c>
      <c r="AX42">
        <f t="shared" ref="AX42:AX61" si="50">2.64335 + (-0.36353*D42) + 0.00086 * I42 + (-0.05422*AS42)</f>
        <v>3.4085807039999998</v>
      </c>
      <c r="AY42">
        <f t="shared" ref="AY42:AY61" si="51">-4.57877 + (-0.04142 * (AU42*AU42)) + (0.9346 * AU42) + (0.4714 * AH42) + (0.00007*(180-R42)) + (-5.2467 * AT42 * (D42-0.5)) + (-0.28986 * (1-AT42))</f>
        <v>0.30408470123424092</v>
      </c>
      <c r="BZ42">
        <f t="shared" ref="BZ42:BZ61" si="52">2.29445 + (-0.04675*D42) + (-0.00104 * I42) + (-0.09201 * AS42)</f>
        <v>3.6339003999999999</v>
      </c>
      <c r="CB42">
        <f t="shared" ref="CB42:CB81" si="53">LN(AI42)</f>
        <v>-2.3025850929940455</v>
      </c>
      <c r="CC42">
        <f t="shared" ref="CC42:CC61" si="54">CB42-AV42</f>
        <v>2.1854744270059547</v>
      </c>
      <c r="CD42">
        <f t="shared" ref="CD42:CD61" si="55">CC42/BZ42</f>
        <v>0.60141285848284531</v>
      </c>
      <c r="CE42">
        <f t="shared" ref="CE42:CE49" si="56">IF(ISNUMBER(ATANH(CD42)),ATANH(CD42),100)</f>
        <v>0.69535770349394732</v>
      </c>
      <c r="CF42">
        <f t="shared" ref="CF42:CF61" si="57">CE42/AW42</f>
        <v>2.4281365565027855</v>
      </c>
      <c r="CM42">
        <f t="shared" ref="CM42:CM61" si="58">CF42-AX42+AY42</f>
        <v>-0.6763594462629734</v>
      </c>
      <c r="CN42">
        <f>(MIN(5,EXP(CM42)))</f>
        <v>0.50846472008565746</v>
      </c>
      <c r="CO42" s="13">
        <f t="shared" si="10"/>
        <v>0.50846472008565746</v>
      </c>
      <c r="CP42" s="13">
        <f t="shared" si="11"/>
        <v>1.0000000000000001E-5</v>
      </c>
      <c r="CQ42">
        <f t="shared" ref="CQ42:CQ61" si="59">$DE$52</f>
        <v>0.57229738456854751</v>
      </c>
      <c r="CR42">
        <f t="shared" si="12"/>
        <v>0.57229738456854751</v>
      </c>
      <c r="CS42">
        <f t="shared" si="13"/>
        <v>0.01</v>
      </c>
      <c r="CT42">
        <v>0.3</v>
      </c>
      <c r="CU42">
        <v>0.3</v>
      </c>
      <c r="CV42">
        <v>0.3</v>
      </c>
      <c r="CZ42" t="s">
        <v>108</v>
      </c>
    </row>
    <row r="43" spans="1:114" x14ac:dyDescent="0.25">
      <c r="A43">
        <v>42</v>
      </c>
      <c r="B43">
        <v>180</v>
      </c>
      <c r="C43" t="str">
        <f t="shared" ref="C43:C61" si="60">IF(AND(B43&gt;=0,B43&lt;=10),"Normal",IF(AND(B43&gt;10,B43&lt;90),"SSTens",IF(AND(B43&gt;=90,B43&lt;170),"SSComp",IF(AND(B43&gt;=170,B43&lt;=180),"Reverse"))))</f>
        <v>Reverse</v>
      </c>
      <c r="D43">
        <v>0.30480000000000002</v>
      </c>
      <c r="E43">
        <f t="shared" ref="E43:G61" si="61">D43*1000</f>
        <v>304.8</v>
      </c>
      <c r="F43">
        <v>7.1399999999999996E-3</v>
      </c>
      <c r="G43">
        <f t="shared" si="61"/>
        <v>7.14</v>
      </c>
      <c r="H43">
        <f t="shared" ref="H43:H61" si="62">D43/F43</f>
        <v>42.689075630252105</v>
      </c>
      <c r="I43">
        <v>30</v>
      </c>
      <c r="R43">
        <v>65</v>
      </c>
      <c r="S43" t="s">
        <v>78</v>
      </c>
      <c r="T43" t="s">
        <v>80</v>
      </c>
      <c r="U43">
        <f t="shared" si="39"/>
        <v>18.5</v>
      </c>
      <c r="V43">
        <f t="shared" si="40"/>
        <v>40</v>
      </c>
      <c r="W43">
        <f t="shared" si="41"/>
        <v>0</v>
      </c>
      <c r="X43">
        <f t="shared" si="42"/>
        <v>0</v>
      </c>
      <c r="Y43">
        <v>0.9</v>
      </c>
      <c r="Z43">
        <v>1.2</v>
      </c>
      <c r="AB43">
        <f t="shared" si="43"/>
        <v>15.444677723460234</v>
      </c>
      <c r="AH43">
        <f t="shared" si="44"/>
        <v>2.7372644600771081</v>
      </c>
      <c r="AI43">
        <v>0.1</v>
      </c>
      <c r="AS43">
        <f t="shared" si="45"/>
        <v>-5</v>
      </c>
      <c r="AT43">
        <f t="shared" si="46"/>
        <v>1</v>
      </c>
      <c r="AU43">
        <f t="shared" si="47"/>
        <v>3.7539430474609983</v>
      </c>
      <c r="AV43">
        <f t="shared" si="48"/>
        <v>-4.0370092800000004</v>
      </c>
      <c r="AW43">
        <f t="shared" si="49"/>
        <v>0.41667756</v>
      </c>
      <c r="AX43">
        <f t="shared" si="50"/>
        <v>2.8294460559999997</v>
      </c>
      <c r="AY43">
        <f t="shared" si="51"/>
        <v>0.66852317696108277</v>
      </c>
      <c r="BZ43">
        <f t="shared" si="52"/>
        <v>2.7090505999999994</v>
      </c>
      <c r="CB43">
        <f t="shared" si="53"/>
        <v>-2.3025850929940455</v>
      </c>
      <c r="CC43">
        <f t="shared" si="54"/>
        <v>1.7344241870059549</v>
      </c>
      <c r="CD43">
        <f t="shared" si="55"/>
        <v>0.64023321934479749</v>
      </c>
      <c r="CE43">
        <f t="shared" si="56"/>
        <v>0.75856886381101818</v>
      </c>
      <c r="CF43">
        <f t="shared" si="57"/>
        <v>1.8205176775322822</v>
      </c>
      <c r="CM43">
        <f t="shared" si="58"/>
        <v>-0.34040520150663467</v>
      </c>
      <c r="CN43">
        <f t="shared" ref="CN43:CN61" si="63">EXP(CM43)</f>
        <v>0.71148197077972275</v>
      </c>
      <c r="CO43" s="13">
        <f t="shared" si="10"/>
        <v>0.71148197077972275</v>
      </c>
      <c r="CP43" s="13">
        <f t="shared" si="11"/>
        <v>1.0000000000000001E-5</v>
      </c>
      <c r="CQ43">
        <f t="shared" si="59"/>
        <v>0.57229738456854751</v>
      </c>
      <c r="CR43">
        <f t="shared" si="12"/>
        <v>0.57229738456854751</v>
      </c>
      <c r="CS43">
        <f t="shared" si="13"/>
        <v>0.01</v>
      </c>
      <c r="CT43">
        <v>0.3</v>
      </c>
      <c r="CU43">
        <v>0.3</v>
      </c>
      <c r="CV43">
        <v>0.3</v>
      </c>
    </row>
    <row r="44" spans="1:114" x14ac:dyDescent="0.25">
      <c r="A44">
        <v>43</v>
      </c>
      <c r="B44">
        <v>175</v>
      </c>
      <c r="C44" t="str">
        <f t="shared" si="60"/>
        <v>Reverse</v>
      </c>
      <c r="D44">
        <v>0.40639999999999998</v>
      </c>
      <c r="E44">
        <f t="shared" si="61"/>
        <v>406.4</v>
      </c>
      <c r="F44">
        <v>9.5299999999999985E-3</v>
      </c>
      <c r="G44">
        <f t="shared" si="61"/>
        <v>9.5299999999999994</v>
      </c>
      <c r="H44">
        <f t="shared" si="62"/>
        <v>42.644281217208821</v>
      </c>
      <c r="I44">
        <v>50</v>
      </c>
      <c r="R44">
        <v>58</v>
      </c>
      <c r="S44" t="s">
        <v>78</v>
      </c>
      <c r="T44" t="s">
        <v>81</v>
      </c>
      <c r="U44">
        <f t="shared" si="39"/>
        <v>19</v>
      </c>
      <c r="V44">
        <f t="shared" si="40"/>
        <v>43</v>
      </c>
      <c r="W44">
        <f t="shared" si="41"/>
        <v>0</v>
      </c>
      <c r="X44">
        <f t="shared" si="42"/>
        <v>0</v>
      </c>
      <c r="Y44">
        <v>0.9</v>
      </c>
      <c r="Z44">
        <v>1.5</v>
      </c>
      <c r="AB44">
        <f t="shared" si="43"/>
        <v>29.151630415531248</v>
      </c>
      <c r="AH44">
        <f t="shared" si="44"/>
        <v>3.3725108431545396</v>
      </c>
      <c r="AI44">
        <v>0.15</v>
      </c>
      <c r="AS44">
        <f t="shared" si="45"/>
        <v>0</v>
      </c>
      <c r="AT44">
        <f t="shared" si="46"/>
        <v>1</v>
      </c>
      <c r="AU44">
        <f t="shared" si="47"/>
        <v>3.7528931785981614</v>
      </c>
      <c r="AV44">
        <f t="shared" si="48"/>
        <v>-3.7245790400000001</v>
      </c>
      <c r="AW44">
        <f t="shared" si="49"/>
        <v>0.49883007999999995</v>
      </c>
      <c r="AX44">
        <f t="shared" si="50"/>
        <v>2.538611408</v>
      </c>
      <c r="AY44">
        <f t="shared" si="51"/>
        <v>0.43474883354399235</v>
      </c>
      <c r="BZ44">
        <f t="shared" si="52"/>
        <v>2.2234507999999997</v>
      </c>
      <c r="CB44">
        <f t="shared" si="53"/>
        <v>-1.8971199848858813</v>
      </c>
      <c r="CC44">
        <f t="shared" si="54"/>
        <v>1.8274590551141188</v>
      </c>
      <c r="CD44">
        <f t="shared" si="55"/>
        <v>0.82190217796324483</v>
      </c>
      <c r="CE44">
        <f t="shared" si="56"/>
        <v>1.1626517128318059</v>
      </c>
      <c r="CF44">
        <f t="shared" si="57"/>
        <v>2.3307570241790674</v>
      </c>
      <c r="CM44">
        <f t="shared" si="58"/>
        <v>0.22689444972305978</v>
      </c>
      <c r="CN44">
        <f t="shared" si="63"/>
        <v>1.2546974272899019</v>
      </c>
      <c r="CO44" s="13">
        <f t="shared" si="10"/>
        <v>1.2546974272899019</v>
      </c>
      <c r="CP44" s="13">
        <f t="shared" si="11"/>
        <v>1.0000000000000001E-5</v>
      </c>
      <c r="CQ44">
        <f t="shared" si="59"/>
        <v>0.57229738456854751</v>
      </c>
      <c r="CR44">
        <f t="shared" si="12"/>
        <v>0.57229738456854751</v>
      </c>
      <c r="CS44">
        <f t="shared" si="13"/>
        <v>0.01</v>
      </c>
      <c r="CT44">
        <v>0.3</v>
      </c>
      <c r="CU44">
        <v>0.3</v>
      </c>
      <c r="CV44">
        <v>0.3</v>
      </c>
    </row>
    <row r="45" spans="1:114" x14ac:dyDescent="0.25">
      <c r="A45">
        <v>44</v>
      </c>
      <c r="B45">
        <v>172</v>
      </c>
      <c r="C45" t="str">
        <f t="shared" si="60"/>
        <v>Reverse</v>
      </c>
      <c r="D45">
        <v>0.50800000000000001</v>
      </c>
      <c r="E45">
        <f t="shared" si="61"/>
        <v>508</v>
      </c>
      <c r="F45">
        <v>1.1130000000000001E-2</v>
      </c>
      <c r="G45">
        <f t="shared" si="61"/>
        <v>11.13</v>
      </c>
      <c r="H45">
        <f t="shared" si="62"/>
        <v>45.642407906558844</v>
      </c>
      <c r="I45">
        <v>100</v>
      </c>
      <c r="R45">
        <v>51</v>
      </c>
      <c r="S45" t="s">
        <v>78</v>
      </c>
      <c r="T45" t="s">
        <v>79</v>
      </c>
      <c r="U45">
        <f t="shared" si="39"/>
        <v>18</v>
      </c>
      <c r="V45">
        <f t="shared" si="40"/>
        <v>37</v>
      </c>
      <c r="W45">
        <f t="shared" si="41"/>
        <v>0</v>
      </c>
      <c r="X45">
        <f t="shared" si="42"/>
        <v>0</v>
      </c>
      <c r="Y45">
        <v>0.9</v>
      </c>
      <c r="Z45">
        <v>1</v>
      </c>
      <c r="AB45">
        <f t="shared" si="43"/>
        <v>18.869930160350666</v>
      </c>
      <c r="AH45">
        <f t="shared" si="44"/>
        <v>2.9375696582793154</v>
      </c>
      <c r="AI45">
        <v>0.2</v>
      </c>
      <c r="AS45">
        <f t="shared" si="45"/>
        <v>0</v>
      </c>
      <c r="AT45">
        <f t="shared" si="46"/>
        <v>0</v>
      </c>
      <c r="AU45">
        <f t="shared" si="47"/>
        <v>3.8208372822910284</v>
      </c>
      <c r="AV45">
        <f t="shared" si="48"/>
        <v>-3.5227188000000003</v>
      </c>
      <c r="AW45">
        <f t="shared" si="49"/>
        <v>0.53883259999999999</v>
      </c>
      <c r="AX45">
        <f t="shared" si="50"/>
        <v>2.5446767599999998</v>
      </c>
      <c r="AY45">
        <f t="shared" si="51"/>
        <v>-0.50855733307133744</v>
      </c>
      <c r="BZ45">
        <f t="shared" si="52"/>
        <v>2.1667009999999998</v>
      </c>
      <c r="CB45">
        <f t="shared" si="53"/>
        <v>-1.6094379124341003</v>
      </c>
      <c r="CC45">
        <f t="shared" si="54"/>
        <v>1.9132808875659</v>
      </c>
      <c r="CD45">
        <f t="shared" si="55"/>
        <v>0.88303872457062615</v>
      </c>
      <c r="CE45">
        <f t="shared" si="56"/>
        <v>1.3893995965142862</v>
      </c>
      <c r="CF45">
        <f t="shared" si="57"/>
        <v>2.5785366299557344</v>
      </c>
      <c r="CM45">
        <f t="shared" si="58"/>
        <v>-0.47469746311560279</v>
      </c>
      <c r="CN45">
        <f t="shared" si="63"/>
        <v>0.62207322809545029</v>
      </c>
      <c r="CO45" s="13">
        <f t="shared" si="10"/>
        <v>0.62207322809545029</v>
      </c>
      <c r="CP45" s="13">
        <f t="shared" si="11"/>
        <v>1.0000000000000001E-5</v>
      </c>
      <c r="CQ45">
        <f t="shared" si="59"/>
        <v>0.57229738456854751</v>
      </c>
      <c r="CR45">
        <f t="shared" si="12"/>
        <v>0.57229738456854751</v>
      </c>
      <c r="CS45">
        <f t="shared" si="13"/>
        <v>0.01</v>
      </c>
      <c r="CT45">
        <v>0.3</v>
      </c>
      <c r="CU45">
        <v>0.3</v>
      </c>
      <c r="CV45">
        <v>0.3</v>
      </c>
    </row>
    <row r="46" spans="1:114" x14ac:dyDescent="0.25">
      <c r="A46">
        <v>45</v>
      </c>
      <c r="B46">
        <v>172</v>
      </c>
      <c r="C46" t="str">
        <f t="shared" si="60"/>
        <v>Reverse</v>
      </c>
      <c r="D46">
        <v>0.60960000000000003</v>
      </c>
      <c r="E46">
        <f t="shared" si="61"/>
        <v>609.6</v>
      </c>
      <c r="F46">
        <v>9.5299999999999985E-3</v>
      </c>
      <c r="G46">
        <f t="shared" si="61"/>
        <v>9.5299999999999994</v>
      </c>
      <c r="H46">
        <f t="shared" si="62"/>
        <v>63.966421825813235</v>
      </c>
      <c r="I46">
        <v>15</v>
      </c>
      <c r="R46">
        <v>44</v>
      </c>
      <c r="S46" t="s">
        <v>78</v>
      </c>
      <c r="T46" t="s">
        <v>80</v>
      </c>
      <c r="U46">
        <f t="shared" si="39"/>
        <v>18.5</v>
      </c>
      <c r="V46">
        <f t="shared" si="40"/>
        <v>40</v>
      </c>
      <c r="W46">
        <f t="shared" si="41"/>
        <v>0</v>
      </c>
      <c r="X46">
        <f t="shared" si="42"/>
        <v>0</v>
      </c>
      <c r="Y46">
        <v>0.9</v>
      </c>
      <c r="Z46">
        <v>1.2</v>
      </c>
      <c r="AB46">
        <f t="shared" si="43"/>
        <v>30.889355446920469</v>
      </c>
      <c r="AH46">
        <f t="shared" si="44"/>
        <v>3.4304116406370531</v>
      </c>
      <c r="AI46">
        <v>0.2</v>
      </c>
      <c r="AS46">
        <f t="shared" si="45"/>
        <v>0</v>
      </c>
      <c r="AT46">
        <f t="shared" si="46"/>
        <v>0</v>
      </c>
      <c r="AU46">
        <f t="shared" si="47"/>
        <v>4.158358286706326</v>
      </c>
      <c r="AV46">
        <f t="shared" si="48"/>
        <v>-3.6995335599999999</v>
      </c>
      <c r="AW46">
        <f t="shared" si="49"/>
        <v>0.49783511999999996</v>
      </c>
      <c r="AX46">
        <f t="shared" si="50"/>
        <v>2.4346421120000001</v>
      </c>
      <c r="AY46">
        <f t="shared" si="51"/>
        <v>-7.1844603442407146E-2</v>
      </c>
      <c r="BZ46">
        <f t="shared" si="52"/>
        <v>2.2503511999999999</v>
      </c>
      <c r="CB46">
        <f t="shared" si="53"/>
        <v>-1.6094379124341003</v>
      </c>
      <c r="CC46">
        <f t="shared" si="54"/>
        <v>2.0900956475658994</v>
      </c>
      <c r="CD46">
        <f t="shared" si="55"/>
        <v>0.92878642567697856</v>
      </c>
      <c r="CE46">
        <f t="shared" si="56"/>
        <v>1.6494814191438925</v>
      </c>
      <c r="CF46">
        <f t="shared" si="57"/>
        <v>3.3133086696332161</v>
      </c>
      <c r="CM46">
        <f t="shared" si="58"/>
        <v>0.80682195419080882</v>
      </c>
      <c r="CN46">
        <f t="shared" si="63"/>
        <v>2.2407753720113077</v>
      </c>
      <c r="CO46" s="13">
        <f t="shared" si="10"/>
        <v>2.2407753720113077</v>
      </c>
      <c r="CP46" s="13">
        <f t="shared" si="11"/>
        <v>1.0000000000000001E-5</v>
      </c>
      <c r="CQ46">
        <f t="shared" si="59"/>
        <v>0.57229738456854751</v>
      </c>
      <c r="CR46">
        <f t="shared" si="12"/>
        <v>0.57229738456854751</v>
      </c>
      <c r="CS46">
        <f t="shared" si="13"/>
        <v>0.01</v>
      </c>
      <c r="CT46">
        <v>0.3</v>
      </c>
      <c r="CU46">
        <v>0.3</v>
      </c>
      <c r="CV46">
        <v>0.3</v>
      </c>
    </row>
    <row r="47" spans="1:114" x14ac:dyDescent="0.25">
      <c r="A47">
        <v>46</v>
      </c>
      <c r="B47">
        <v>170</v>
      </c>
      <c r="C47" t="str">
        <f t="shared" si="60"/>
        <v>Reverse</v>
      </c>
      <c r="D47">
        <v>0.76200000000000001</v>
      </c>
      <c r="E47">
        <f t="shared" si="61"/>
        <v>762</v>
      </c>
      <c r="F47">
        <v>1.2699999999999999E-2</v>
      </c>
      <c r="G47">
        <f t="shared" si="61"/>
        <v>12.7</v>
      </c>
      <c r="H47">
        <f t="shared" si="62"/>
        <v>60</v>
      </c>
      <c r="I47">
        <v>30</v>
      </c>
      <c r="R47">
        <v>37</v>
      </c>
      <c r="S47" t="s">
        <v>78</v>
      </c>
      <c r="T47" t="s">
        <v>81</v>
      </c>
      <c r="U47">
        <f t="shared" si="39"/>
        <v>19</v>
      </c>
      <c r="V47">
        <f t="shared" si="40"/>
        <v>43</v>
      </c>
      <c r="W47">
        <f t="shared" si="41"/>
        <v>0</v>
      </c>
      <c r="X47">
        <f t="shared" si="42"/>
        <v>0</v>
      </c>
      <c r="Y47">
        <v>0.9</v>
      </c>
      <c r="Z47">
        <v>1.5</v>
      </c>
      <c r="AB47">
        <f t="shared" si="43"/>
        <v>54.659307029121074</v>
      </c>
      <c r="AH47">
        <f t="shared" si="44"/>
        <v>4.0011195025769135</v>
      </c>
      <c r="AI47">
        <v>0.25</v>
      </c>
      <c r="AS47">
        <f t="shared" si="45"/>
        <v>0</v>
      </c>
      <c r="AT47">
        <f t="shared" si="46"/>
        <v>0</v>
      </c>
      <c r="AU47">
        <f t="shared" si="47"/>
        <v>4.0943445622221004</v>
      </c>
      <c r="AV47">
        <f t="shared" si="48"/>
        <v>-3.5650431999999999</v>
      </c>
      <c r="AW47">
        <f t="shared" si="49"/>
        <v>0.52183889999999999</v>
      </c>
      <c r="AX47">
        <f t="shared" si="50"/>
        <v>2.3921401399999995</v>
      </c>
      <c r="AY47">
        <f t="shared" si="51"/>
        <v>0.15973147209986455</v>
      </c>
      <c r="BZ47">
        <f t="shared" si="52"/>
        <v>2.2276265</v>
      </c>
      <c r="CB47">
        <f t="shared" si="53"/>
        <v>-1.3862943611198906</v>
      </c>
      <c r="CC47">
        <f t="shared" si="54"/>
        <v>2.1787488388801091</v>
      </c>
      <c r="CD47">
        <f t="shared" si="55"/>
        <v>0.97805841279052352</v>
      </c>
      <c r="CE47">
        <f t="shared" si="56"/>
        <v>2.2507436237850884</v>
      </c>
      <c r="CF47">
        <f t="shared" si="57"/>
        <v>4.3131005062771068</v>
      </c>
      <c r="CM47">
        <f t="shared" si="58"/>
        <v>2.0806918383769717</v>
      </c>
      <c r="CN47">
        <f t="shared" si="63"/>
        <v>8.0100086291512458</v>
      </c>
      <c r="CO47" s="13">
        <f t="shared" si="10"/>
        <v>8.0100086291512458</v>
      </c>
      <c r="CP47" s="13">
        <f t="shared" si="11"/>
        <v>1.0000000000000001E-5</v>
      </c>
      <c r="CQ47">
        <f t="shared" si="59"/>
        <v>0.57229738456854751</v>
      </c>
      <c r="CR47">
        <f t="shared" si="12"/>
        <v>0.57229738456854751</v>
      </c>
      <c r="CS47">
        <f t="shared" si="13"/>
        <v>0.01</v>
      </c>
      <c r="CT47">
        <v>0.3</v>
      </c>
      <c r="CU47">
        <v>0.3</v>
      </c>
      <c r="CV47">
        <v>0.3</v>
      </c>
    </row>
    <row r="48" spans="1:114" x14ac:dyDescent="0.25">
      <c r="A48">
        <v>47</v>
      </c>
      <c r="B48">
        <v>175</v>
      </c>
      <c r="C48" t="str">
        <f t="shared" si="60"/>
        <v>Reverse</v>
      </c>
      <c r="D48">
        <v>0.86360000000000003</v>
      </c>
      <c r="E48">
        <f t="shared" si="61"/>
        <v>863.6</v>
      </c>
      <c r="F48">
        <v>1.1130000000000001E-2</v>
      </c>
      <c r="G48">
        <f t="shared" si="61"/>
        <v>11.13</v>
      </c>
      <c r="H48">
        <f t="shared" si="62"/>
        <v>77.592093441150041</v>
      </c>
      <c r="I48">
        <v>50</v>
      </c>
      <c r="R48">
        <v>30</v>
      </c>
      <c r="S48" t="s">
        <v>78</v>
      </c>
      <c r="T48" t="s">
        <v>79</v>
      </c>
      <c r="U48">
        <f t="shared" si="39"/>
        <v>18</v>
      </c>
      <c r="V48">
        <f t="shared" si="40"/>
        <v>37</v>
      </c>
      <c r="W48">
        <f t="shared" si="41"/>
        <v>0</v>
      </c>
      <c r="X48">
        <f t="shared" si="42"/>
        <v>0</v>
      </c>
      <c r="Y48">
        <v>0.9</v>
      </c>
      <c r="Z48">
        <v>1</v>
      </c>
      <c r="AB48">
        <f t="shared" si="43"/>
        <v>32.078881272596128</v>
      </c>
      <c r="AH48">
        <f t="shared" si="44"/>
        <v>3.4681979093414856</v>
      </c>
      <c r="AI48">
        <v>0.28000000000000003</v>
      </c>
      <c r="AS48">
        <f t="shared" si="45"/>
        <v>0</v>
      </c>
      <c r="AT48">
        <f t="shared" si="46"/>
        <v>0</v>
      </c>
      <c r="AU48">
        <f t="shared" si="47"/>
        <v>4.3514655333531991</v>
      </c>
      <c r="AV48">
        <f t="shared" si="48"/>
        <v>-3.4473329600000002</v>
      </c>
      <c r="AW48">
        <f t="shared" si="49"/>
        <v>0.54384142000000002</v>
      </c>
      <c r="AX48">
        <f t="shared" si="50"/>
        <v>2.3724054919999999</v>
      </c>
      <c r="AY48">
        <f t="shared" si="51"/>
        <v>5.9360032168138954E-2</v>
      </c>
      <c r="BZ48">
        <f t="shared" si="52"/>
        <v>2.2020766999999997</v>
      </c>
      <c r="CB48">
        <f t="shared" si="53"/>
        <v>-1.2729656758128873</v>
      </c>
      <c r="CC48">
        <f t="shared" si="54"/>
        <v>2.1743672841871131</v>
      </c>
      <c r="CD48">
        <f t="shared" si="55"/>
        <v>0.98741668906769386</v>
      </c>
      <c r="CE48">
        <f t="shared" si="56"/>
        <v>2.5311097606942257</v>
      </c>
      <c r="CF48">
        <f t="shared" si="57"/>
        <v>4.6541320090960072</v>
      </c>
      <c r="CM48">
        <f t="shared" si="58"/>
        <v>2.3410865492641464</v>
      </c>
      <c r="CN48">
        <f t="shared" si="63"/>
        <v>10.392522417888488</v>
      </c>
      <c r="CO48" s="13">
        <f t="shared" si="10"/>
        <v>10.392522417888488</v>
      </c>
      <c r="CP48" s="13">
        <f t="shared" si="11"/>
        <v>1.0000000000000001E-5</v>
      </c>
      <c r="CQ48">
        <f t="shared" si="59"/>
        <v>0.57229738456854751</v>
      </c>
      <c r="CR48">
        <f t="shared" si="12"/>
        <v>0.57229738456854751</v>
      </c>
      <c r="CS48">
        <f t="shared" si="13"/>
        <v>0.01</v>
      </c>
      <c r="CT48">
        <v>0.3</v>
      </c>
      <c r="CU48">
        <v>0.3</v>
      </c>
      <c r="CV48">
        <v>0.3</v>
      </c>
      <c r="DB48" t="s">
        <v>109</v>
      </c>
      <c r="DC48">
        <v>-0.28299999999999997</v>
      </c>
      <c r="DE48" t="s">
        <v>110</v>
      </c>
      <c r="DF48" t="s">
        <v>111</v>
      </c>
      <c r="DG48" t="s">
        <v>112</v>
      </c>
      <c r="DH48" t="s">
        <v>113</v>
      </c>
      <c r="DI48" t="s">
        <v>114</v>
      </c>
      <c r="DJ48" t="s">
        <v>115</v>
      </c>
    </row>
    <row r="49" spans="1:114" x14ac:dyDescent="0.25">
      <c r="A49">
        <v>48</v>
      </c>
      <c r="B49">
        <v>180</v>
      </c>
      <c r="C49" t="str">
        <f t="shared" si="60"/>
        <v>Reverse</v>
      </c>
      <c r="D49">
        <v>1.0668</v>
      </c>
      <c r="E49">
        <f t="shared" si="61"/>
        <v>1066.8</v>
      </c>
      <c r="F49">
        <v>1.2699999999999999E-2</v>
      </c>
      <c r="G49">
        <f t="shared" si="61"/>
        <v>12.7</v>
      </c>
      <c r="H49">
        <f t="shared" si="62"/>
        <v>84</v>
      </c>
      <c r="I49">
        <v>100</v>
      </c>
      <c r="R49">
        <v>23</v>
      </c>
      <c r="S49" t="s">
        <v>78</v>
      </c>
      <c r="T49" t="s">
        <v>80</v>
      </c>
      <c r="U49">
        <f t="shared" si="39"/>
        <v>18.5</v>
      </c>
      <c r="V49">
        <f t="shared" si="40"/>
        <v>40</v>
      </c>
      <c r="W49">
        <f t="shared" si="41"/>
        <v>0</v>
      </c>
      <c r="X49">
        <f t="shared" si="42"/>
        <v>0</v>
      </c>
      <c r="Y49">
        <v>0.9</v>
      </c>
      <c r="Z49">
        <v>1.2</v>
      </c>
      <c r="AB49">
        <f t="shared" si="43"/>
        <v>54.056372032110822</v>
      </c>
      <c r="AH49">
        <f t="shared" si="44"/>
        <v>3.9900274285724762</v>
      </c>
      <c r="AI49">
        <v>0.18</v>
      </c>
      <c r="AS49">
        <f t="shared" si="45"/>
        <v>0</v>
      </c>
      <c r="AT49">
        <f t="shared" si="46"/>
        <v>0</v>
      </c>
      <c r="AU49">
        <f t="shared" si="47"/>
        <v>4.4308167988433134</v>
      </c>
      <c r="AV49">
        <f t="shared" si="48"/>
        <v>-3.1838624800000002</v>
      </c>
      <c r="AW49">
        <f t="shared" si="49"/>
        <v>0.59384645999999996</v>
      </c>
      <c r="AX49">
        <f t="shared" si="50"/>
        <v>2.3415361959999998</v>
      </c>
      <c r="AY49">
        <f t="shared" si="51"/>
        <v>0.35113717457456706</v>
      </c>
      <c r="BZ49">
        <f t="shared" si="52"/>
        <v>2.1405770999999998</v>
      </c>
      <c r="CB49">
        <f t="shared" si="53"/>
        <v>-1.7147984280919266</v>
      </c>
      <c r="CC49">
        <f t="shared" si="54"/>
        <v>1.4690640519080735</v>
      </c>
      <c r="CD49">
        <f t="shared" si="55"/>
        <v>0.68629345418488952</v>
      </c>
      <c r="CE49">
        <f t="shared" si="56"/>
        <v>0.8409150977233486</v>
      </c>
      <c r="CF49">
        <f t="shared" si="57"/>
        <v>1.416048009654463</v>
      </c>
      <c r="CM49">
        <f t="shared" si="58"/>
        <v>-0.57435101177096981</v>
      </c>
      <c r="CN49">
        <f t="shared" si="63"/>
        <v>0.56307017617049704</v>
      </c>
      <c r="CO49" s="13">
        <f t="shared" si="10"/>
        <v>0.56307017617049704</v>
      </c>
      <c r="CP49" s="13">
        <f t="shared" si="11"/>
        <v>1.0000000000000001E-5</v>
      </c>
      <c r="CQ49">
        <f t="shared" si="59"/>
        <v>0.57229738456854751</v>
      </c>
      <c r="CR49">
        <f t="shared" si="12"/>
        <v>0.57229738456854751</v>
      </c>
      <c r="CS49">
        <f t="shared" si="13"/>
        <v>0.01</v>
      </c>
      <c r="CT49">
        <v>0.3</v>
      </c>
      <c r="CU49">
        <v>0.3</v>
      </c>
      <c r="CV49">
        <v>0.3</v>
      </c>
      <c r="DB49" t="s">
        <v>116</v>
      </c>
      <c r="DC49">
        <v>-0.625</v>
      </c>
      <c r="DE49">
        <v>-0.28299999999999997</v>
      </c>
      <c r="DF49">
        <v>-0.625</v>
      </c>
      <c r="DG49">
        <v>0.46</v>
      </c>
      <c r="DH49">
        <v>0.70899999999999996</v>
      </c>
      <c r="DI49">
        <v>0.68799999999999994</v>
      </c>
      <c r="DJ49">
        <v>0.312</v>
      </c>
    </row>
    <row r="50" spans="1:114" x14ac:dyDescent="0.25">
      <c r="A50">
        <v>49</v>
      </c>
      <c r="B50">
        <v>180</v>
      </c>
      <c r="C50" t="str">
        <f t="shared" si="60"/>
        <v>Reverse</v>
      </c>
      <c r="D50">
        <v>0.60960000000000003</v>
      </c>
      <c r="E50">
        <f t="shared" si="61"/>
        <v>609.6</v>
      </c>
      <c r="F50">
        <v>1.1130000000000001E-2</v>
      </c>
      <c r="G50">
        <f t="shared" si="61"/>
        <v>11.13</v>
      </c>
      <c r="H50">
        <f t="shared" si="62"/>
        <v>54.770889487870619</v>
      </c>
      <c r="I50">
        <v>150</v>
      </c>
      <c r="R50">
        <v>16</v>
      </c>
      <c r="S50" t="s">
        <v>78</v>
      </c>
      <c r="T50" t="s">
        <v>81</v>
      </c>
      <c r="U50">
        <f t="shared" si="39"/>
        <v>19</v>
      </c>
      <c r="V50">
        <f t="shared" si="40"/>
        <v>43</v>
      </c>
      <c r="W50">
        <f t="shared" si="41"/>
        <v>0</v>
      </c>
      <c r="X50">
        <f t="shared" si="42"/>
        <v>0</v>
      </c>
      <c r="Y50">
        <v>0.9</v>
      </c>
      <c r="Z50">
        <v>1.5</v>
      </c>
      <c r="AB50">
        <f t="shared" si="43"/>
        <v>43.727445623296873</v>
      </c>
      <c r="AH50">
        <f t="shared" si="44"/>
        <v>3.7779759512627038</v>
      </c>
      <c r="AI50">
        <v>0.4</v>
      </c>
      <c r="AS50">
        <f t="shared" si="45"/>
        <v>0</v>
      </c>
      <c r="AT50">
        <f t="shared" si="46"/>
        <v>0</v>
      </c>
      <c r="AU50">
        <f t="shared" si="47"/>
        <v>4.0031588390849828</v>
      </c>
      <c r="AV50">
        <f t="shared" si="48"/>
        <v>-3.32085856</v>
      </c>
      <c r="AW50">
        <f t="shared" si="49"/>
        <v>0.57883511999999993</v>
      </c>
      <c r="AX50">
        <f t="shared" si="50"/>
        <v>2.550742112</v>
      </c>
      <c r="AY50">
        <f t="shared" si="51"/>
        <v>1.3729882151536921E-3</v>
      </c>
      <c r="BZ50">
        <f t="shared" si="52"/>
        <v>2.1099511999999998</v>
      </c>
      <c r="CB50">
        <f t="shared" si="53"/>
        <v>-0.916290731874155</v>
      </c>
      <c r="CC50">
        <f t="shared" si="54"/>
        <v>2.4045678281258449</v>
      </c>
      <c r="CD50">
        <f t="shared" si="55"/>
        <v>1.13963196311168</v>
      </c>
      <c r="CE50">
        <f>IF(CD50&gt;=1,5,ATANH(CD50))</f>
        <v>5</v>
      </c>
      <c r="CF50">
        <f t="shared" si="57"/>
        <v>8.6380384106617445</v>
      </c>
      <c r="CM50">
        <f t="shared" si="58"/>
        <v>6.0886692868768986</v>
      </c>
      <c r="CN50">
        <f t="shared" si="63"/>
        <v>440.83439654198293</v>
      </c>
      <c r="CO50" s="13">
        <f t="shared" si="10"/>
        <v>440.83439654198293</v>
      </c>
      <c r="CP50" s="13">
        <f t="shared" si="11"/>
        <v>1.0000000000000001E-5</v>
      </c>
      <c r="CQ50">
        <f t="shared" si="59"/>
        <v>0.57229738456854751</v>
      </c>
      <c r="CR50">
        <f t="shared" si="12"/>
        <v>0.57229738456854751</v>
      </c>
      <c r="CS50">
        <f t="shared" si="13"/>
        <v>0.01</v>
      </c>
      <c r="CT50">
        <v>0.3</v>
      </c>
      <c r="CU50">
        <v>0.3</v>
      </c>
      <c r="CV50">
        <v>0.3</v>
      </c>
      <c r="DB50" t="s">
        <v>117</v>
      </c>
      <c r="DC50">
        <v>0.46</v>
      </c>
      <c r="DE50">
        <f>DE49*DI49+DF49*DJ49</f>
        <v>-0.38970399999999994</v>
      </c>
    </row>
    <row r="51" spans="1:114" x14ac:dyDescent="0.25">
      <c r="A51">
        <v>50</v>
      </c>
      <c r="B51">
        <v>179</v>
      </c>
      <c r="C51" t="str">
        <f t="shared" si="60"/>
        <v>Reverse</v>
      </c>
      <c r="D51">
        <v>0.60960000000000003</v>
      </c>
      <c r="E51">
        <f t="shared" si="61"/>
        <v>609.6</v>
      </c>
      <c r="F51">
        <v>1.1130000000000001E-2</v>
      </c>
      <c r="G51">
        <f t="shared" si="61"/>
        <v>11.13</v>
      </c>
      <c r="H51">
        <f t="shared" si="62"/>
        <v>54.770889487870619</v>
      </c>
      <c r="I51">
        <v>200</v>
      </c>
      <c r="R51">
        <v>15</v>
      </c>
      <c r="S51" t="s">
        <v>78</v>
      </c>
      <c r="T51" t="s">
        <v>79</v>
      </c>
      <c r="U51">
        <f t="shared" si="39"/>
        <v>18</v>
      </c>
      <c r="V51">
        <f t="shared" si="40"/>
        <v>37</v>
      </c>
      <c r="W51">
        <f t="shared" si="41"/>
        <v>0</v>
      </c>
      <c r="X51">
        <f t="shared" si="42"/>
        <v>0</v>
      </c>
      <c r="Y51">
        <v>0.9</v>
      </c>
      <c r="Z51">
        <v>1.2</v>
      </c>
      <c r="AB51">
        <f t="shared" si="43"/>
        <v>27.172699430904952</v>
      </c>
      <c r="AH51">
        <f t="shared" si="44"/>
        <v>3.3022127718672243</v>
      </c>
      <c r="AI51">
        <v>1.2</v>
      </c>
      <c r="AS51">
        <f t="shared" si="45"/>
        <v>0</v>
      </c>
      <c r="AT51">
        <f t="shared" si="46"/>
        <v>0</v>
      </c>
      <c r="AU51">
        <f t="shared" si="47"/>
        <v>4.0031588390849828</v>
      </c>
      <c r="AV51">
        <f t="shared" si="48"/>
        <v>-3.18060856</v>
      </c>
      <c r="AW51">
        <f t="shared" si="49"/>
        <v>0.60883511999999995</v>
      </c>
      <c r="AX51">
        <f t="shared" si="50"/>
        <v>2.5937421120000002</v>
      </c>
      <c r="AY51">
        <f t="shared" si="51"/>
        <v>-0.22283177455187525</v>
      </c>
      <c r="BZ51">
        <f t="shared" si="52"/>
        <v>2.0579511999999998</v>
      </c>
      <c r="CB51">
        <f t="shared" si="53"/>
        <v>0.18232155679395459</v>
      </c>
      <c r="CC51">
        <f t="shared" si="54"/>
        <v>3.3629301167939545</v>
      </c>
      <c r="CD51">
        <f t="shared" si="55"/>
        <v>1.6341155790253699</v>
      </c>
      <c r="CE51">
        <f>IF(CD51&gt;=1,5,ATANH(CD51))</f>
        <v>5</v>
      </c>
      <c r="CF51">
        <f t="shared" si="57"/>
        <v>8.2124040413437385</v>
      </c>
      <c r="CM51">
        <f t="shared" si="58"/>
        <v>5.395830154791863</v>
      </c>
      <c r="CN51">
        <f t="shared" si="63"/>
        <v>220.48510791195636</v>
      </c>
      <c r="CO51" s="13">
        <f t="shared" si="10"/>
        <v>220.48510791195636</v>
      </c>
      <c r="CP51" s="13">
        <f t="shared" si="11"/>
        <v>1.0000000000000001E-5</v>
      </c>
      <c r="CQ51">
        <f t="shared" si="59"/>
        <v>0.57229738456854751</v>
      </c>
      <c r="CR51">
        <f t="shared" si="12"/>
        <v>0.57229738456854751</v>
      </c>
      <c r="CS51">
        <f t="shared" si="13"/>
        <v>0.01</v>
      </c>
      <c r="CT51">
        <v>0.3</v>
      </c>
      <c r="CU51">
        <v>0.3</v>
      </c>
      <c r="CV51">
        <v>0.3</v>
      </c>
      <c r="DB51" t="s">
        <v>118</v>
      </c>
      <c r="DC51">
        <v>0.70899999999999996</v>
      </c>
      <c r="DE51">
        <f>DI49*DG49^2+DJ49*DH49^2+DI49*DJ49*(DE49-DF49)^2</f>
        <v>0.32752429638399994</v>
      </c>
    </row>
    <row r="52" spans="1:114" x14ac:dyDescent="0.25">
      <c r="A52">
        <v>51</v>
      </c>
      <c r="B52">
        <v>170</v>
      </c>
      <c r="C52" t="str">
        <f t="shared" si="60"/>
        <v>Reverse</v>
      </c>
      <c r="D52">
        <v>0.20319999999999999</v>
      </c>
      <c r="E52">
        <f t="shared" si="61"/>
        <v>203.2</v>
      </c>
      <c r="F52">
        <v>5.5599999999999998E-3</v>
      </c>
      <c r="G52">
        <f t="shared" si="61"/>
        <v>5.56</v>
      </c>
      <c r="H52">
        <f t="shared" si="62"/>
        <v>36.546762589928058</v>
      </c>
      <c r="I52">
        <v>15</v>
      </c>
      <c r="R52">
        <v>72</v>
      </c>
      <c r="S52" t="s">
        <v>71</v>
      </c>
      <c r="T52" t="s">
        <v>72</v>
      </c>
      <c r="U52">
        <f t="shared" si="39"/>
        <v>17.5</v>
      </c>
      <c r="V52">
        <f t="shared" si="40"/>
        <v>0</v>
      </c>
      <c r="W52">
        <f t="shared" si="41"/>
        <v>37.5</v>
      </c>
      <c r="X52">
        <f t="shared" si="42"/>
        <v>1.1000000000000001</v>
      </c>
      <c r="Y52">
        <v>0.9</v>
      </c>
      <c r="Z52">
        <v>0</v>
      </c>
      <c r="AB52">
        <f t="shared" si="43"/>
        <v>26.332829622389646</v>
      </c>
      <c r="AH52">
        <f t="shared" si="44"/>
        <v>3.2708164353522799</v>
      </c>
      <c r="AI52">
        <v>0.05</v>
      </c>
      <c r="AS52">
        <f t="shared" si="45"/>
        <v>-12</v>
      </c>
      <c r="AT52">
        <f t="shared" si="46"/>
        <v>1</v>
      </c>
      <c r="AU52">
        <f t="shared" si="47"/>
        <v>3.598592607441836</v>
      </c>
      <c r="AV52">
        <f t="shared" si="48"/>
        <v>-4.4133025200000002</v>
      </c>
      <c r="AW52">
        <f t="shared" si="49"/>
        <v>0.31346503999999997</v>
      </c>
      <c r="AX52">
        <f t="shared" si="50"/>
        <v>3.2330207040000003</v>
      </c>
      <c r="AY52">
        <f t="shared" si="51"/>
        <v>1.3547345147356484</v>
      </c>
      <c r="BZ52">
        <f t="shared" si="52"/>
        <v>3.3734704</v>
      </c>
      <c r="CB52">
        <f t="shared" si="53"/>
        <v>-2.9957322735539909</v>
      </c>
      <c r="CC52">
        <f t="shared" si="54"/>
        <v>1.4175702464460094</v>
      </c>
      <c r="CD52">
        <f t="shared" si="55"/>
        <v>0.4202112597300422</v>
      </c>
      <c r="CE52">
        <f t="shared" ref="CE52:CE59" si="64">IF(ISNUMBER(ATANH(CD52)),ATANH(CD52),100)</f>
        <v>0.44794855885624785</v>
      </c>
      <c r="CF52">
        <f t="shared" si="57"/>
        <v>1.4290223843024021</v>
      </c>
      <c r="CM52">
        <f t="shared" si="58"/>
        <v>-0.44926380496194973</v>
      </c>
      <c r="CN52">
        <f t="shared" si="63"/>
        <v>0.63809774313738099</v>
      </c>
      <c r="CO52" s="13">
        <f t="shared" si="10"/>
        <v>0.63809774313738099</v>
      </c>
      <c r="CP52" s="13">
        <f t="shared" si="11"/>
        <v>1.0000000000000001E-5</v>
      </c>
      <c r="CQ52">
        <f t="shared" si="59"/>
        <v>0.57229738456854751</v>
      </c>
      <c r="CR52">
        <f t="shared" si="12"/>
        <v>0.57229738456854751</v>
      </c>
      <c r="CS52">
        <f t="shared" si="13"/>
        <v>0.01</v>
      </c>
      <c r="CT52">
        <v>0.3</v>
      </c>
      <c r="CU52">
        <v>0.3</v>
      </c>
      <c r="CV52">
        <v>0.3</v>
      </c>
      <c r="DB52" t="s">
        <v>119</v>
      </c>
      <c r="DC52">
        <v>0.68799999999999994</v>
      </c>
      <c r="DE52">
        <f>SQRT(DE51)</f>
        <v>0.57229738456854751</v>
      </c>
    </row>
    <row r="53" spans="1:114" x14ac:dyDescent="0.25">
      <c r="A53">
        <v>52</v>
      </c>
      <c r="B53">
        <v>180</v>
      </c>
      <c r="C53" t="str">
        <f t="shared" si="60"/>
        <v>Reverse</v>
      </c>
      <c r="D53">
        <v>0.30480000000000002</v>
      </c>
      <c r="E53">
        <f t="shared" si="61"/>
        <v>304.8</v>
      </c>
      <c r="F53">
        <v>7.1399999999999996E-3</v>
      </c>
      <c r="G53">
        <f t="shared" si="61"/>
        <v>7.14</v>
      </c>
      <c r="H53">
        <f t="shared" si="62"/>
        <v>42.689075630252105</v>
      </c>
      <c r="I53">
        <v>30</v>
      </c>
      <c r="R53">
        <v>65</v>
      </c>
      <c r="S53" t="s">
        <v>71</v>
      </c>
      <c r="T53" t="s">
        <v>74</v>
      </c>
      <c r="U53">
        <f t="shared" si="39"/>
        <v>18</v>
      </c>
      <c r="V53">
        <f t="shared" si="40"/>
        <v>0</v>
      </c>
      <c r="W53">
        <f t="shared" si="41"/>
        <v>75</v>
      </c>
      <c r="X53">
        <f t="shared" si="42"/>
        <v>0.72</v>
      </c>
      <c r="Y53">
        <v>0.9</v>
      </c>
      <c r="Z53">
        <v>0</v>
      </c>
      <c r="AB53">
        <f t="shared" si="43"/>
        <v>51.708101803965121</v>
      </c>
      <c r="AH53">
        <f t="shared" si="44"/>
        <v>3.9456144772440287</v>
      </c>
      <c r="AI53">
        <v>0.1</v>
      </c>
      <c r="AS53">
        <f t="shared" si="45"/>
        <v>-5</v>
      </c>
      <c r="AT53">
        <f t="shared" si="46"/>
        <v>1</v>
      </c>
      <c r="AU53">
        <f t="shared" si="47"/>
        <v>3.7539430474609983</v>
      </c>
      <c r="AV53">
        <f t="shared" si="48"/>
        <v>-4.0370092800000004</v>
      </c>
      <c r="AW53">
        <f t="shared" si="49"/>
        <v>0.41667756</v>
      </c>
      <c r="AX53">
        <f t="shared" si="50"/>
        <v>2.8294460559999997</v>
      </c>
      <c r="AY53">
        <f t="shared" si="51"/>
        <v>1.238139375053569</v>
      </c>
      <c r="BZ53">
        <f t="shared" si="52"/>
        <v>2.7090505999999994</v>
      </c>
      <c r="CB53">
        <f t="shared" si="53"/>
        <v>-2.3025850929940455</v>
      </c>
      <c r="CC53">
        <f t="shared" si="54"/>
        <v>1.7344241870059549</v>
      </c>
      <c r="CD53">
        <f t="shared" si="55"/>
        <v>0.64023321934479749</v>
      </c>
      <c r="CE53">
        <f t="shared" si="64"/>
        <v>0.75856886381101818</v>
      </c>
      <c r="CF53">
        <f t="shared" si="57"/>
        <v>1.8205176775322822</v>
      </c>
      <c r="CM53">
        <f t="shared" si="58"/>
        <v>0.22921099658585153</v>
      </c>
      <c r="CN53">
        <f t="shared" si="63"/>
        <v>1.257607361877443</v>
      </c>
      <c r="CO53" s="13">
        <f t="shared" si="10"/>
        <v>1.257607361877443</v>
      </c>
      <c r="CP53" s="13">
        <f t="shared" si="11"/>
        <v>1.0000000000000001E-5</v>
      </c>
      <c r="CQ53">
        <f t="shared" si="59"/>
        <v>0.57229738456854751</v>
      </c>
      <c r="CR53">
        <f t="shared" si="12"/>
        <v>0.57229738456854751</v>
      </c>
      <c r="CS53">
        <f t="shared" si="13"/>
        <v>0.01</v>
      </c>
      <c r="CT53">
        <v>0.3</v>
      </c>
      <c r="CU53">
        <v>0.3</v>
      </c>
      <c r="CV53">
        <v>0.3</v>
      </c>
      <c r="DB53" t="s">
        <v>120</v>
      </c>
      <c r="DC53">
        <v>0.312</v>
      </c>
    </row>
    <row r="54" spans="1:114" x14ac:dyDescent="0.25">
      <c r="A54">
        <v>53</v>
      </c>
      <c r="B54">
        <v>175</v>
      </c>
      <c r="C54" t="str">
        <f t="shared" si="60"/>
        <v>Reverse</v>
      </c>
      <c r="D54">
        <v>0.40639999999999998</v>
      </c>
      <c r="E54">
        <f t="shared" si="61"/>
        <v>406.4</v>
      </c>
      <c r="F54">
        <v>9.5299999999999985E-3</v>
      </c>
      <c r="G54">
        <f t="shared" si="61"/>
        <v>9.5299999999999994</v>
      </c>
      <c r="H54">
        <f t="shared" si="62"/>
        <v>42.644281217208821</v>
      </c>
      <c r="I54">
        <v>50</v>
      </c>
      <c r="R54">
        <v>58</v>
      </c>
      <c r="S54" t="s">
        <v>71</v>
      </c>
      <c r="T54" t="s">
        <v>76</v>
      </c>
      <c r="U54">
        <f t="shared" si="39"/>
        <v>18.5</v>
      </c>
      <c r="V54">
        <f t="shared" si="40"/>
        <v>0</v>
      </c>
      <c r="W54">
        <f t="shared" si="41"/>
        <v>125</v>
      </c>
      <c r="X54">
        <f t="shared" si="42"/>
        <v>0.4</v>
      </c>
      <c r="Y54">
        <v>0.9</v>
      </c>
      <c r="Z54">
        <v>0</v>
      </c>
      <c r="AB54">
        <f t="shared" si="43"/>
        <v>63.837162720944598</v>
      </c>
      <c r="AH54">
        <f t="shared" si="44"/>
        <v>4.1563355085596809</v>
      </c>
      <c r="AI54">
        <v>0.15</v>
      </c>
      <c r="AS54">
        <f t="shared" si="45"/>
        <v>0</v>
      </c>
      <c r="AT54">
        <f t="shared" si="46"/>
        <v>1</v>
      </c>
      <c r="AU54">
        <f t="shared" si="47"/>
        <v>3.7528931785981614</v>
      </c>
      <c r="AV54">
        <f t="shared" si="48"/>
        <v>-3.7245790400000001</v>
      </c>
      <c r="AW54">
        <f t="shared" si="49"/>
        <v>0.49883007999999995</v>
      </c>
      <c r="AX54">
        <f t="shared" si="50"/>
        <v>2.538611408</v>
      </c>
      <c r="AY54">
        <f t="shared" si="51"/>
        <v>0.80424378081597592</v>
      </c>
      <c r="BZ54">
        <f t="shared" si="52"/>
        <v>2.2234507999999997</v>
      </c>
      <c r="CB54">
        <f t="shared" si="53"/>
        <v>-1.8971199848858813</v>
      </c>
      <c r="CC54">
        <f t="shared" si="54"/>
        <v>1.8274590551141188</v>
      </c>
      <c r="CD54">
        <f t="shared" si="55"/>
        <v>0.82190217796324483</v>
      </c>
      <c r="CE54">
        <f t="shared" si="64"/>
        <v>1.1626517128318059</v>
      </c>
      <c r="CF54">
        <f t="shared" si="57"/>
        <v>2.3307570241790674</v>
      </c>
      <c r="CM54">
        <f t="shared" si="58"/>
        <v>0.59638939699504334</v>
      </c>
      <c r="CN54">
        <f t="shared" si="63"/>
        <v>1.8155517154769825</v>
      </c>
      <c r="CO54" s="13">
        <f t="shared" si="10"/>
        <v>1.8155517154769825</v>
      </c>
      <c r="CP54" s="13">
        <f t="shared" si="11"/>
        <v>1.0000000000000001E-5</v>
      </c>
      <c r="CQ54">
        <f t="shared" si="59"/>
        <v>0.57229738456854751</v>
      </c>
      <c r="CR54">
        <f t="shared" si="12"/>
        <v>0.57229738456854751</v>
      </c>
      <c r="CS54">
        <f t="shared" si="13"/>
        <v>0.01</v>
      </c>
      <c r="CT54">
        <v>0.3</v>
      </c>
      <c r="CU54">
        <v>0.3</v>
      </c>
      <c r="CV54">
        <v>0.3</v>
      </c>
    </row>
    <row r="55" spans="1:114" x14ac:dyDescent="0.25">
      <c r="A55">
        <v>54</v>
      </c>
      <c r="B55">
        <v>172</v>
      </c>
      <c r="C55" t="str">
        <f t="shared" si="60"/>
        <v>Reverse</v>
      </c>
      <c r="D55">
        <v>0.50800000000000001</v>
      </c>
      <c r="E55">
        <f t="shared" si="61"/>
        <v>508</v>
      </c>
      <c r="F55">
        <v>1.1130000000000001E-2</v>
      </c>
      <c r="G55">
        <f t="shared" si="61"/>
        <v>11.13</v>
      </c>
      <c r="H55">
        <f t="shared" si="62"/>
        <v>45.642407906558844</v>
      </c>
      <c r="I55">
        <v>100</v>
      </c>
      <c r="R55">
        <v>51</v>
      </c>
      <c r="S55" t="s">
        <v>71</v>
      </c>
      <c r="T55" t="s">
        <v>72</v>
      </c>
      <c r="U55">
        <f t="shared" si="39"/>
        <v>17.5</v>
      </c>
      <c r="V55">
        <f t="shared" si="40"/>
        <v>0</v>
      </c>
      <c r="W55">
        <f t="shared" si="41"/>
        <v>37.5</v>
      </c>
      <c r="X55">
        <f t="shared" si="42"/>
        <v>1.1000000000000001</v>
      </c>
      <c r="Y55">
        <v>0.9</v>
      </c>
      <c r="Z55">
        <v>0</v>
      </c>
      <c r="AB55">
        <f t="shared" si="43"/>
        <v>65.832074055974118</v>
      </c>
      <c r="AH55">
        <f t="shared" si="44"/>
        <v>4.1871071672264346</v>
      </c>
      <c r="AI55">
        <v>0.2</v>
      </c>
      <c r="AS55">
        <f t="shared" si="45"/>
        <v>0</v>
      </c>
      <c r="AT55">
        <f t="shared" si="46"/>
        <v>0</v>
      </c>
      <c r="AU55">
        <f t="shared" si="47"/>
        <v>3.8208372822910284</v>
      </c>
      <c r="AV55">
        <f t="shared" si="48"/>
        <v>-3.5227188000000003</v>
      </c>
      <c r="AW55">
        <f t="shared" si="49"/>
        <v>0.53883259999999999</v>
      </c>
      <c r="AX55">
        <f t="shared" si="50"/>
        <v>2.5446767599999998</v>
      </c>
      <c r="AY55">
        <f t="shared" si="51"/>
        <v>8.0474648646334468E-2</v>
      </c>
      <c r="BZ55">
        <f t="shared" si="52"/>
        <v>2.1667009999999998</v>
      </c>
      <c r="CB55">
        <f t="shared" si="53"/>
        <v>-1.6094379124341003</v>
      </c>
      <c r="CC55">
        <f t="shared" si="54"/>
        <v>1.9132808875659</v>
      </c>
      <c r="CD55">
        <f t="shared" si="55"/>
        <v>0.88303872457062615</v>
      </c>
      <c r="CE55">
        <f t="shared" si="64"/>
        <v>1.3893995965142862</v>
      </c>
      <c r="CF55">
        <f t="shared" si="57"/>
        <v>2.5785366299557344</v>
      </c>
      <c r="CM55">
        <f t="shared" si="58"/>
        <v>0.11433451860206911</v>
      </c>
      <c r="CN55">
        <f t="shared" si="63"/>
        <v>1.1211271000328198</v>
      </c>
      <c r="CO55" s="13">
        <f t="shared" si="10"/>
        <v>1.1211271000328198</v>
      </c>
      <c r="CP55" s="13">
        <f t="shared" si="11"/>
        <v>1.0000000000000001E-5</v>
      </c>
      <c r="CQ55">
        <f t="shared" si="59"/>
        <v>0.57229738456854751</v>
      </c>
      <c r="CR55">
        <f t="shared" si="12"/>
        <v>0.57229738456854751</v>
      </c>
      <c r="CS55">
        <f t="shared" si="13"/>
        <v>0.01</v>
      </c>
      <c r="CT55">
        <v>0.3</v>
      </c>
      <c r="CU55">
        <v>0.3</v>
      </c>
      <c r="CV55">
        <v>0.3</v>
      </c>
    </row>
    <row r="56" spans="1:114" x14ac:dyDescent="0.25">
      <c r="A56">
        <v>55</v>
      </c>
      <c r="B56">
        <v>172</v>
      </c>
      <c r="C56" t="str">
        <f t="shared" si="60"/>
        <v>Reverse</v>
      </c>
      <c r="D56">
        <v>0.60960000000000003</v>
      </c>
      <c r="E56">
        <f t="shared" si="61"/>
        <v>609.6</v>
      </c>
      <c r="F56">
        <v>9.5299999999999985E-3</v>
      </c>
      <c r="G56">
        <f t="shared" si="61"/>
        <v>9.5299999999999994</v>
      </c>
      <c r="H56">
        <f t="shared" si="62"/>
        <v>63.966421825813235</v>
      </c>
      <c r="I56">
        <v>15</v>
      </c>
      <c r="R56">
        <v>44</v>
      </c>
      <c r="S56" t="s">
        <v>71</v>
      </c>
      <c r="T56" t="s">
        <v>74</v>
      </c>
      <c r="U56">
        <f t="shared" si="39"/>
        <v>18</v>
      </c>
      <c r="V56">
        <f t="shared" si="40"/>
        <v>0</v>
      </c>
      <c r="W56">
        <f t="shared" si="41"/>
        <v>75</v>
      </c>
      <c r="X56">
        <f t="shared" si="42"/>
        <v>0.72</v>
      </c>
      <c r="Y56">
        <v>0.9</v>
      </c>
      <c r="Z56">
        <v>0</v>
      </c>
      <c r="AB56">
        <f t="shared" si="43"/>
        <v>103.41620360793024</v>
      </c>
      <c r="AH56">
        <f t="shared" si="44"/>
        <v>4.6387616578039736</v>
      </c>
      <c r="AI56">
        <v>0.2</v>
      </c>
      <c r="AS56">
        <f t="shared" si="45"/>
        <v>0</v>
      </c>
      <c r="AT56">
        <f t="shared" si="46"/>
        <v>0</v>
      </c>
      <c r="AU56">
        <f t="shared" si="47"/>
        <v>4.158358286706326</v>
      </c>
      <c r="AV56">
        <f t="shared" si="48"/>
        <v>-3.6995335599999999</v>
      </c>
      <c r="AW56">
        <f t="shared" si="49"/>
        <v>0.49783511999999996</v>
      </c>
      <c r="AX56">
        <f t="shared" si="50"/>
        <v>2.4346421120000001</v>
      </c>
      <c r="AY56">
        <f t="shared" si="51"/>
        <v>0.49777159465007936</v>
      </c>
      <c r="BZ56">
        <f t="shared" si="52"/>
        <v>2.2503511999999999</v>
      </c>
      <c r="CB56">
        <f t="shared" si="53"/>
        <v>-1.6094379124341003</v>
      </c>
      <c r="CC56">
        <f t="shared" si="54"/>
        <v>2.0900956475658994</v>
      </c>
      <c r="CD56">
        <f t="shared" si="55"/>
        <v>0.92878642567697856</v>
      </c>
      <c r="CE56">
        <f t="shared" si="64"/>
        <v>1.6494814191438925</v>
      </c>
      <c r="CF56">
        <f t="shared" si="57"/>
        <v>3.3133086696332161</v>
      </c>
      <c r="CM56">
        <f t="shared" si="58"/>
        <v>1.3764381522832954</v>
      </c>
      <c r="CN56">
        <f t="shared" si="63"/>
        <v>3.9607688176086686</v>
      </c>
      <c r="CO56" s="13">
        <f t="shared" si="10"/>
        <v>3.9607688176086686</v>
      </c>
      <c r="CP56" s="13">
        <f t="shared" si="11"/>
        <v>1.0000000000000001E-5</v>
      </c>
      <c r="CQ56">
        <f t="shared" si="59"/>
        <v>0.57229738456854751</v>
      </c>
      <c r="CR56">
        <f t="shared" si="12"/>
        <v>0.57229738456854751</v>
      </c>
      <c r="CS56">
        <f t="shared" si="13"/>
        <v>0.01</v>
      </c>
      <c r="CT56">
        <v>0.3</v>
      </c>
      <c r="CU56">
        <v>0.3</v>
      </c>
      <c r="CV56">
        <v>0.3</v>
      </c>
    </row>
    <row r="57" spans="1:114" x14ac:dyDescent="0.25">
      <c r="A57">
        <v>56</v>
      </c>
      <c r="B57">
        <v>170</v>
      </c>
      <c r="C57" t="str">
        <f t="shared" si="60"/>
        <v>Reverse</v>
      </c>
      <c r="D57">
        <v>0.76200000000000001</v>
      </c>
      <c r="E57">
        <f t="shared" si="61"/>
        <v>762</v>
      </c>
      <c r="F57">
        <v>1.2699999999999999E-2</v>
      </c>
      <c r="G57">
        <f t="shared" si="61"/>
        <v>12.7</v>
      </c>
      <c r="H57">
        <f t="shared" si="62"/>
        <v>60</v>
      </c>
      <c r="I57">
        <v>30</v>
      </c>
      <c r="R57">
        <v>37</v>
      </c>
      <c r="S57" t="s">
        <v>71</v>
      </c>
      <c r="T57" t="s">
        <v>76</v>
      </c>
      <c r="U57">
        <f t="shared" si="39"/>
        <v>18.5</v>
      </c>
      <c r="V57">
        <f t="shared" si="40"/>
        <v>0</v>
      </c>
      <c r="W57">
        <f t="shared" si="41"/>
        <v>125</v>
      </c>
      <c r="X57">
        <f t="shared" si="42"/>
        <v>0.4</v>
      </c>
      <c r="Y57">
        <v>0.9</v>
      </c>
      <c r="Z57">
        <v>0</v>
      </c>
      <c r="AB57">
        <f t="shared" si="43"/>
        <v>119.69468010177111</v>
      </c>
      <c r="AH57">
        <f t="shared" si="44"/>
        <v>4.7849441679820552</v>
      </c>
      <c r="AI57">
        <v>0.25</v>
      </c>
      <c r="AS57">
        <f t="shared" si="45"/>
        <v>0</v>
      </c>
      <c r="AT57">
        <f t="shared" si="46"/>
        <v>0</v>
      </c>
      <c r="AU57">
        <f t="shared" si="47"/>
        <v>4.0943445622221004</v>
      </c>
      <c r="AV57">
        <f t="shared" si="48"/>
        <v>-3.5650431999999999</v>
      </c>
      <c r="AW57">
        <f t="shared" si="49"/>
        <v>0.52183889999999999</v>
      </c>
      <c r="AX57">
        <f t="shared" si="50"/>
        <v>2.3921401399999995</v>
      </c>
      <c r="AY57">
        <f t="shared" si="51"/>
        <v>0.529226419371848</v>
      </c>
      <c r="BZ57">
        <f t="shared" si="52"/>
        <v>2.2276265</v>
      </c>
      <c r="CB57">
        <f t="shared" si="53"/>
        <v>-1.3862943611198906</v>
      </c>
      <c r="CC57">
        <f t="shared" si="54"/>
        <v>2.1787488388801091</v>
      </c>
      <c r="CD57">
        <f t="shared" si="55"/>
        <v>0.97805841279052352</v>
      </c>
      <c r="CE57">
        <f t="shared" si="64"/>
        <v>2.2507436237850884</v>
      </c>
      <c r="CF57">
        <f t="shared" si="57"/>
        <v>4.3131005062771068</v>
      </c>
      <c r="CM57">
        <f t="shared" si="58"/>
        <v>2.4501867856489552</v>
      </c>
      <c r="CN57">
        <f t="shared" si="63"/>
        <v>11.590511458250456</v>
      </c>
      <c r="CO57" s="13">
        <f t="shared" si="10"/>
        <v>11.590511458250456</v>
      </c>
      <c r="CP57" s="13">
        <f t="shared" si="11"/>
        <v>1.0000000000000001E-5</v>
      </c>
      <c r="CQ57">
        <f t="shared" si="59"/>
        <v>0.57229738456854751</v>
      </c>
      <c r="CR57">
        <f t="shared" si="12"/>
        <v>0.57229738456854751</v>
      </c>
      <c r="CS57">
        <f t="shared" si="13"/>
        <v>0.01</v>
      </c>
      <c r="CT57">
        <v>0.3</v>
      </c>
      <c r="CU57">
        <v>0.3</v>
      </c>
      <c r="CV57">
        <v>0.3</v>
      </c>
    </row>
    <row r="58" spans="1:114" x14ac:dyDescent="0.25">
      <c r="A58">
        <v>57</v>
      </c>
      <c r="B58">
        <v>175</v>
      </c>
      <c r="C58" t="str">
        <f t="shared" si="60"/>
        <v>Reverse</v>
      </c>
      <c r="D58">
        <v>0.86360000000000003</v>
      </c>
      <c r="E58">
        <f t="shared" si="61"/>
        <v>863.6</v>
      </c>
      <c r="F58">
        <v>1.1130000000000001E-2</v>
      </c>
      <c r="G58">
        <f t="shared" si="61"/>
        <v>11.13</v>
      </c>
      <c r="H58">
        <f t="shared" si="62"/>
        <v>77.592093441150041</v>
      </c>
      <c r="I58">
        <v>50</v>
      </c>
      <c r="R58">
        <v>30</v>
      </c>
      <c r="S58" t="s">
        <v>71</v>
      </c>
      <c r="T58" t="s">
        <v>72</v>
      </c>
      <c r="U58">
        <f t="shared" si="39"/>
        <v>17.5</v>
      </c>
      <c r="V58">
        <f t="shared" si="40"/>
        <v>0</v>
      </c>
      <c r="W58">
        <f t="shared" si="41"/>
        <v>37.5</v>
      </c>
      <c r="X58">
        <f t="shared" si="42"/>
        <v>1.1000000000000001</v>
      </c>
      <c r="Y58">
        <v>0.9</v>
      </c>
      <c r="Z58">
        <v>0</v>
      </c>
      <c r="AB58">
        <f t="shared" si="43"/>
        <v>111.91452589515602</v>
      </c>
      <c r="AH58">
        <f t="shared" si="44"/>
        <v>4.7177354182886058</v>
      </c>
      <c r="AI58">
        <v>0.28000000000000003</v>
      </c>
      <c r="AS58">
        <f t="shared" si="45"/>
        <v>0</v>
      </c>
      <c r="AT58">
        <f t="shared" si="46"/>
        <v>0</v>
      </c>
      <c r="AU58">
        <f t="shared" si="47"/>
        <v>4.3514655333531991</v>
      </c>
      <c r="AV58">
        <f t="shared" si="48"/>
        <v>-3.4473329600000002</v>
      </c>
      <c r="AW58">
        <f t="shared" si="49"/>
        <v>0.54384142000000002</v>
      </c>
      <c r="AX58">
        <f t="shared" si="50"/>
        <v>2.3724054919999999</v>
      </c>
      <c r="AY58">
        <f t="shared" si="51"/>
        <v>0.64839201388581147</v>
      </c>
      <c r="BZ58">
        <f t="shared" si="52"/>
        <v>2.2020766999999997</v>
      </c>
      <c r="CB58">
        <f t="shared" si="53"/>
        <v>-1.2729656758128873</v>
      </c>
      <c r="CC58">
        <f t="shared" si="54"/>
        <v>2.1743672841871131</v>
      </c>
      <c r="CD58">
        <f t="shared" si="55"/>
        <v>0.98741668906769386</v>
      </c>
      <c r="CE58">
        <f t="shared" si="64"/>
        <v>2.5311097606942257</v>
      </c>
      <c r="CF58">
        <f t="shared" si="57"/>
        <v>4.6541320090960072</v>
      </c>
      <c r="CM58">
        <f t="shared" si="58"/>
        <v>2.9301185309818187</v>
      </c>
      <c r="CN58">
        <f t="shared" si="63"/>
        <v>18.729850432665824</v>
      </c>
      <c r="CO58" s="13">
        <f t="shared" si="10"/>
        <v>18.729850432665824</v>
      </c>
      <c r="CP58" s="13">
        <f t="shared" si="11"/>
        <v>1.0000000000000001E-5</v>
      </c>
      <c r="CQ58">
        <f t="shared" si="59"/>
        <v>0.57229738456854751</v>
      </c>
      <c r="CR58">
        <f t="shared" si="12"/>
        <v>0.57229738456854751</v>
      </c>
      <c r="CS58">
        <f t="shared" si="13"/>
        <v>0.01</v>
      </c>
      <c r="CT58">
        <v>0.3</v>
      </c>
      <c r="CU58">
        <v>0.3</v>
      </c>
      <c r="CV58">
        <v>0.3</v>
      </c>
    </row>
    <row r="59" spans="1:114" x14ac:dyDescent="0.25">
      <c r="A59">
        <v>58</v>
      </c>
      <c r="B59">
        <v>180</v>
      </c>
      <c r="C59" t="str">
        <f t="shared" si="60"/>
        <v>Reverse</v>
      </c>
      <c r="D59">
        <v>1.0668</v>
      </c>
      <c r="E59">
        <f t="shared" si="61"/>
        <v>1066.8</v>
      </c>
      <c r="F59">
        <v>1.2699999999999999E-2</v>
      </c>
      <c r="G59">
        <f t="shared" si="61"/>
        <v>12.7</v>
      </c>
      <c r="H59">
        <f t="shared" si="62"/>
        <v>84</v>
      </c>
      <c r="I59">
        <v>100</v>
      </c>
      <c r="R59">
        <v>23</v>
      </c>
      <c r="S59" t="s">
        <v>71</v>
      </c>
      <c r="T59" t="s">
        <v>74</v>
      </c>
      <c r="U59">
        <f t="shared" si="39"/>
        <v>18</v>
      </c>
      <c r="V59">
        <f t="shared" si="40"/>
        <v>0</v>
      </c>
      <c r="W59">
        <f t="shared" si="41"/>
        <v>75</v>
      </c>
      <c r="X59">
        <f t="shared" si="42"/>
        <v>0.72</v>
      </c>
      <c r="Y59">
        <v>0.9</v>
      </c>
      <c r="Z59">
        <v>0</v>
      </c>
      <c r="AB59">
        <f t="shared" si="43"/>
        <v>180.97835631387795</v>
      </c>
      <c r="AH59">
        <f t="shared" si="44"/>
        <v>5.1983774457393972</v>
      </c>
      <c r="AI59">
        <v>0.18</v>
      </c>
      <c r="AS59">
        <f t="shared" si="45"/>
        <v>0</v>
      </c>
      <c r="AT59">
        <f t="shared" si="46"/>
        <v>0</v>
      </c>
      <c r="AU59">
        <f t="shared" si="47"/>
        <v>4.4308167988433134</v>
      </c>
      <c r="AV59">
        <f t="shared" si="48"/>
        <v>-3.1838624800000002</v>
      </c>
      <c r="AW59">
        <f t="shared" si="49"/>
        <v>0.59384645999999996</v>
      </c>
      <c r="AX59">
        <f t="shared" si="50"/>
        <v>2.3415361959999998</v>
      </c>
      <c r="AY59">
        <f t="shared" si="51"/>
        <v>0.92075337266705359</v>
      </c>
      <c r="BZ59">
        <f t="shared" si="52"/>
        <v>2.1405770999999998</v>
      </c>
      <c r="CB59">
        <f t="shared" si="53"/>
        <v>-1.7147984280919266</v>
      </c>
      <c r="CC59">
        <f t="shared" si="54"/>
        <v>1.4690640519080735</v>
      </c>
      <c r="CD59">
        <f t="shared" si="55"/>
        <v>0.68629345418488952</v>
      </c>
      <c r="CE59">
        <f t="shared" si="64"/>
        <v>0.8409150977233486</v>
      </c>
      <c r="CF59">
        <f t="shared" si="57"/>
        <v>1.416048009654463</v>
      </c>
      <c r="CM59">
        <f t="shared" si="58"/>
        <v>-4.7348136784832739E-3</v>
      </c>
      <c r="CN59">
        <f t="shared" si="63"/>
        <v>0.99527637788151735</v>
      </c>
      <c r="CO59" s="13">
        <f t="shared" si="10"/>
        <v>0.99527637788151735</v>
      </c>
      <c r="CP59" s="13">
        <f t="shared" si="11"/>
        <v>1.0000000000000001E-5</v>
      </c>
      <c r="CQ59">
        <f t="shared" si="59"/>
        <v>0.57229738456854751</v>
      </c>
      <c r="CR59">
        <f t="shared" si="12"/>
        <v>0.57229738456854751</v>
      </c>
      <c r="CS59">
        <f t="shared" si="13"/>
        <v>0.01</v>
      </c>
      <c r="CT59">
        <v>0.3</v>
      </c>
      <c r="CU59">
        <v>0.3</v>
      </c>
      <c r="CV59">
        <v>0.3</v>
      </c>
    </row>
    <row r="60" spans="1:114" x14ac:dyDescent="0.25">
      <c r="A60">
        <v>59</v>
      </c>
      <c r="B60">
        <v>180</v>
      </c>
      <c r="C60" t="str">
        <f t="shared" si="60"/>
        <v>Reverse</v>
      </c>
      <c r="D60">
        <v>0.60960000000000003</v>
      </c>
      <c r="E60">
        <f t="shared" si="61"/>
        <v>609.6</v>
      </c>
      <c r="F60">
        <v>1.1130000000000001E-2</v>
      </c>
      <c r="G60">
        <f t="shared" si="61"/>
        <v>11.13</v>
      </c>
      <c r="H60">
        <f t="shared" si="62"/>
        <v>54.770889487870619</v>
      </c>
      <c r="I60">
        <v>150</v>
      </c>
      <c r="R60">
        <v>16</v>
      </c>
      <c r="S60" t="s">
        <v>71</v>
      </c>
      <c r="T60" t="s">
        <v>76</v>
      </c>
      <c r="U60">
        <f t="shared" si="39"/>
        <v>18.5</v>
      </c>
      <c r="V60">
        <f t="shared" si="40"/>
        <v>0</v>
      </c>
      <c r="W60">
        <f t="shared" si="41"/>
        <v>125</v>
      </c>
      <c r="X60">
        <f t="shared" si="42"/>
        <v>0.4</v>
      </c>
      <c r="Y60">
        <v>0.9</v>
      </c>
      <c r="Z60">
        <v>0</v>
      </c>
      <c r="AB60">
        <f t="shared" si="43"/>
        <v>95.755744081416907</v>
      </c>
      <c r="AH60">
        <f t="shared" si="44"/>
        <v>4.5618006166678455</v>
      </c>
      <c r="AI60">
        <v>0.4</v>
      </c>
      <c r="AS60">
        <f t="shared" si="45"/>
        <v>0</v>
      </c>
      <c r="AT60">
        <f t="shared" si="46"/>
        <v>0</v>
      </c>
      <c r="AU60">
        <f t="shared" si="47"/>
        <v>4.0031588390849828</v>
      </c>
      <c r="AV60">
        <f t="shared" si="48"/>
        <v>-3.32085856</v>
      </c>
      <c r="AW60">
        <f t="shared" si="49"/>
        <v>0.57883511999999993</v>
      </c>
      <c r="AX60">
        <f t="shared" si="50"/>
        <v>2.550742112</v>
      </c>
      <c r="AY60">
        <f t="shared" si="51"/>
        <v>0.37086793548713748</v>
      </c>
      <c r="BZ60">
        <f t="shared" si="52"/>
        <v>2.1099511999999998</v>
      </c>
      <c r="CB60">
        <f t="shared" si="53"/>
        <v>-0.916290731874155</v>
      </c>
      <c r="CC60">
        <f t="shared" si="54"/>
        <v>2.4045678281258449</v>
      </c>
      <c r="CD60">
        <f t="shared" si="55"/>
        <v>1.13963196311168</v>
      </c>
      <c r="CE60">
        <f>IF(CD60&gt;=1,5,ATANH(CD60))</f>
        <v>5</v>
      </c>
      <c r="CF60">
        <f t="shared" si="57"/>
        <v>8.6380384106617445</v>
      </c>
      <c r="CM60">
        <f t="shared" si="58"/>
        <v>6.4581642341488816</v>
      </c>
      <c r="CN60">
        <f t="shared" si="63"/>
        <v>637.88896627595602</v>
      </c>
      <c r="CO60" s="13">
        <f t="shared" si="10"/>
        <v>637.88896627595602</v>
      </c>
      <c r="CP60" s="13">
        <f t="shared" si="11"/>
        <v>1.0000000000000001E-5</v>
      </c>
      <c r="CQ60">
        <f t="shared" si="59"/>
        <v>0.57229738456854751</v>
      </c>
      <c r="CR60">
        <f t="shared" si="12"/>
        <v>0.57229738456854751</v>
      </c>
      <c r="CS60">
        <f t="shared" si="13"/>
        <v>0.01</v>
      </c>
      <c r="CT60">
        <v>0.3</v>
      </c>
      <c r="CU60">
        <v>0.3</v>
      </c>
      <c r="CV60">
        <v>0.3</v>
      </c>
    </row>
    <row r="61" spans="1:114" x14ac:dyDescent="0.25">
      <c r="A61">
        <v>60</v>
      </c>
      <c r="B61">
        <v>179</v>
      </c>
      <c r="C61" t="str">
        <f t="shared" si="60"/>
        <v>Reverse</v>
      </c>
      <c r="D61">
        <v>0.60960000000000003</v>
      </c>
      <c r="E61">
        <f t="shared" si="61"/>
        <v>609.6</v>
      </c>
      <c r="F61">
        <v>1.1130000000000001E-2</v>
      </c>
      <c r="G61">
        <f t="shared" si="61"/>
        <v>11.13</v>
      </c>
      <c r="H61">
        <f t="shared" si="62"/>
        <v>54.770889487870619</v>
      </c>
      <c r="I61">
        <v>200</v>
      </c>
      <c r="R61">
        <v>15</v>
      </c>
      <c r="S61" t="s">
        <v>71</v>
      </c>
      <c r="T61" t="s">
        <v>72</v>
      </c>
      <c r="U61">
        <f t="shared" si="39"/>
        <v>17.5</v>
      </c>
      <c r="V61">
        <f t="shared" si="40"/>
        <v>0</v>
      </c>
      <c r="W61">
        <f t="shared" si="41"/>
        <v>37.5</v>
      </c>
      <c r="X61">
        <f t="shared" si="42"/>
        <v>1.1000000000000001</v>
      </c>
      <c r="Y61">
        <v>0.9</v>
      </c>
      <c r="Z61">
        <v>0</v>
      </c>
      <c r="AB61">
        <f t="shared" si="43"/>
        <v>78.998488867168945</v>
      </c>
      <c r="AH61">
        <f t="shared" si="44"/>
        <v>4.3694287240203895</v>
      </c>
      <c r="AI61">
        <v>1.2</v>
      </c>
      <c r="AS61">
        <f t="shared" si="45"/>
        <v>0</v>
      </c>
      <c r="AT61">
        <f t="shared" si="46"/>
        <v>0</v>
      </c>
      <c r="AU61">
        <f t="shared" si="47"/>
        <v>4.0031588390849828</v>
      </c>
      <c r="AV61">
        <f t="shared" si="48"/>
        <v>-3.18060856</v>
      </c>
      <c r="AW61">
        <f t="shared" si="49"/>
        <v>0.60883511999999995</v>
      </c>
      <c r="AX61">
        <f t="shared" si="50"/>
        <v>2.5937421120000002</v>
      </c>
      <c r="AY61">
        <f t="shared" si="51"/>
        <v>0.28025382529312659</v>
      </c>
      <c r="BZ61">
        <f t="shared" si="52"/>
        <v>2.0579511999999998</v>
      </c>
      <c r="CB61">
        <f t="shared" si="53"/>
        <v>0.18232155679395459</v>
      </c>
      <c r="CC61">
        <f t="shared" si="54"/>
        <v>3.3629301167939545</v>
      </c>
      <c r="CD61">
        <f t="shared" si="55"/>
        <v>1.6341155790253699</v>
      </c>
      <c r="CE61">
        <f>IF(CD61&gt;=1,5,ATANH(CD61))</f>
        <v>5</v>
      </c>
      <c r="CF61">
        <f t="shared" si="57"/>
        <v>8.2124040413437385</v>
      </c>
      <c r="CM61">
        <f t="shared" si="58"/>
        <v>5.8989157546368647</v>
      </c>
      <c r="CN61">
        <f t="shared" si="63"/>
        <v>364.64189217273321</v>
      </c>
      <c r="CO61" s="13">
        <f t="shared" si="10"/>
        <v>364.64189217273321</v>
      </c>
      <c r="CP61" s="13">
        <f t="shared" si="11"/>
        <v>1.0000000000000001E-5</v>
      </c>
      <c r="CQ61">
        <f t="shared" si="59"/>
        <v>0.57229738456854751</v>
      </c>
      <c r="CR61">
        <f t="shared" si="12"/>
        <v>0.57229738456854751</v>
      </c>
      <c r="CS61">
        <f t="shared" si="13"/>
        <v>0.01</v>
      </c>
      <c r="CT61">
        <v>0.3</v>
      </c>
      <c r="CU61">
        <v>0.3</v>
      </c>
      <c r="CV61">
        <v>0.3</v>
      </c>
    </row>
    <row r="62" spans="1:114" x14ac:dyDescent="0.25">
      <c r="A62">
        <v>61</v>
      </c>
      <c r="B62">
        <v>0</v>
      </c>
      <c r="C62" t="str">
        <f>IF(AND(B62&gt;=0,B62&lt;=10),"Normal",IF(AND(B62&gt;10,B62&lt;90),"SSTens",IF(AND(B62&gt;=90,B62&lt;170),"SSComp",IF(AND(B62&gt;=170,B62&lt;=180),"Reverse"))))</f>
        <v>Normal</v>
      </c>
      <c r="D62">
        <v>1.0668</v>
      </c>
      <c r="E62">
        <f>D62*1000</f>
        <v>1066.8</v>
      </c>
      <c r="F62">
        <v>9.5250000000000005E-3</v>
      </c>
      <c r="G62">
        <f>F62*1000</f>
        <v>9.5250000000000004</v>
      </c>
      <c r="H62" s="3">
        <f>E62/G62</f>
        <v>111.99999999999999</v>
      </c>
      <c r="I62" s="1">
        <v>30</v>
      </c>
      <c r="J62" s="4" t="s">
        <v>70</v>
      </c>
      <c r="K62" s="1">
        <f>IF(J62="Grade-B",3,IF(J62="X-42",3,IF(J62="X-52",8,IF(J62="X-60",8,IF(J62="X-70",14,IF(J62="X-80",15,8))))))</f>
        <v>8</v>
      </c>
      <c r="L62" s="1">
        <f>IF(J62="Grade-B",8,IF(J62="X-42",9,IF(J62="X-52",10,IF(J62="X-60",12,IF(J62="X-70",15,IF(J62="X-80",20,10))))))</f>
        <v>10</v>
      </c>
      <c r="M62" s="1">
        <f>IF(J62="Grade-B",241,IF(J62="X-42",290,IF(J62="X-52",359,IF(J62="X-60",414,IF(J62="X-70",483,IF(J62="X-80",552,359))))))*1000</f>
        <v>359000</v>
      </c>
      <c r="N62" s="1">
        <f>IF(J62="Grade-B",344,IF(J62="X-42",414,IF(J62="X-52",455,IF(J62="X-60",517,IF(J62="X-70",565,IF(J62="X-80",625,M62*1.2/1000))))))*1000</f>
        <v>455000</v>
      </c>
      <c r="O62" s="1">
        <f>N62/200000000*(1+K62/(1+L62)*(N62/M62)^L62)*100</f>
        <v>1.9969902892117808</v>
      </c>
      <c r="P62" s="3">
        <f>100*IF(J62='[1]Estimation Model Normal-Slip'!$J$8,'[1]Estimation Model Normal-Slip'!$O$8,IF(J62='[1]Estimation Model Normal-Slip'!$J$9,'[1]Estimation Model Normal-Slip'!$O$9,IF(J62='[1]Estimation Model Normal-Slip'!$J$10,'[1]Estimation Model Normal-Slip'!$O$10,IF(J62='[1]Estimation Model Normal-Slip'!$J$11,'[1]Estimation Model Normal-Slip'!$O$11,IF(J62='[1]Estimation Model Normal-Slip'!$J$12,'[1]Estimation Model Normal-Slip'!$O$12,IF(J62='[1]Estimation Model Normal-Slip'!$J$13,'[1]Estimation Model Normal-Slip'!$O$13,2))))))</f>
        <v>1.9041242414694344</v>
      </c>
      <c r="Q62" s="1">
        <f>LN(O62)</f>
        <v>0.69164119173371341</v>
      </c>
      <c r="R62" s="1">
        <v>45</v>
      </c>
      <c r="S62" s="1" t="s">
        <v>71</v>
      </c>
      <c r="T62" t="s">
        <v>72</v>
      </c>
      <c r="U62">
        <f t="shared" si="39"/>
        <v>17.5</v>
      </c>
      <c r="V62" s="1">
        <f t="shared" si="40"/>
        <v>0</v>
      </c>
      <c r="W62">
        <f t="shared" si="41"/>
        <v>37.5</v>
      </c>
      <c r="X62">
        <f t="shared" si="42"/>
        <v>1.1000000000000001</v>
      </c>
      <c r="Y62">
        <v>0.9</v>
      </c>
      <c r="Z62" s="1">
        <v>0.78739999999999999</v>
      </c>
      <c r="AA62" s="1">
        <f t="shared" ref="AA62:AA81" si="65">MIN(11.5,MAX(1.8,Z62/D62))</f>
        <v>1.8</v>
      </c>
      <c r="AB62">
        <f>IF(S62="sand", PI() * D62 * Z62*U62* TAN(RADIANS(Y62*V62)), PI() * D62 * X62 * W62)</f>
        <v>138.24735551754566</v>
      </c>
      <c r="AC62">
        <f>IF(T62="medium dense",'[1]Coefficient Normal'!$E$18 + ('[1]Coefficient Normal'!$E$19*AA62) + ('[1]Coefficient Normal'!$E$20*(AA62^2)) + ('[1]Coefficient Normal'!$E$21*(AA62^3)) + ('[1]Coefficient Normal'!$E$22*(AA62^4)),IF(T62="dense",'[1]Coefficient Normal'!$F$18 + ('[1]Coefficient Normal'!$F$19*AA62) + ('[1]Coefficient Normal'!$F$20*(AA62^2)) + ('[1]Coefficient Normal'!$F$21*(AA62^3)) + ('[1]Coefficient Normal'!$F$22*(AA62^4)),IF(T62="very dense",'[1]Coefficient Normal'!$G$18 + ('[1]Coefficient Normal'!$G$19*AA62) + ('[1]Coefficient Normal'!$G$20*(AA62^2)) + ('[1]Coefficient Normal'!$G$21*(AA62^3)) + ('[1]Coefficient Normal'!$G$22*(AA62^4)),0)))</f>
        <v>0</v>
      </c>
      <c r="AD62">
        <f t="shared" ref="AD62:AD81" si="66">IF(S62="sand",MIN(80,EXP(0.18*V62-2.5)),0)</f>
        <v>0</v>
      </c>
      <c r="AE62">
        <f t="shared" ref="AE62:AE81" si="67">IF(S62="sand",AC62*U62*Z62*D62 + 0.5*U62*(D62^2)*AD62,5.14*W62*D62)</f>
        <v>205.62569999999999</v>
      </c>
      <c r="AF62">
        <f>LN(AE62)</f>
        <v>5.3260575257691611</v>
      </c>
      <c r="AG62">
        <f t="shared" ref="AG62:AG81" si="68">LN(H62)</f>
        <v>4.7184988712950942</v>
      </c>
      <c r="AH62">
        <f t="shared" si="44"/>
        <v>4.9290445119558122</v>
      </c>
      <c r="AI62" s="1">
        <v>2.2496671510000001</v>
      </c>
      <c r="AJ62" s="5">
        <f>VLOOKUP(R62,'[1]Coefficient Normal'!$A$3:$H$7,2,TRUE)</f>
        <v>3.7532999999999999</v>
      </c>
      <c r="AK62" s="5">
        <f>VLOOKUP(R62,'[1]Coefficient Normal'!$A$3:$H$7,3,TRUE)</f>
        <v>0.14510000000000001</v>
      </c>
      <c r="AL62" s="5">
        <f>VLOOKUP(R62,'[1]Coefficient Normal'!$A$3:$H$7,4,TRUE)</f>
        <v>1.2497</v>
      </c>
      <c r="AM62" s="5">
        <f>VLOOKUP(R62,'[1]Coefficient Normal'!$A$3:$H$7,5,TRUE)</f>
        <v>-0.46100000000000002</v>
      </c>
      <c r="AN62" s="5">
        <f>VLOOKUP(R62,'[1]Coefficient Normal'!$A$3:$H$7,6,TRUE)</f>
        <v>0.39140000000000003</v>
      </c>
      <c r="AO62" s="5">
        <f>VLOOKUP(R62,'[1]Coefficient Normal'!$A$3:$H$7,7,TRUE)</f>
        <v>-0.21310000000000001</v>
      </c>
      <c r="AP62" s="5">
        <f>VLOOKUP(R62,'[1]Coefficient Normal'!$A$3:$H$7,8,TRUE)</f>
        <v>-0.34139999999999998</v>
      </c>
      <c r="AR62" s="5">
        <f t="shared" ref="AR62:AR81" si="69">AJ62+AK62*LN(I62) + AL62*LN(D62) + AM62*AG62 + AN62*Q62 + AO62*AF62 + AP62*AH62</f>
        <v>-0.39465453966325215</v>
      </c>
      <c r="AV62" s="5">
        <f>VLOOKUP(R62,'[1]Coefficient Normal'!$A$10:$P$14,2,TRUE)</f>
        <v>-1.1082000000000001</v>
      </c>
      <c r="AW62" s="5">
        <f>VLOOKUP(R62,'[1]Coefficient Normal'!$A$10:$P$14,3,TRUE)</f>
        <v>0.10630000000000001</v>
      </c>
      <c r="AX62" s="5">
        <f>VLOOKUP(R62,'[1]Coefficient Normal'!$A$10:$P$14,4,TRUE)</f>
        <v>-0.1439</v>
      </c>
      <c r="AY62" s="5">
        <f>VLOOKUP(R62,'[1]Coefficient Normal'!$A$10:$P$14,5,TRUE)</f>
        <v>0.27879999999999999</v>
      </c>
      <c r="AZ62" s="5">
        <f>VLOOKUP(R62,'[1]Coefficient Normal'!$A$10:$P$14,6,TRUE)</f>
        <v>-0.31030000000000002</v>
      </c>
      <c r="BA62" s="5">
        <f>VLOOKUP(R62,'[1]Coefficient Normal'!$A$10:$P$14,7,TRUE)</f>
        <v>1.2553000000000001</v>
      </c>
      <c r="BB62" s="5">
        <f>VLOOKUP(R62,'[1]Coefficient Normal'!$A$10:$P$14,8,TRUE)</f>
        <v>2.9999999999999997E-4</v>
      </c>
      <c r="BC62" s="5">
        <f>VLOOKUP(R62,'[1]Coefficient Normal'!$A$10:$P$14,9,TRUE)</f>
        <v>5.1999999999999998E-3</v>
      </c>
      <c r="BD62" s="5">
        <f>VLOOKUP(R62,'[1]Coefficient Normal'!$A$10:$P$14,10,TRUE)</f>
        <v>-8.5900000000000004E-2</v>
      </c>
      <c r="BE62" s="5">
        <f>VLOOKUP(R62,'[1]Coefficient Normal'!$A$10:$P$14,11,TRUE)</f>
        <v>5.9999999999999995E-4</v>
      </c>
      <c r="BF62" s="5">
        <f>VLOOKUP(R62,'[1]Coefficient Normal'!$A$10:$P$14,12,TRUE)</f>
        <v>-0.21759999999999999</v>
      </c>
      <c r="BG62" s="5">
        <f>VLOOKUP(R62,'[1]Coefficient Normal'!$A$10:$P$14,13,TRUE)</f>
        <v>-2.69E-2</v>
      </c>
      <c r="BH62" s="5">
        <f>VLOOKUP(R62,'[1]Coefficient Normal'!$A$10:$P$14,14,TRUE)</f>
        <v>0.57389999999999997</v>
      </c>
      <c r="BI62" s="5">
        <f>VLOOKUP(R62,'[1]Coefficient Normal'!$A$10:$P$14,15,TRUE)</f>
        <v>0.34460000000000002</v>
      </c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W62" s="6">
        <f t="shared" ref="BW62:BW81" si="70">IF(S62="sand",1,0)</f>
        <v>0</v>
      </c>
      <c r="BX62" s="6">
        <f t="shared" ref="BX62:BX81" si="71">IF(CB62&lt;AR62,1,0)</f>
        <v>0</v>
      </c>
      <c r="BY62" s="6">
        <f t="shared" ref="BY62:BY81" si="72">IF(I62&lt;100,1,0)</f>
        <v>1</v>
      </c>
      <c r="BZ62" s="5">
        <f t="shared" ref="BZ62:BZ81" si="73">BX62 * (BA62+BB62*AB62 + BC62*BY62*(I62-100) + BD62*(1-BY62) + BE62*H62) + (1-BX62) * (BF62 + BG62*BY62*(I62-100) + BH62*(1-BY62) + BI62*Q62)</f>
        <v>1.9037395546714377</v>
      </c>
      <c r="CB62">
        <f t="shared" si="53"/>
        <v>0.8107822723842909</v>
      </c>
      <c r="CG62" s="5">
        <f t="shared" ref="CG62:CG81" si="74">CB62-AR62</f>
        <v>1.2054368120475432</v>
      </c>
      <c r="CH62" s="5">
        <f t="shared" ref="CH62:CH81" si="75">BZ62*CG62</f>
        <v>2.2948377397519475</v>
      </c>
      <c r="CI62" s="5">
        <f t="shared" ref="CI62:CI81" si="76">AW62*AG62</f>
        <v>0.50157643001866858</v>
      </c>
      <c r="CJ62" s="5">
        <f t="shared" ref="CJ62:CJ81" si="77">AX62*BW62*AH62</f>
        <v>0</v>
      </c>
      <c r="CK62" s="5">
        <f t="shared" ref="CK62:CK81" si="78">AY62*AF62</f>
        <v>1.4849048381844421</v>
      </c>
      <c r="CL62" s="5">
        <f t="shared" ref="CL62:CL81" si="79">AZ62* LN(D62)</f>
        <v>-2.0065088184971575E-2</v>
      </c>
      <c r="CM62" s="5">
        <f t="shared" ref="CM62:CM81" si="80">AV62+CH62+CI62+CJ62+CK62+CL62</f>
        <v>3.1530539197700866</v>
      </c>
      <c r="CN62" s="7">
        <f>EXP(CM62)</f>
        <v>23.407439981823291</v>
      </c>
      <c r="CO62" s="14">
        <f t="shared" si="10"/>
        <v>1.0000000000000001E-5</v>
      </c>
      <c r="CP62" s="14">
        <f t="shared" si="11"/>
        <v>23.407439981823291</v>
      </c>
      <c r="CQ62">
        <f>VLOOKUP(R62,'[1]Coefficient Normal'!$A$10:$P$14,16,TRUE)</f>
        <v>0.3997</v>
      </c>
      <c r="CR62">
        <f t="shared" si="12"/>
        <v>0.01</v>
      </c>
      <c r="CS62">
        <f t="shared" si="13"/>
        <v>0.3997</v>
      </c>
      <c r="CT62">
        <v>0.3</v>
      </c>
      <c r="CU62">
        <v>0.3</v>
      </c>
      <c r="CV62">
        <v>0.3</v>
      </c>
    </row>
    <row r="63" spans="1:114" x14ac:dyDescent="0.25">
      <c r="A63">
        <v>62</v>
      </c>
      <c r="B63">
        <v>1</v>
      </c>
      <c r="C63" t="str">
        <f t="shared" ref="C63:C81" si="81">IF(AND(B63&gt;=0,B63&lt;=10),"Normal",IF(AND(B63&gt;10,B63&lt;90),"SSTens",IF(AND(B63&gt;=90,B63&lt;170),"SSComp",IF(AND(B63&gt;=170,B63&lt;=180),"Reverse"))))</f>
        <v>Normal</v>
      </c>
      <c r="D63">
        <v>0.60960000000000003</v>
      </c>
      <c r="E63">
        <f t="shared" ref="E63:G81" si="82">D63*1000</f>
        <v>609.6</v>
      </c>
      <c r="F63">
        <v>9.5250000000000005E-3</v>
      </c>
      <c r="G63">
        <f t="shared" si="82"/>
        <v>9.5250000000000004</v>
      </c>
      <c r="H63" s="3">
        <f t="shared" ref="H63:H81" si="83">E63/G63</f>
        <v>64</v>
      </c>
      <c r="I63" s="1">
        <v>50</v>
      </c>
      <c r="J63" s="4" t="s">
        <v>73</v>
      </c>
      <c r="K63" s="1">
        <f t="shared" ref="K63:K81" si="84">IF(J63="Grade-B",3,IF(J63="X-42",3,IF(J63="X-52",8,IF(J63="X-60",8,IF(J63="X-70",14,IF(J63="X-80",15,8))))))</f>
        <v>8</v>
      </c>
      <c r="L63" s="1">
        <f t="shared" ref="L63:L81" si="85">IF(J63="Grade-B",8,IF(J63="X-42",9,IF(J63="X-52",10,IF(J63="X-60",12,IF(J63="X-70",15,IF(J63="X-80",20,10))))))</f>
        <v>12</v>
      </c>
      <c r="M63" s="1">
        <f t="shared" ref="M63:M81" si="86">IF(J63="Grade-B",241,IF(J63="X-42",290,IF(J63="X-52",359,IF(J63="X-60",414,IF(J63="X-70",483,IF(J63="X-80",552,359))))))*1000</f>
        <v>414000</v>
      </c>
      <c r="N63" s="1">
        <f t="shared" ref="N63:N81" si="87">IF(J63="Grade-B",344,IF(J63="X-42",414,IF(J63="X-52",455,IF(J63="X-60",517,IF(J63="X-70",565,IF(J63="X-80",625,M63*1.2/1000))))))*1000</f>
        <v>517000</v>
      </c>
      <c r="O63" s="1">
        <f t="shared" ref="O63:O81" si="88">N63/200000000*(1+K63/(1+L63)*(N63/M63)^L63)*100</f>
        <v>2.5466769467238102</v>
      </c>
      <c r="P63" s="3">
        <f>100*IF(J63='[1]Estimation Model Normal-Slip'!$J$8,'[1]Estimation Model Normal-Slip'!$O$8,IF(J63='[1]Estimation Model Normal-Slip'!$J$9,'[1]Estimation Model Normal-Slip'!$O$9,IF(J63='[1]Estimation Model Normal-Slip'!$J$10,'[1]Estimation Model Normal-Slip'!$O$10,IF(J63='[1]Estimation Model Normal-Slip'!$J$11,'[1]Estimation Model Normal-Slip'!$O$11,IF(J63='[1]Estimation Model Normal-Slip'!$J$12,'[1]Estimation Model Normal-Slip'!$O$12,IF(J63='[1]Estimation Model Normal-Slip'!$J$13,'[1]Estimation Model Normal-Slip'!$O$13,2))))))</f>
        <v>2.4313344008036557</v>
      </c>
      <c r="Q63" s="1">
        <f t="shared" ref="Q63:Q81" si="89">LN(O63)</f>
        <v>0.93478935117382533</v>
      </c>
      <c r="R63" s="1">
        <v>60</v>
      </c>
      <c r="S63" s="1" t="s">
        <v>71</v>
      </c>
      <c r="T63" t="s">
        <v>74</v>
      </c>
      <c r="U63">
        <f t="shared" ref="U63:U81" si="90">IF(T63="medium dense",18,IF(T63="dense",18.5,IF(T63="very dense",19,IF(T63="soft",17.5,IF(T63="medium stiff",18,IF(T63="stiff",18.5,0))))))</f>
        <v>18</v>
      </c>
      <c r="V63" s="1">
        <f t="shared" ref="V63:V81" si="91">IF(T63="medium dense",37,IF(T63="dense",40,IF(T63="very dense",43,0)))</f>
        <v>0</v>
      </c>
      <c r="W63">
        <f t="shared" ref="W63:W81" si="92">IF(T63="soft",37.5,IF(T63="medium stiff",75,IF(T63="stiff",125,0)))</f>
        <v>75</v>
      </c>
      <c r="X63">
        <f t="shared" ref="X63:X81" si="93">IF(T63="soft",1.1,IF(T63="medium stiff",0.72,IF(T63="stiff",0.4,0)))</f>
        <v>0.72</v>
      </c>
      <c r="Y63">
        <v>0.9</v>
      </c>
      <c r="Z63" s="1">
        <v>1</v>
      </c>
      <c r="AA63" s="1">
        <f t="shared" si="65"/>
        <v>1.8</v>
      </c>
      <c r="AB63">
        <f t="shared" ref="AB63:AB81" si="94">IF(S63="sand", PI() * D63 * Z63*U63* TAN(RADIANS(Y63*V63)), PI() * D63 * X63 * W63)</f>
        <v>103.41620360793024</v>
      </c>
      <c r="AC63">
        <f>IF(T63="medium dense",'[1]Coefficient Normal'!$E$18 + ('[1]Coefficient Normal'!$E$19*AA63) + ('[1]Coefficient Normal'!$E$20*(AA63^2)) + ('[1]Coefficient Normal'!$E$21*(AA63^3)) + ('[1]Coefficient Normal'!$E$22*(AA63^4)),IF(T63="dense",'[1]Coefficient Normal'!$F$18 + ('[1]Coefficient Normal'!$F$19*AA63) + ('[1]Coefficient Normal'!$F$20*(AA63^2)) + ('[1]Coefficient Normal'!$F$21*(AA63^3)) + ('[1]Coefficient Normal'!$F$22*(AA63^4)),IF(T63="very dense",'[1]Coefficient Normal'!$G$18 + ('[1]Coefficient Normal'!$G$19*AA63) + ('[1]Coefficient Normal'!$G$20*(AA63^2)) + ('[1]Coefficient Normal'!$G$21*(AA63^3)) + ('[1]Coefficient Normal'!$G$22*(AA63^4)),0)))</f>
        <v>0</v>
      </c>
      <c r="AD63">
        <f t="shared" si="66"/>
        <v>0</v>
      </c>
      <c r="AE63">
        <f t="shared" si="67"/>
        <v>235.0008</v>
      </c>
      <c r="AF63">
        <f t="shared" ref="AF63:AF81" si="95">LN(AE63)</f>
        <v>5.4595889183936839</v>
      </c>
      <c r="AG63">
        <f t="shared" si="68"/>
        <v>4.1588830833596715</v>
      </c>
      <c r="AH63">
        <f t="shared" si="44"/>
        <v>4.6387616578039736</v>
      </c>
      <c r="AI63" s="1">
        <v>2.3997944580000001</v>
      </c>
      <c r="AJ63" s="5">
        <f>VLOOKUP(R63,'[1]Coefficient Normal'!$A$3:$H$7,2,TRUE)</f>
        <v>4.3182999999999998</v>
      </c>
      <c r="AK63" s="5">
        <f>VLOOKUP(R63,'[1]Coefficient Normal'!$A$3:$H$7,3,TRUE)</f>
        <v>-2.7900000000000001E-2</v>
      </c>
      <c r="AL63" s="5">
        <f>VLOOKUP(R63,'[1]Coefficient Normal'!$A$3:$H$7,4,TRUE)</f>
        <v>1.0497000000000001</v>
      </c>
      <c r="AM63" s="5">
        <f>VLOOKUP(R63,'[1]Coefficient Normal'!$A$3:$H$7,5,TRUE)</f>
        <v>-0.46910000000000002</v>
      </c>
      <c r="AN63" s="5">
        <f>VLOOKUP(R63,'[1]Coefficient Normal'!$A$3:$H$7,6,TRUE)</f>
        <v>0.29149999999999998</v>
      </c>
      <c r="AO63" s="5">
        <f>VLOOKUP(R63,'[1]Coefficient Normal'!$A$3:$H$7,7,TRUE)</f>
        <v>-0.28610000000000002</v>
      </c>
      <c r="AP63" s="5">
        <f>VLOOKUP(R63,'[1]Coefficient Normal'!$A$3:$H$7,8,TRUE)</f>
        <v>-0.1348</v>
      </c>
      <c r="AR63" s="5">
        <f t="shared" si="69"/>
        <v>-0.17613126407050839</v>
      </c>
      <c r="AV63" s="5">
        <f>VLOOKUP(R63,'[1]Coefficient Normal'!$A$10:$P$14,2,TRUE)</f>
        <v>-2.1276999999999999</v>
      </c>
      <c r="AW63" s="5">
        <f>VLOOKUP(R63,'[1]Coefficient Normal'!$A$10:$P$14,3,TRUE)</f>
        <v>0.14760000000000001</v>
      </c>
      <c r="AX63" s="5">
        <f>VLOOKUP(R63,'[1]Coefficient Normal'!$A$10:$P$14,4,TRUE)</f>
        <v>-0.21829999999999999</v>
      </c>
      <c r="AY63" s="5">
        <f>VLOOKUP(R63,'[1]Coefficient Normal'!$A$10:$P$14,5,TRUE)</f>
        <v>0.42270000000000002</v>
      </c>
      <c r="AZ63" s="5">
        <f>VLOOKUP(R63,'[1]Coefficient Normal'!$A$10:$P$14,6,TRUE)</f>
        <v>-0.53720000000000001</v>
      </c>
      <c r="BA63" s="5">
        <f>VLOOKUP(R63,'[1]Coefficient Normal'!$A$10:$P$14,7,TRUE)</f>
        <v>1.252</v>
      </c>
      <c r="BB63" s="5">
        <f>VLOOKUP(R63,'[1]Coefficient Normal'!$A$10:$P$14,8,TRUE)</f>
        <v>-5.9999999999999995E-4</v>
      </c>
      <c r="BC63" s="5">
        <f>VLOOKUP(R63,'[1]Coefficient Normal'!$A$10:$P$14,9,TRUE)</f>
        <v>5.3E-3</v>
      </c>
      <c r="BD63" s="5">
        <f>VLOOKUP(R63,'[1]Coefficient Normal'!$A$10:$P$14,10,TRUE)</f>
        <v>-4.8500000000000001E-2</v>
      </c>
      <c r="BE63" s="5">
        <f>VLOOKUP(R63,'[1]Coefficient Normal'!$A$10:$P$14,11,TRUE)</f>
        <v>1.2999999999999999E-3</v>
      </c>
      <c r="BF63" s="5">
        <f>VLOOKUP(R63,'[1]Coefficient Normal'!$A$10:$P$14,12,TRUE)</f>
        <v>-0.56599999999999995</v>
      </c>
      <c r="BG63" s="5">
        <f>VLOOKUP(R63,'[1]Coefficient Normal'!$A$10:$P$14,13,TRUE)</f>
        <v>-3.2099999999999997E-2</v>
      </c>
      <c r="BH63" s="5">
        <f>VLOOKUP(R63,'[1]Coefficient Normal'!$A$10:$P$14,14,TRUE)</f>
        <v>0.84970000000000001</v>
      </c>
      <c r="BI63" s="5">
        <f>VLOOKUP(R63,'[1]Coefficient Normal'!$A$10:$P$14,15,TRUE)</f>
        <v>9.01E-2</v>
      </c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W63" s="6">
        <f t="shared" si="70"/>
        <v>0</v>
      </c>
      <c r="BX63" s="6">
        <f t="shared" si="71"/>
        <v>0</v>
      </c>
      <c r="BY63" s="6">
        <f t="shared" si="72"/>
        <v>1</v>
      </c>
      <c r="BZ63" s="5">
        <f t="shared" si="73"/>
        <v>1.1232245205407614</v>
      </c>
      <c r="CB63">
        <f t="shared" si="53"/>
        <v>0.8753830911863717</v>
      </c>
      <c r="CG63" s="5">
        <f t="shared" si="74"/>
        <v>1.05151435525688</v>
      </c>
      <c r="CH63" s="5">
        <f t="shared" si="75"/>
        <v>1.1810867075251368</v>
      </c>
      <c r="CI63" s="5">
        <f t="shared" si="76"/>
        <v>0.61385114310388755</v>
      </c>
      <c r="CJ63" s="5">
        <f t="shared" si="77"/>
        <v>0</v>
      </c>
      <c r="CK63" s="5">
        <f t="shared" si="78"/>
        <v>2.3077682358050104</v>
      </c>
      <c r="CL63" s="5">
        <f t="shared" si="79"/>
        <v>0.26588836192033111</v>
      </c>
      <c r="CM63" s="5">
        <f t="shared" si="80"/>
        <v>2.240894448354366</v>
      </c>
      <c r="CN63" s="7">
        <f t="shared" ref="CN63:CN81" si="96">EXP(CM63)</f>
        <v>9.4017368957857244</v>
      </c>
      <c r="CO63" s="14">
        <f t="shared" si="10"/>
        <v>1.0000000000000001E-5</v>
      </c>
      <c r="CP63" s="14">
        <f t="shared" si="11"/>
        <v>9.4017368957857244</v>
      </c>
      <c r="CQ63">
        <f>VLOOKUP(R63,'[1]Coefficient Normal'!$A$10:$P$14,16,TRUE)</f>
        <v>0.50170000000000003</v>
      </c>
      <c r="CR63">
        <f t="shared" si="12"/>
        <v>0.01</v>
      </c>
      <c r="CS63">
        <f t="shared" si="13"/>
        <v>0.50170000000000003</v>
      </c>
      <c r="CT63">
        <v>0.3</v>
      </c>
      <c r="CU63">
        <v>0.3</v>
      </c>
      <c r="CV63">
        <v>0.3</v>
      </c>
    </row>
    <row r="64" spans="1:114" x14ac:dyDescent="0.25">
      <c r="A64">
        <v>63</v>
      </c>
      <c r="B64">
        <v>2</v>
      </c>
      <c r="C64" t="str">
        <f t="shared" si="81"/>
        <v>Normal</v>
      </c>
      <c r="D64">
        <v>0.40960000000000002</v>
      </c>
      <c r="E64">
        <f t="shared" si="82"/>
        <v>409.6</v>
      </c>
      <c r="F64">
        <v>9.5250000000000005E-3</v>
      </c>
      <c r="G64">
        <f t="shared" si="82"/>
        <v>9.5250000000000004</v>
      </c>
      <c r="H64" s="3">
        <f t="shared" si="83"/>
        <v>43.00262467191601</v>
      </c>
      <c r="I64" s="1">
        <v>100</v>
      </c>
      <c r="J64" s="4" t="s">
        <v>75</v>
      </c>
      <c r="K64" s="1">
        <f t="shared" si="84"/>
        <v>14</v>
      </c>
      <c r="L64" s="1">
        <f t="shared" si="85"/>
        <v>15</v>
      </c>
      <c r="M64" s="1">
        <f t="shared" si="86"/>
        <v>483000</v>
      </c>
      <c r="N64" s="1">
        <f t="shared" si="87"/>
        <v>565000</v>
      </c>
      <c r="O64" s="1">
        <f t="shared" si="88"/>
        <v>2.8799444073326219</v>
      </c>
      <c r="P64" s="3">
        <f>100*IF(J64='[1]Estimation Model Normal-Slip'!$J$8,'[1]Estimation Model Normal-Slip'!$O$8,IF(J64='[1]Estimation Model Normal-Slip'!$J$9,'[1]Estimation Model Normal-Slip'!$O$9,IF(J64='[1]Estimation Model Normal-Slip'!$J$10,'[1]Estimation Model Normal-Slip'!$O$10,IF(J64='[1]Estimation Model Normal-Slip'!$J$11,'[1]Estimation Model Normal-Slip'!$O$11,IF(J64='[1]Estimation Model Normal-Slip'!$J$12,'[1]Estimation Model Normal-Slip'!$O$12,IF(J64='[1]Estimation Model Normal-Slip'!$J$13,'[1]Estimation Model Normal-Slip'!$O$13,2))))))</f>
        <v>2.7690517990613435</v>
      </c>
      <c r="Q64" s="1">
        <f t="shared" si="89"/>
        <v>1.0577709909520427</v>
      </c>
      <c r="R64" s="1">
        <v>75</v>
      </c>
      <c r="S64" s="1" t="s">
        <v>71</v>
      </c>
      <c r="T64" t="s">
        <v>76</v>
      </c>
      <c r="U64">
        <f t="shared" si="90"/>
        <v>18.5</v>
      </c>
      <c r="V64" s="1">
        <f t="shared" si="91"/>
        <v>0</v>
      </c>
      <c r="W64">
        <f t="shared" si="92"/>
        <v>125</v>
      </c>
      <c r="X64">
        <f t="shared" si="93"/>
        <v>0.4</v>
      </c>
      <c r="Y64">
        <v>0.9</v>
      </c>
      <c r="Z64" s="1">
        <v>1.2</v>
      </c>
      <c r="AA64" s="1">
        <f t="shared" si="65"/>
        <v>2.9296874999999996</v>
      </c>
      <c r="AB64">
        <f t="shared" si="94"/>
        <v>64.339817545518969</v>
      </c>
      <c r="AC64">
        <f>IF(T64="medium dense",'[1]Coefficient Normal'!$E$18 + ('[1]Coefficient Normal'!$E$19*AA64) + ('[1]Coefficient Normal'!$E$20*(AA64^2)) + ('[1]Coefficient Normal'!$E$21*(AA64^3)) + ('[1]Coefficient Normal'!$E$22*(AA64^4)),IF(T64="dense",'[1]Coefficient Normal'!$F$18 + ('[1]Coefficient Normal'!$F$19*AA64) + ('[1]Coefficient Normal'!$F$20*(AA64^2)) + ('[1]Coefficient Normal'!$F$21*(AA64^3)) + ('[1]Coefficient Normal'!$F$22*(AA64^4)),IF(T64="very dense",'[1]Coefficient Normal'!$G$18 + ('[1]Coefficient Normal'!$G$19*AA64) + ('[1]Coefficient Normal'!$G$20*(AA64^2)) + ('[1]Coefficient Normal'!$G$21*(AA64^3)) + ('[1]Coefficient Normal'!$G$22*(AA64^4)),0)))</f>
        <v>0</v>
      </c>
      <c r="AD64">
        <f t="shared" si="66"/>
        <v>0</v>
      </c>
      <c r="AE64">
        <f t="shared" si="67"/>
        <v>263.16800000000001</v>
      </c>
      <c r="AF64">
        <f t="shared" si="95"/>
        <v>5.5727926115125355</v>
      </c>
      <c r="AG64">
        <f t="shared" si="68"/>
        <v>3.7612611527125335</v>
      </c>
      <c r="AH64">
        <f t="shared" si="44"/>
        <v>4.1641786860207075</v>
      </c>
      <c r="AI64" s="1">
        <v>2.5498958799999998</v>
      </c>
      <c r="AJ64" s="5">
        <f>VLOOKUP(R64,'[1]Coefficient Normal'!$A$3:$H$7,2,TRUE)</f>
        <v>5.5951000000000004</v>
      </c>
      <c r="AK64" s="5">
        <f>VLOOKUP(R64,'[1]Coefficient Normal'!$A$3:$H$7,3,TRUE)</f>
        <v>1.6E-2</v>
      </c>
      <c r="AL64" s="5">
        <f>VLOOKUP(R64,'[1]Coefficient Normal'!$A$3:$H$7,4,TRUE)</f>
        <v>1.2641</v>
      </c>
      <c r="AM64" s="5">
        <f>VLOOKUP(R64,'[1]Coefficient Normal'!$A$3:$H$7,5,TRUE)</f>
        <v>-0.52429999999999999</v>
      </c>
      <c r="AN64" s="5">
        <f>VLOOKUP(R64,'[1]Coefficient Normal'!$A$3:$H$7,6,TRUE)</f>
        <v>0.35830000000000001</v>
      </c>
      <c r="AO64" s="5">
        <f>VLOOKUP(R64,'[1]Coefficient Normal'!$A$3:$H$7,7,TRUE)</f>
        <v>-0.35920000000000002</v>
      </c>
      <c r="AP64" s="5">
        <f>VLOOKUP(R64,'[1]Coefficient Normal'!$A$3:$H$7,8,TRUE)</f>
        <v>-0.2482</v>
      </c>
      <c r="AR64" s="5">
        <f t="shared" si="69"/>
        <v>-8.7846462124065994E-2</v>
      </c>
      <c r="AV64" s="5">
        <f>VLOOKUP(R64,'[1]Coefficient Normal'!$A$10:$P$14,2,TRUE)</f>
        <v>-2.3450000000000002</v>
      </c>
      <c r="AW64" s="5">
        <f>VLOOKUP(R64,'[1]Coefficient Normal'!$A$10:$P$14,3,TRUE)</f>
        <v>0.19470000000000001</v>
      </c>
      <c r="AX64" s="5">
        <f>VLOOKUP(R64,'[1]Coefficient Normal'!$A$10:$P$14,4,TRUE)</f>
        <v>-0.2044</v>
      </c>
      <c r="AY64" s="5">
        <f>VLOOKUP(R64,'[1]Coefficient Normal'!$A$10:$P$14,5,TRUE)</f>
        <v>0.4143</v>
      </c>
      <c r="AZ64" s="5">
        <f>VLOOKUP(R64,'[1]Coefficient Normal'!$A$10:$P$14,6,TRUE)</f>
        <v>-0.55710000000000004</v>
      </c>
      <c r="BA64" s="5">
        <f>VLOOKUP(R64,'[1]Coefficient Normal'!$A$10:$P$14,7,TRUE)</f>
        <v>1.0931</v>
      </c>
      <c r="BB64" s="5">
        <f>VLOOKUP(R64,'[1]Coefficient Normal'!$A$10:$P$14,8,TRUE)</f>
        <v>1E-4</v>
      </c>
      <c r="BC64" s="5">
        <f>VLOOKUP(R64,'[1]Coefficient Normal'!$A$10:$P$14,9,TRUE)</f>
        <v>3.5000000000000001E-3</v>
      </c>
      <c r="BD64" s="5">
        <f>VLOOKUP(R64,'[1]Coefficient Normal'!$A$10:$P$14,10,TRUE)</f>
        <v>-4.07E-2</v>
      </c>
      <c r="BE64" s="5">
        <f>VLOOKUP(R64,'[1]Coefficient Normal'!$A$10:$P$14,11,TRUE)</f>
        <v>1.6000000000000001E-3</v>
      </c>
      <c r="BF64" s="5">
        <f>VLOOKUP(R64,'[1]Coefficient Normal'!$A$10:$P$14,12,TRUE)</f>
        <v>-0.65949999999999998</v>
      </c>
      <c r="BG64" s="5">
        <f>VLOOKUP(R64,'[1]Coefficient Normal'!$A$10:$P$14,13,TRUE)</f>
        <v>-3.0099999999999998E-2</v>
      </c>
      <c r="BH64" s="5">
        <f>VLOOKUP(R64,'[1]Coefficient Normal'!$A$10:$P$14,14,TRUE)</f>
        <v>0.84219999999999995</v>
      </c>
      <c r="BI64" s="5">
        <f>VLOOKUP(R64,'[1]Coefficient Normal'!$A$10:$P$14,15,TRUE)</f>
        <v>0.50680000000000003</v>
      </c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W64" s="6">
        <f t="shared" si="70"/>
        <v>0</v>
      </c>
      <c r="BX64" s="6">
        <f t="shared" si="71"/>
        <v>0</v>
      </c>
      <c r="BY64" s="6">
        <f t="shared" si="72"/>
        <v>0</v>
      </c>
      <c r="BZ64" s="5">
        <f t="shared" si="73"/>
        <v>0.71877833821449522</v>
      </c>
      <c r="CB64">
        <f t="shared" si="53"/>
        <v>0.93605252696416252</v>
      </c>
      <c r="CG64" s="5">
        <f t="shared" si="74"/>
        <v>1.0238989890882286</v>
      </c>
      <c r="CH64" s="5">
        <f t="shared" si="75"/>
        <v>0.73595641387633859</v>
      </c>
      <c r="CI64" s="5">
        <f t="shared" si="76"/>
        <v>0.7323175464331303</v>
      </c>
      <c r="CJ64" s="5">
        <f t="shared" si="77"/>
        <v>0</v>
      </c>
      <c r="CK64" s="5">
        <f t="shared" si="78"/>
        <v>2.3088079789496434</v>
      </c>
      <c r="CL64" s="5">
        <f t="shared" si="79"/>
        <v>0.49725308974858501</v>
      </c>
      <c r="CM64" s="5">
        <f t="shared" si="80"/>
        <v>1.9293350290076969</v>
      </c>
      <c r="CN64" s="7">
        <f t="shared" si="96"/>
        <v>6.8849304400058262</v>
      </c>
      <c r="CO64" s="14">
        <f t="shared" si="10"/>
        <v>1.0000000000000001E-5</v>
      </c>
      <c r="CP64" s="14">
        <f t="shared" si="11"/>
        <v>6.8849304400058262</v>
      </c>
      <c r="CQ64">
        <f>VLOOKUP(R64,'[1]Coefficient Normal'!$A$10:$P$14,16,TRUE)</f>
        <v>0.43780000000000002</v>
      </c>
      <c r="CR64">
        <f t="shared" si="12"/>
        <v>0.01</v>
      </c>
      <c r="CS64">
        <f t="shared" si="13"/>
        <v>0.43780000000000002</v>
      </c>
      <c r="CT64">
        <v>0.3</v>
      </c>
      <c r="CU64">
        <v>0.3</v>
      </c>
      <c r="CV64">
        <v>0.3</v>
      </c>
    </row>
    <row r="65" spans="1:100" x14ac:dyDescent="0.25">
      <c r="A65">
        <v>64</v>
      </c>
      <c r="B65">
        <v>3</v>
      </c>
      <c r="C65" t="str">
        <f t="shared" si="81"/>
        <v>Normal</v>
      </c>
      <c r="D65">
        <v>0.89600000000000002</v>
      </c>
      <c r="E65">
        <f t="shared" si="82"/>
        <v>896</v>
      </c>
      <c r="F65">
        <v>9.5250000000000005E-3</v>
      </c>
      <c r="G65">
        <f t="shared" si="82"/>
        <v>9.5250000000000004</v>
      </c>
      <c r="H65" s="3">
        <f t="shared" si="83"/>
        <v>94.068241469816272</v>
      </c>
      <c r="I65" s="1">
        <v>300</v>
      </c>
      <c r="J65" s="4" t="s">
        <v>70</v>
      </c>
      <c r="K65" s="1">
        <f t="shared" si="84"/>
        <v>8</v>
      </c>
      <c r="L65" s="1">
        <f t="shared" si="85"/>
        <v>10</v>
      </c>
      <c r="M65" s="1">
        <f t="shared" si="86"/>
        <v>359000</v>
      </c>
      <c r="N65" s="1">
        <f t="shared" si="87"/>
        <v>455000</v>
      </c>
      <c r="O65" s="1">
        <f t="shared" si="88"/>
        <v>1.9969902892117808</v>
      </c>
      <c r="P65" s="3">
        <f>100*IF(J65='[1]Estimation Model Normal-Slip'!$J$8,'[1]Estimation Model Normal-Slip'!$O$8,IF(J65='[1]Estimation Model Normal-Slip'!$J$9,'[1]Estimation Model Normal-Slip'!$O$9,IF(J65='[1]Estimation Model Normal-Slip'!$J$10,'[1]Estimation Model Normal-Slip'!$O$10,IF(J65='[1]Estimation Model Normal-Slip'!$J$11,'[1]Estimation Model Normal-Slip'!$O$11,IF(J65='[1]Estimation Model Normal-Slip'!$J$12,'[1]Estimation Model Normal-Slip'!$O$12,IF(J65='[1]Estimation Model Normal-Slip'!$J$13,'[1]Estimation Model Normal-Slip'!$O$13,2))))))</f>
        <v>1.9041242414694344</v>
      </c>
      <c r="Q65" s="1">
        <f t="shared" si="89"/>
        <v>0.69164119173371341</v>
      </c>
      <c r="R65" s="1">
        <v>90</v>
      </c>
      <c r="S65" s="1" t="s">
        <v>71</v>
      </c>
      <c r="T65" t="s">
        <v>72</v>
      </c>
      <c r="U65">
        <f t="shared" si="90"/>
        <v>17.5</v>
      </c>
      <c r="V65" s="1">
        <f t="shared" si="91"/>
        <v>0</v>
      </c>
      <c r="W65">
        <f t="shared" si="92"/>
        <v>37.5</v>
      </c>
      <c r="X65">
        <f t="shared" si="93"/>
        <v>1.1000000000000001</v>
      </c>
      <c r="Y65">
        <v>0.9</v>
      </c>
      <c r="Z65" s="1">
        <v>2.5</v>
      </c>
      <c r="AA65" s="1">
        <f t="shared" si="65"/>
        <v>2.7901785714285712</v>
      </c>
      <c r="AB65">
        <f t="shared" si="94"/>
        <v>116.11326447667876</v>
      </c>
      <c r="AC65">
        <f>IF(T65="medium dense",'[1]Coefficient Normal'!$E$18 + ('[1]Coefficient Normal'!$E$19*AA65) + ('[1]Coefficient Normal'!$E$20*(AA65^2)) + ('[1]Coefficient Normal'!$E$21*(AA65^3)) + ('[1]Coefficient Normal'!$E$22*(AA65^4)),IF(T65="dense",'[1]Coefficient Normal'!$F$18 + ('[1]Coefficient Normal'!$F$19*AA65) + ('[1]Coefficient Normal'!$F$20*(AA65^2)) + ('[1]Coefficient Normal'!$F$21*(AA65^3)) + ('[1]Coefficient Normal'!$F$22*(AA65^4)),IF(T65="very dense",'[1]Coefficient Normal'!$G$18 + ('[1]Coefficient Normal'!$G$19*AA65) + ('[1]Coefficient Normal'!$G$20*(AA65^2)) + ('[1]Coefficient Normal'!$G$21*(AA65^3)) + ('[1]Coefficient Normal'!$G$22*(AA65^4)),0)))</f>
        <v>0</v>
      </c>
      <c r="AD65">
        <f t="shared" si="66"/>
        <v>0</v>
      </c>
      <c r="AE65">
        <f t="shared" si="67"/>
        <v>172.70400000000001</v>
      </c>
      <c r="AF65">
        <f t="shared" si="95"/>
        <v>5.1515791464362319</v>
      </c>
      <c r="AG65">
        <f t="shared" si="68"/>
        <v>4.5440204919621658</v>
      </c>
      <c r="AH65">
        <f t="shared" si="44"/>
        <v>4.7545661326228839</v>
      </c>
      <c r="AI65" s="1">
        <v>2.699997304</v>
      </c>
      <c r="AJ65" s="5">
        <f>VLOOKUP(R65,'[1]Coefficient Normal'!$A$3:$H$7,2,TRUE)</f>
        <v>14.575100000000001</v>
      </c>
      <c r="AK65" s="5">
        <f>VLOOKUP(R65,'[1]Coefficient Normal'!$A$3:$H$7,3,TRUE)</f>
        <v>0.1356</v>
      </c>
      <c r="AL65" s="5">
        <f>VLOOKUP(R65,'[1]Coefficient Normal'!$A$3:$H$7,4,TRUE)</f>
        <v>2.9990000000000001</v>
      </c>
      <c r="AM65" s="5">
        <f>VLOOKUP(R65,'[1]Coefficient Normal'!$A$3:$H$7,5,TRUE)</f>
        <v>-0.94710000000000005</v>
      </c>
      <c r="AN65" s="5">
        <f>VLOOKUP(R65,'[1]Coefficient Normal'!$A$3:$H$7,6,TRUE)</f>
        <v>0.6603</v>
      </c>
      <c r="AO65" s="5">
        <f>VLOOKUP(R65,'[1]Coefficient Normal'!$A$3:$H$7,7,TRUE)</f>
        <v>-1.2488999999999999</v>
      </c>
      <c r="AP65" s="5">
        <f>VLOOKUP(R65,'[1]Coefficient Normal'!$A$3:$H$7,8,TRUE)</f>
        <v>-0.44140000000000001</v>
      </c>
      <c r="AR65" s="5">
        <f t="shared" si="69"/>
        <v>2.6397743044482214</v>
      </c>
      <c r="AV65" s="5">
        <f>VLOOKUP(R65,'[1]Coefficient Normal'!$A$10:$P$14,2,TRUE)</f>
        <v>5.1353999999999997</v>
      </c>
      <c r="AW65" s="5">
        <f>VLOOKUP(R65,'[1]Coefficient Normal'!$A$10:$P$14,3,TRUE)</f>
        <v>-4.9599999999999998E-2</v>
      </c>
      <c r="AX65" s="5">
        <f>VLOOKUP(R65,'[1]Coefficient Normal'!$A$10:$P$14,4,TRUE)</f>
        <v>0.44590000000000002</v>
      </c>
      <c r="AY65" s="5">
        <f>VLOOKUP(R65,'[1]Coefficient Normal'!$A$10:$P$14,5,TRUE)</f>
        <v>-0.83709999999999996</v>
      </c>
      <c r="AZ65" s="5">
        <f>VLOOKUP(R65,'[1]Coefficient Normal'!$A$10:$P$14,6,TRUE)</f>
        <v>0.63090000000000002</v>
      </c>
      <c r="BA65" s="5">
        <f>VLOOKUP(R65,'[1]Coefficient Normal'!$A$10:$P$14,7,TRUE)</f>
        <v>0.91390000000000005</v>
      </c>
      <c r="BB65" s="5">
        <f>VLOOKUP(R65,'[1]Coefficient Normal'!$A$10:$P$14,8,TRUE)</f>
        <v>2.5000000000000001E-3</v>
      </c>
      <c r="BC65" s="5">
        <f>VLOOKUP(R65,'[1]Coefficient Normal'!$A$10:$P$14,9,TRUE)</f>
        <v>1.6000000000000001E-3</v>
      </c>
      <c r="BD65" s="5">
        <f>VLOOKUP(R65,'[1]Coefficient Normal'!$A$10:$P$14,10,TRUE)</f>
        <v>-9.7500000000000003E-2</v>
      </c>
      <c r="BE65" s="5">
        <f>VLOOKUP(R65,'[1]Coefficient Normal'!$A$10:$P$14,11,TRUE)</f>
        <v>1.1999999999999999E-3</v>
      </c>
      <c r="BF65" s="5">
        <f>VLOOKUP(R65,'[1]Coefficient Normal'!$A$10:$P$14,12,TRUE)</f>
        <v>0.46479999999999999</v>
      </c>
      <c r="BG65" s="5">
        <f>VLOOKUP(R65,'[1]Coefficient Normal'!$A$10:$P$14,13,TRUE)</f>
        <v>8.0000000000000004E-4</v>
      </c>
      <c r="BH65" s="5">
        <f>VLOOKUP(R65,'[1]Coefficient Normal'!$A$10:$P$14,14,TRUE)</f>
        <v>6.7900000000000002E-2</v>
      </c>
      <c r="BI65" s="5">
        <f>VLOOKUP(R65,'[1]Coefficient Normal'!$A$10:$P$14,15,TRUE)</f>
        <v>0.58979999999999999</v>
      </c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W65" s="6">
        <f t="shared" si="70"/>
        <v>0</v>
      </c>
      <c r="BX65" s="6">
        <f t="shared" si="71"/>
        <v>1</v>
      </c>
      <c r="BY65" s="6">
        <f t="shared" si="72"/>
        <v>0</v>
      </c>
      <c r="BZ65" s="5">
        <f t="shared" si="73"/>
        <v>1.2195650509554765</v>
      </c>
      <c r="CB65">
        <f t="shared" si="53"/>
        <v>0.99325077449126642</v>
      </c>
      <c r="CG65" s="5">
        <f t="shared" si="74"/>
        <v>-1.6465235299569549</v>
      </c>
      <c r="CH65" s="5">
        <f t="shared" si="75"/>
        <v>-2.0080425527113448</v>
      </c>
      <c r="CI65" s="5">
        <f t="shared" si="76"/>
        <v>-0.22538341640132342</v>
      </c>
      <c r="CJ65" s="5">
        <f t="shared" si="77"/>
        <v>0</v>
      </c>
      <c r="CK65" s="5">
        <f t="shared" si="78"/>
        <v>-4.3123869034817695</v>
      </c>
      <c r="CL65" s="5">
        <f t="shared" si="79"/>
        <v>-6.928219896394662E-2</v>
      </c>
      <c r="CM65" s="5">
        <f t="shared" si="80"/>
        <v>-1.4796950715583848</v>
      </c>
      <c r="CN65" s="7">
        <f t="shared" si="96"/>
        <v>0.22770711217349057</v>
      </c>
      <c r="CO65" s="14">
        <f t="shared" si="10"/>
        <v>1.0000000000000001E-5</v>
      </c>
      <c r="CP65" s="14">
        <f t="shared" si="11"/>
        <v>0.22770711217349057</v>
      </c>
      <c r="CQ65">
        <f>VLOOKUP(R65,'[1]Coefficient Normal'!$A$10:$P$14,16,TRUE)</f>
        <v>0.34749999999999998</v>
      </c>
      <c r="CR65">
        <f t="shared" si="12"/>
        <v>0.01</v>
      </c>
      <c r="CS65">
        <f t="shared" si="13"/>
        <v>0.34749999999999998</v>
      </c>
      <c r="CT65">
        <v>0.3</v>
      </c>
      <c r="CU65">
        <v>0.3</v>
      </c>
      <c r="CV65">
        <v>0.3</v>
      </c>
    </row>
    <row r="66" spans="1:100" x14ac:dyDescent="0.25">
      <c r="A66">
        <v>65</v>
      </c>
      <c r="B66">
        <v>4</v>
      </c>
      <c r="C66" t="str">
        <f t="shared" si="81"/>
        <v>Normal</v>
      </c>
      <c r="D66">
        <v>0.5</v>
      </c>
      <c r="E66">
        <f t="shared" si="82"/>
        <v>500</v>
      </c>
      <c r="F66">
        <v>9.5250000000000005E-3</v>
      </c>
      <c r="G66">
        <f t="shared" si="82"/>
        <v>9.5250000000000004</v>
      </c>
      <c r="H66" s="3">
        <f t="shared" si="83"/>
        <v>52.493438320209975</v>
      </c>
      <c r="I66" s="1">
        <v>30</v>
      </c>
      <c r="J66" s="4" t="s">
        <v>75</v>
      </c>
      <c r="K66" s="1">
        <f t="shared" si="84"/>
        <v>14</v>
      </c>
      <c r="L66" s="1">
        <f t="shared" si="85"/>
        <v>15</v>
      </c>
      <c r="M66" s="1">
        <f t="shared" si="86"/>
        <v>483000</v>
      </c>
      <c r="N66" s="1">
        <f t="shared" si="87"/>
        <v>565000</v>
      </c>
      <c r="O66" s="1">
        <f t="shared" si="88"/>
        <v>2.8799444073326219</v>
      </c>
      <c r="P66" s="3">
        <f>100*IF(J66='[1]Estimation Model Normal-Slip'!$J$8,'[1]Estimation Model Normal-Slip'!$O$8,IF(J66='[1]Estimation Model Normal-Slip'!$J$9,'[1]Estimation Model Normal-Slip'!$O$9,IF(J66='[1]Estimation Model Normal-Slip'!$J$10,'[1]Estimation Model Normal-Slip'!$O$10,IF(J66='[1]Estimation Model Normal-Slip'!$J$11,'[1]Estimation Model Normal-Slip'!$O$11,IF(J66='[1]Estimation Model Normal-Slip'!$J$12,'[1]Estimation Model Normal-Slip'!$O$12,IF(J66='[1]Estimation Model Normal-Slip'!$J$13,'[1]Estimation Model Normal-Slip'!$O$13,2))))))</f>
        <v>2.7690517990613435</v>
      </c>
      <c r="Q66" s="1">
        <f t="shared" si="89"/>
        <v>1.0577709909520427</v>
      </c>
      <c r="R66" s="1">
        <v>45</v>
      </c>
      <c r="S66" s="1" t="s">
        <v>71</v>
      </c>
      <c r="T66" t="s">
        <v>74</v>
      </c>
      <c r="U66">
        <f t="shared" si="90"/>
        <v>18</v>
      </c>
      <c r="V66" s="1">
        <f t="shared" si="91"/>
        <v>0</v>
      </c>
      <c r="W66">
        <f t="shared" si="92"/>
        <v>75</v>
      </c>
      <c r="X66">
        <f t="shared" si="93"/>
        <v>0.72</v>
      </c>
      <c r="Y66">
        <v>0.9</v>
      </c>
      <c r="Z66" s="1">
        <v>1</v>
      </c>
      <c r="AA66" s="1">
        <f t="shared" si="65"/>
        <v>2</v>
      </c>
      <c r="AB66">
        <f t="shared" si="94"/>
        <v>84.823001646924411</v>
      </c>
      <c r="AC66">
        <f>IF(T66="medium dense",'[1]Coefficient Normal'!$E$18 + ('[1]Coefficient Normal'!$E$19*AA66) + ('[1]Coefficient Normal'!$E$20*(AA66^2)) + ('[1]Coefficient Normal'!$E$21*(AA66^3)) + ('[1]Coefficient Normal'!$E$22*(AA66^4)),IF(T66="dense",'[1]Coefficient Normal'!$F$18 + ('[1]Coefficient Normal'!$F$19*AA66) + ('[1]Coefficient Normal'!$F$20*(AA66^2)) + ('[1]Coefficient Normal'!$F$21*(AA66^3)) + ('[1]Coefficient Normal'!$F$22*(AA66^4)),IF(T66="very dense",'[1]Coefficient Normal'!$G$18 + ('[1]Coefficient Normal'!$G$19*AA66) + ('[1]Coefficient Normal'!$G$20*(AA66^2)) + ('[1]Coefficient Normal'!$G$21*(AA66^3)) + ('[1]Coefficient Normal'!$G$22*(AA66^4)),0)))</f>
        <v>0</v>
      </c>
      <c r="AD66">
        <f t="shared" si="66"/>
        <v>0</v>
      </c>
      <c r="AE66">
        <f t="shared" si="67"/>
        <v>192.75</v>
      </c>
      <c r="AF66">
        <f t="shared" si="95"/>
        <v>5.2613940124434393</v>
      </c>
      <c r="AG66">
        <f t="shared" si="68"/>
        <v>3.9606881774094269</v>
      </c>
      <c r="AH66">
        <f t="shared" si="44"/>
        <v>4.4405667518537291</v>
      </c>
      <c r="AI66" s="1">
        <v>2.8500987279999999</v>
      </c>
      <c r="AJ66" s="5">
        <f>VLOOKUP(R66,'[1]Coefficient Normal'!$A$3:$H$7,2,TRUE)</f>
        <v>3.7532999999999999</v>
      </c>
      <c r="AK66" s="5">
        <f>VLOOKUP(R66,'[1]Coefficient Normal'!$A$3:$H$7,3,TRUE)</f>
        <v>0.14510000000000001</v>
      </c>
      <c r="AL66" s="5">
        <f>VLOOKUP(R66,'[1]Coefficient Normal'!$A$3:$H$7,4,TRUE)</f>
        <v>1.2497</v>
      </c>
      <c r="AM66" s="5">
        <f>VLOOKUP(R66,'[1]Coefficient Normal'!$A$3:$H$7,5,TRUE)</f>
        <v>-0.46100000000000002</v>
      </c>
      <c r="AN66" s="5">
        <f>VLOOKUP(R66,'[1]Coefficient Normal'!$A$3:$H$7,6,TRUE)</f>
        <v>0.39140000000000003</v>
      </c>
      <c r="AO66" s="5">
        <f>VLOOKUP(R66,'[1]Coefficient Normal'!$A$3:$H$7,7,TRUE)</f>
        <v>-0.21310000000000001</v>
      </c>
      <c r="AP66" s="5">
        <f>VLOOKUP(R66,'[1]Coefficient Normal'!$A$3:$H$7,8,TRUE)</f>
        <v>-0.34139999999999998</v>
      </c>
      <c r="AR66" s="5">
        <f t="shared" si="69"/>
        <v>-0.66849052852826096</v>
      </c>
      <c r="AV66" s="5">
        <f>VLOOKUP(R66,'[1]Coefficient Normal'!$A$10:$P$14,2,TRUE)</f>
        <v>-1.1082000000000001</v>
      </c>
      <c r="AW66" s="5">
        <f>VLOOKUP(R66,'[1]Coefficient Normal'!$A$10:$P$14,3,TRUE)</f>
        <v>0.10630000000000001</v>
      </c>
      <c r="AX66" s="5">
        <f>VLOOKUP(R66,'[1]Coefficient Normal'!$A$10:$P$14,4,TRUE)</f>
        <v>-0.1439</v>
      </c>
      <c r="AY66" s="5">
        <f>VLOOKUP(R66,'[1]Coefficient Normal'!$A$10:$P$14,5,TRUE)</f>
        <v>0.27879999999999999</v>
      </c>
      <c r="AZ66" s="5">
        <f>VLOOKUP(R66,'[1]Coefficient Normal'!$A$10:$P$14,6,TRUE)</f>
        <v>-0.31030000000000002</v>
      </c>
      <c r="BA66" s="5">
        <f>VLOOKUP(R66,'[1]Coefficient Normal'!$A$10:$P$14,7,TRUE)</f>
        <v>1.2553000000000001</v>
      </c>
      <c r="BB66" s="5">
        <f>VLOOKUP(R66,'[1]Coefficient Normal'!$A$10:$P$14,8,TRUE)</f>
        <v>2.9999999999999997E-4</v>
      </c>
      <c r="BC66" s="5">
        <f>VLOOKUP(R66,'[1]Coefficient Normal'!$A$10:$P$14,9,TRUE)</f>
        <v>5.1999999999999998E-3</v>
      </c>
      <c r="BD66" s="5">
        <f>VLOOKUP(R66,'[1]Coefficient Normal'!$A$10:$P$14,10,TRUE)</f>
        <v>-8.5900000000000004E-2</v>
      </c>
      <c r="BE66" s="5">
        <f>VLOOKUP(R66,'[1]Coefficient Normal'!$A$10:$P$14,11,TRUE)</f>
        <v>5.9999999999999995E-4</v>
      </c>
      <c r="BF66" s="5">
        <f>VLOOKUP(R66,'[1]Coefficient Normal'!$A$10:$P$14,12,TRUE)</f>
        <v>-0.21759999999999999</v>
      </c>
      <c r="BG66" s="5">
        <f>VLOOKUP(R66,'[1]Coefficient Normal'!$A$10:$P$14,13,TRUE)</f>
        <v>-2.69E-2</v>
      </c>
      <c r="BH66" s="5">
        <f>VLOOKUP(R66,'[1]Coefficient Normal'!$A$10:$P$14,14,TRUE)</f>
        <v>0.57389999999999997</v>
      </c>
      <c r="BI66" s="5">
        <f>VLOOKUP(R66,'[1]Coefficient Normal'!$A$10:$P$14,15,TRUE)</f>
        <v>0.34460000000000002</v>
      </c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W66" s="6">
        <f t="shared" si="70"/>
        <v>0</v>
      </c>
      <c r="BX66" s="6">
        <f t="shared" si="71"/>
        <v>0</v>
      </c>
      <c r="BY66" s="6">
        <f t="shared" si="72"/>
        <v>1</v>
      </c>
      <c r="BZ66" s="5">
        <f t="shared" si="73"/>
        <v>2.0299078834820738</v>
      </c>
      <c r="CB66">
        <f t="shared" si="53"/>
        <v>1.0473536350840684</v>
      </c>
      <c r="CG66" s="5">
        <f t="shared" si="74"/>
        <v>1.7158441636123294</v>
      </c>
      <c r="CH66" s="5">
        <f t="shared" si="75"/>
        <v>3.4830055945433727</v>
      </c>
      <c r="CI66" s="5">
        <f t="shared" si="76"/>
        <v>0.42102115325862211</v>
      </c>
      <c r="CJ66" s="5">
        <f t="shared" si="77"/>
        <v>0</v>
      </c>
      <c r="CK66" s="5">
        <f t="shared" si="78"/>
        <v>1.4668766506692308</v>
      </c>
      <c r="CL66" s="5">
        <f t="shared" si="79"/>
        <v>0.21508357012775103</v>
      </c>
      <c r="CM66" s="5">
        <f t="shared" si="80"/>
        <v>4.4777869685989762</v>
      </c>
      <c r="CN66" s="7">
        <f t="shared" si="96"/>
        <v>88.03962248006998</v>
      </c>
      <c r="CO66" s="14">
        <f t="shared" si="10"/>
        <v>1.0000000000000001E-5</v>
      </c>
      <c r="CP66" s="14">
        <f t="shared" si="11"/>
        <v>88.03962248006998</v>
      </c>
      <c r="CQ66">
        <f>VLOOKUP(R66,'[1]Coefficient Normal'!$A$10:$P$14,16,TRUE)</f>
        <v>0.3997</v>
      </c>
      <c r="CR66">
        <f t="shared" si="12"/>
        <v>0.01</v>
      </c>
      <c r="CS66">
        <f t="shared" si="13"/>
        <v>0.3997</v>
      </c>
      <c r="CT66">
        <v>0.3</v>
      </c>
      <c r="CU66">
        <v>0.3</v>
      </c>
      <c r="CV66">
        <v>0.3</v>
      </c>
    </row>
    <row r="67" spans="1:100" x14ac:dyDescent="0.25">
      <c r="A67">
        <v>66</v>
      </c>
      <c r="B67">
        <v>5</v>
      </c>
      <c r="C67" t="str">
        <f t="shared" si="81"/>
        <v>Normal</v>
      </c>
      <c r="D67">
        <v>1.0668</v>
      </c>
      <c r="E67">
        <f t="shared" si="82"/>
        <v>1066.8</v>
      </c>
      <c r="F67">
        <v>9.5250000000000005E-3</v>
      </c>
      <c r="G67">
        <f t="shared" si="82"/>
        <v>9.5250000000000004</v>
      </c>
      <c r="H67" s="3">
        <f t="shared" si="83"/>
        <v>111.99999999999999</v>
      </c>
      <c r="I67" s="1">
        <v>50</v>
      </c>
      <c r="J67" s="4" t="s">
        <v>77</v>
      </c>
      <c r="K67" s="1">
        <f t="shared" si="84"/>
        <v>15</v>
      </c>
      <c r="L67" s="1">
        <f t="shared" si="85"/>
        <v>20</v>
      </c>
      <c r="M67" s="1">
        <f t="shared" si="86"/>
        <v>552000</v>
      </c>
      <c r="N67" s="1">
        <f t="shared" si="87"/>
        <v>625000</v>
      </c>
      <c r="O67" s="1">
        <f t="shared" si="88"/>
        <v>2.9888368774026359</v>
      </c>
      <c r="P67" s="3">
        <f>100*IF(J67='[1]Estimation Model Normal-Slip'!$J$8,'[1]Estimation Model Normal-Slip'!$O$8,IF(J67='[1]Estimation Model Normal-Slip'!$J$9,'[1]Estimation Model Normal-Slip'!$O$9,IF(J67='[1]Estimation Model Normal-Slip'!$J$10,'[1]Estimation Model Normal-Slip'!$O$10,IF(J67='[1]Estimation Model Normal-Slip'!$J$11,'[1]Estimation Model Normal-Slip'!$O$11,IF(J67='[1]Estimation Model Normal-Slip'!$J$12,'[1]Estimation Model Normal-Slip'!$O$12,IF(J67='[1]Estimation Model Normal-Slip'!$J$13,'[1]Estimation Model Normal-Slip'!$O$13,2))))))</f>
        <v>2.8464933991254466</v>
      </c>
      <c r="Q67" s="1">
        <f t="shared" si="89"/>
        <v>1.0948843075076633</v>
      </c>
      <c r="R67" s="1">
        <v>60</v>
      </c>
      <c r="S67" s="1" t="s">
        <v>71</v>
      </c>
      <c r="T67" t="s">
        <v>76</v>
      </c>
      <c r="U67">
        <f t="shared" si="90"/>
        <v>18.5</v>
      </c>
      <c r="V67" s="1">
        <f t="shared" si="91"/>
        <v>0</v>
      </c>
      <c r="W67">
        <f t="shared" si="92"/>
        <v>125</v>
      </c>
      <c r="X67">
        <f t="shared" si="93"/>
        <v>0.4</v>
      </c>
      <c r="Y67">
        <v>0.9</v>
      </c>
      <c r="Z67" s="1">
        <v>1.2</v>
      </c>
      <c r="AA67" s="1">
        <f t="shared" si="65"/>
        <v>1.8</v>
      </c>
      <c r="AB67">
        <f t="shared" si="94"/>
        <v>167.57255214247957</v>
      </c>
      <c r="AC67">
        <f>IF(T67="medium dense",'[1]Coefficient Normal'!$E$18 + ('[1]Coefficient Normal'!$E$19*AA67) + ('[1]Coefficient Normal'!$E$20*(AA67^2)) + ('[1]Coefficient Normal'!$E$21*(AA67^3)) + ('[1]Coefficient Normal'!$E$22*(AA67^4)),IF(T67="dense",'[1]Coefficient Normal'!$F$18 + ('[1]Coefficient Normal'!$F$19*AA67) + ('[1]Coefficient Normal'!$F$20*(AA67^2)) + ('[1]Coefficient Normal'!$F$21*(AA67^3)) + ('[1]Coefficient Normal'!$F$22*(AA67^4)),IF(T67="very dense",'[1]Coefficient Normal'!$G$18 + ('[1]Coefficient Normal'!$G$19*AA67) + ('[1]Coefficient Normal'!$G$20*(AA67^2)) + ('[1]Coefficient Normal'!$G$21*(AA67^3)) + ('[1]Coefficient Normal'!$G$22*(AA67^4)),0)))</f>
        <v>0</v>
      </c>
      <c r="AD67">
        <f t="shared" si="66"/>
        <v>0</v>
      </c>
      <c r="AE67">
        <f t="shared" si="67"/>
        <v>685.41899999999998</v>
      </c>
      <c r="AF67">
        <f t="shared" si="95"/>
        <v>6.530030330095097</v>
      </c>
      <c r="AG67">
        <f t="shared" si="68"/>
        <v>4.7184988712950942</v>
      </c>
      <c r="AH67">
        <f t="shared" si="44"/>
        <v>5.1214164046032682</v>
      </c>
      <c r="AI67" s="1">
        <v>3.0002260330000001</v>
      </c>
      <c r="AJ67" s="5">
        <f>VLOOKUP(R67,'[1]Coefficient Normal'!$A$3:$H$7,2,TRUE)</f>
        <v>4.3182999999999998</v>
      </c>
      <c r="AK67" s="5">
        <f>VLOOKUP(R67,'[1]Coefficient Normal'!$A$3:$H$7,3,TRUE)</f>
        <v>-2.7900000000000001E-2</v>
      </c>
      <c r="AL67" s="5">
        <f>VLOOKUP(R67,'[1]Coefficient Normal'!$A$3:$H$7,4,TRUE)</f>
        <v>1.0497000000000001</v>
      </c>
      <c r="AM67" s="5">
        <f>VLOOKUP(R67,'[1]Coefficient Normal'!$A$3:$H$7,5,TRUE)</f>
        <v>-0.46910000000000002</v>
      </c>
      <c r="AN67" s="5">
        <f>VLOOKUP(R67,'[1]Coefficient Normal'!$A$3:$H$7,6,TRUE)</f>
        <v>0.29149999999999998</v>
      </c>
      <c r="AO67" s="5">
        <f>VLOOKUP(R67,'[1]Coefficient Normal'!$A$3:$H$7,7,TRUE)</f>
        <v>-0.28610000000000002</v>
      </c>
      <c r="AP67" s="5">
        <f>VLOOKUP(R67,'[1]Coefficient Normal'!$A$3:$H$7,8,TRUE)</f>
        <v>-0.1348</v>
      </c>
      <c r="AR67" s="5">
        <f t="shared" si="69"/>
        <v>-0.17586580558020715</v>
      </c>
      <c r="AV67" s="5">
        <f>VLOOKUP(R67,'[1]Coefficient Normal'!$A$10:$P$14,2,TRUE)</f>
        <v>-2.1276999999999999</v>
      </c>
      <c r="AW67" s="5">
        <f>VLOOKUP(R67,'[1]Coefficient Normal'!$A$10:$P$14,3,TRUE)</f>
        <v>0.14760000000000001</v>
      </c>
      <c r="AX67" s="5">
        <f>VLOOKUP(R67,'[1]Coefficient Normal'!$A$10:$P$14,4,TRUE)</f>
        <v>-0.21829999999999999</v>
      </c>
      <c r="AY67" s="5">
        <f>VLOOKUP(R67,'[1]Coefficient Normal'!$A$10:$P$14,5,TRUE)</f>
        <v>0.42270000000000002</v>
      </c>
      <c r="AZ67" s="5">
        <f>VLOOKUP(R67,'[1]Coefficient Normal'!$A$10:$P$14,6,TRUE)</f>
        <v>-0.53720000000000001</v>
      </c>
      <c r="BA67" s="5">
        <f>VLOOKUP(R67,'[1]Coefficient Normal'!$A$10:$P$14,7,TRUE)</f>
        <v>1.252</v>
      </c>
      <c r="BB67" s="5">
        <f>VLOOKUP(R67,'[1]Coefficient Normal'!$A$10:$P$14,8,TRUE)</f>
        <v>-5.9999999999999995E-4</v>
      </c>
      <c r="BC67" s="5">
        <f>VLOOKUP(R67,'[1]Coefficient Normal'!$A$10:$P$14,9,TRUE)</f>
        <v>5.3E-3</v>
      </c>
      <c r="BD67" s="5">
        <f>VLOOKUP(R67,'[1]Coefficient Normal'!$A$10:$P$14,10,TRUE)</f>
        <v>-4.8500000000000001E-2</v>
      </c>
      <c r="BE67" s="5">
        <f>VLOOKUP(R67,'[1]Coefficient Normal'!$A$10:$P$14,11,TRUE)</f>
        <v>1.2999999999999999E-3</v>
      </c>
      <c r="BF67" s="5">
        <f>VLOOKUP(R67,'[1]Coefficient Normal'!$A$10:$P$14,12,TRUE)</f>
        <v>-0.56599999999999995</v>
      </c>
      <c r="BG67" s="5">
        <f>VLOOKUP(R67,'[1]Coefficient Normal'!$A$10:$P$14,13,TRUE)</f>
        <v>-3.2099999999999997E-2</v>
      </c>
      <c r="BH67" s="5">
        <f>VLOOKUP(R67,'[1]Coefficient Normal'!$A$10:$P$14,14,TRUE)</f>
        <v>0.84970000000000001</v>
      </c>
      <c r="BI67" s="5">
        <f>VLOOKUP(R67,'[1]Coefficient Normal'!$A$10:$P$14,15,TRUE)</f>
        <v>9.01E-2</v>
      </c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W67" s="6">
        <f t="shared" si="70"/>
        <v>0</v>
      </c>
      <c r="BX67" s="6">
        <f t="shared" si="71"/>
        <v>0</v>
      </c>
      <c r="BY67" s="6">
        <f t="shared" si="72"/>
        <v>1</v>
      </c>
      <c r="BZ67" s="5">
        <f t="shared" si="73"/>
        <v>1.1376490761064402</v>
      </c>
      <c r="CB67">
        <f t="shared" si="53"/>
        <v>1.0986876301632014</v>
      </c>
      <c r="CG67" s="5">
        <f t="shared" si="74"/>
        <v>1.2745534357434085</v>
      </c>
      <c r="CH67" s="5">
        <f t="shared" si="75"/>
        <v>1.4499945386217779</v>
      </c>
      <c r="CI67" s="5">
        <f t="shared" si="76"/>
        <v>0.69645043340315593</v>
      </c>
      <c r="CJ67" s="5">
        <f t="shared" si="77"/>
        <v>0</v>
      </c>
      <c r="CK67" s="5">
        <f t="shared" si="78"/>
        <v>2.7602438205311977</v>
      </c>
      <c r="CL67" s="5">
        <f t="shared" si="79"/>
        <v>-3.4737239358577927E-2</v>
      </c>
      <c r="CM67" s="5">
        <f t="shared" si="80"/>
        <v>2.7442515531975533</v>
      </c>
      <c r="CN67" s="7">
        <f t="shared" si="96"/>
        <v>15.552969005003565</v>
      </c>
      <c r="CO67" s="14">
        <f t="shared" ref="CO67:CO81" si="97">IF(OR(C67="SSComp",C67="Reverse"),CN67,0.00001)</f>
        <v>1.0000000000000001E-5</v>
      </c>
      <c r="CP67" s="14">
        <f t="shared" ref="CP67:CP81" si="98">IF(OR(C67="SSTens",C67="Normal"),CN67,0.00001)</f>
        <v>15.552969005003565</v>
      </c>
      <c r="CQ67">
        <f>VLOOKUP(R67,'[1]Coefficient Normal'!$A$10:$P$14,16,TRUE)</f>
        <v>0.50170000000000003</v>
      </c>
      <c r="CR67">
        <f t="shared" ref="CR67:CR81" si="99">IF(OR(C67="SSComp",C67="Reverse"),CQ67,0.01)</f>
        <v>0.01</v>
      </c>
      <c r="CS67">
        <f t="shared" ref="CS67:CS81" si="100">IF(OR(C67="SSTens",C67="Normal"),CQ67,0.01)</f>
        <v>0.50170000000000003</v>
      </c>
      <c r="CT67">
        <v>0.3</v>
      </c>
      <c r="CU67">
        <v>0.3</v>
      </c>
      <c r="CV67">
        <v>0.3</v>
      </c>
    </row>
    <row r="68" spans="1:100" x14ac:dyDescent="0.25">
      <c r="A68">
        <v>67</v>
      </c>
      <c r="B68">
        <v>6</v>
      </c>
      <c r="C68" t="str">
        <f t="shared" si="81"/>
        <v>Normal</v>
      </c>
      <c r="D68">
        <v>0.60960000000000003</v>
      </c>
      <c r="E68">
        <f t="shared" si="82"/>
        <v>609.6</v>
      </c>
      <c r="F68">
        <v>9.5250000000000005E-3</v>
      </c>
      <c r="G68">
        <f t="shared" si="82"/>
        <v>9.5250000000000004</v>
      </c>
      <c r="H68" s="3">
        <f t="shared" si="83"/>
        <v>64</v>
      </c>
      <c r="I68" s="1">
        <v>100</v>
      </c>
      <c r="J68" s="4" t="s">
        <v>70</v>
      </c>
      <c r="K68" s="1">
        <f t="shared" si="84"/>
        <v>8</v>
      </c>
      <c r="L68" s="1">
        <f t="shared" si="85"/>
        <v>10</v>
      </c>
      <c r="M68" s="1">
        <f t="shared" si="86"/>
        <v>359000</v>
      </c>
      <c r="N68" s="1">
        <f t="shared" si="87"/>
        <v>455000</v>
      </c>
      <c r="O68" s="1">
        <f t="shared" si="88"/>
        <v>1.9969902892117808</v>
      </c>
      <c r="P68" s="3">
        <f>100*IF(J68='[1]Estimation Model Normal-Slip'!$J$8,'[1]Estimation Model Normal-Slip'!$O$8,IF(J68='[1]Estimation Model Normal-Slip'!$J$9,'[1]Estimation Model Normal-Slip'!$O$9,IF(J68='[1]Estimation Model Normal-Slip'!$J$10,'[1]Estimation Model Normal-Slip'!$O$10,IF(J68='[1]Estimation Model Normal-Slip'!$J$11,'[1]Estimation Model Normal-Slip'!$O$11,IF(J68='[1]Estimation Model Normal-Slip'!$J$12,'[1]Estimation Model Normal-Slip'!$O$12,IF(J68='[1]Estimation Model Normal-Slip'!$J$13,'[1]Estimation Model Normal-Slip'!$O$13,2))))))</f>
        <v>1.9041242414694344</v>
      </c>
      <c r="Q68" s="1">
        <f t="shared" si="89"/>
        <v>0.69164119173371341</v>
      </c>
      <c r="R68" s="1">
        <v>75</v>
      </c>
      <c r="S68" s="1" t="s">
        <v>71</v>
      </c>
      <c r="T68" t="s">
        <v>72</v>
      </c>
      <c r="U68">
        <f t="shared" si="90"/>
        <v>17.5</v>
      </c>
      <c r="V68" s="1">
        <f t="shared" si="91"/>
        <v>0</v>
      </c>
      <c r="W68">
        <f t="shared" si="92"/>
        <v>37.5</v>
      </c>
      <c r="X68">
        <f t="shared" si="93"/>
        <v>1.1000000000000001</v>
      </c>
      <c r="Y68">
        <v>0.9</v>
      </c>
      <c r="Z68" s="1">
        <v>0.78739999999999999</v>
      </c>
      <c r="AA68" s="1">
        <f t="shared" si="65"/>
        <v>1.8</v>
      </c>
      <c r="AB68">
        <f t="shared" si="94"/>
        <v>78.998488867168945</v>
      </c>
      <c r="AC68">
        <f>IF(T68="medium dense",'[1]Coefficient Normal'!$E$18 + ('[1]Coefficient Normal'!$E$19*AA68) + ('[1]Coefficient Normal'!$E$20*(AA68^2)) + ('[1]Coefficient Normal'!$E$21*(AA68^3)) + ('[1]Coefficient Normal'!$E$22*(AA68^4)),IF(T68="dense",'[1]Coefficient Normal'!$F$18 + ('[1]Coefficient Normal'!$F$19*AA68) + ('[1]Coefficient Normal'!$F$20*(AA68^2)) + ('[1]Coefficient Normal'!$F$21*(AA68^3)) + ('[1]Coefficient Normal'!$F$22*(AA68^4)),IF(T68="very dense",'[1]Coefficient Normal'!$G$18 + ('[1]Coefficient Normal'!$G$19*AA68) + ('[1]Coefficient Normal'!$G$20*(AA68^2)) + ('[1]Coefficient Normal'!$G$21*(AA68^3)) + ('[1]Coefficient Normal'!$G$22*(AA68^4)),0)))</f>
        <v>0</v>
      </c>
      <c r="AD68">
        <f t="shared" si="66"/>
        <v>0</v>
      </c>
      <c r="AE68">
        <f t="shared" si="67"/>
        <v>117.5004</v>
      </c>
      <c r="AF68">
        <f t="shared" si="95"/>
        <v>4.7664417378337385</v>
      </c>
      <c r="AG68">
        <f t="shared" si="68"/>
        <v>4.1588830833596715</v>
      </c>
      <c r="AH68">
        <f t="shared" si="44"/>
        <v>4.3694287240203895</v>
      </c>
      <c r="AI68" s="1">
        <v>0.14999670000000001</v>
      </c>
      <c r="AJ68" s="5">
        <f>VLOOKUP(R68,'[1]Coefficient Normal'!$A$3:$H$7,2,TRUE)</f>
        <v>5.5951000000000004</v>
      </c>
      <c r="AK68" s="5">
        <f>VLOOKUP(R68,'[1]Coefficient Normal'!$A$3:$H$7,3,TRUE)</f>
        <v>1.6E-2</v>
      </c>
      <c r="AL68" s="5">
        <f>VLOOKUP(R68,'[1]Coefficient Normal'!$A$3:$H$7,4,TRUE)</f>
        <v>1.2641</v>
      </c>
      <c r="AM68" s="5">
        <f>VLOOKUP(R68,'[1]Coefficient Normal'!$A$3:$H$7,5,TRUE)</f>
        <v>-0.52429999999999999</v>
      </c>
      <c r="AN68" s="5">
        <f>VLOOKUP(R68,'[1]Coefficient Normal'!$A$3:$H$7,6,TRUE)</f>
        <v>0.35830000000000001</v>
      </c>
      <c r="AO68" s="5">
        <f>VLOOKUP(R68,'[1]Coefficient Normal'!$A$3:$H$7,7,TRUE)</f>
        <v>-0.35920000000000002</v>
      </c>
      <c r="AP68" s="5">
        <f>VLOOKUP(R68,'[1]Coefficient Normal'!$A$3:$H$7,8,TRUE)</f>
        <v>-0.2482</v>
      </c>
      <c r="AR68" s="5">
        <f t="shared" si="69"/>
        <v>0.31382810950266227</v>
      </c>
      <c r="AV68" s="5">
        <f>VLOOKUP(R68,'[1]Coefficient Normal'!$A$10:$P$14,2,TRUE)</f>
        <v>-2.3450000000000002</v>
      </c>
      <c r="AW68" s="5">
        <f>VLOOKUP(R68,'[1]Coefficient Normal'!$A$10:$P$14,3,TRUE)</f>
        <v>0.19470000000000001</v>
      </c>
      <c r="AX68" s="5">
        <f>VLOOKUP(R68,'[1]Coefficient Normal'!$A$10:$P$14,4,TRUE)</f>
        <v>-0.2044</v>
      </c>
      <c r="AY68" s="5">
        <f>VLOOKUP(R68,'[1]Coefficient Normal'!$A$10:$P$14,5,TRUE)</f>
        <v>0.4143</v>
      </c>
      <c r="AZ68" s="5">
        <f>VLOOKUP(R68,'[1]Coefficient Normal'!$A$10:$P$14,6,TRUE)</f>
        <v>-0.55710000000000004</v>
      </c>
      <c r="BA68" s="5">
        <f>VLOOKUP(R68,'[1]Coefficient Normal'!$A$10:$P$14,7,TRUE)</f>
        <v>1.0931</v>
      </c>
      <c r="BB68" s="5">
        <f>VLOOKUP(R68,'[1]Coefficient Normal'!$A$10:$P$14,8,TRUE)</f>
        <v>1E-4</v>
      </c>
      <c r="BC68" s="5">
        <f>VLOOKUP(R68,'[1]Coefficient Normal'!$A$10:$P$14,9,TRUE)</f>
        <v>3.5000000000000001E-3</v>
      </c>
      <c r="BD68" s="5">
        <f>VLOOKUP(R68,'[1]Coefficient Normal'!$A$10:$P$14,10,TRUE)</f>
        <v>-4.07E-2</v>
      </c>
      <c r="BE68" s="5">
        <f>VLOOKUP(R68,'[1]Coefficient Normal'!$A$10:$P$14,11,TRUE)</f>
        <v>1.6000000000000001E-3</v>
      </c>
      <c r="BF68" s="5">
        <f>VLOOKUP(R68,'[1]Coefficient Normal'!$A$10:$P$14,12,TRUE)</f>
        <v>-0.65949999999999998</v>
      </c>
      <c r="BG68" s="5">
        <f>VLOOKUP(R68,'[1]Coefficient Normal'!$A$10:$P$14,13,TRUE)</f>
        <v>-3.0099999999999998E-2</v>
      </c>
      <c r="BH68" s="5">
        <f>VLOOKUP(R68,'[1]Coefficient Normal'!$A$10:$P$14,14,TRUE)</f>
        <v>0.84219999999999995</v>
      </c>
      <c r="BI68" s="5">
        <f>VLOOKUP(R68,'[1]Coefficient Normal'!$A$10:$P$14,15,TRUE)</f>
        <v>0.50680000000000003</v>
      </c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W68" s="6">
        <f t="shared" si="70"/>
        <v>0</v>
      </c>
      <c r="BX68" s="6">
        <f t="shared" si="71"/>
        <v>1</v>
      </c>
      <c r="BY68" s="6">
        <f t="shared" si="72"/>
        <v>0</v>
      </c>
      <c r="BZ68" s="5">
        <f t="shared" si="73"/>
        <v>1.1626998488867168</v>
      </c>
      <c r="CB68">
        <f t="shared" si="53"/>
        <v>-1.8971419851278848</v>
      </c>
      <c r="CG68" s="5">
        <f t="shared" si="74"/>
        <v>-2.2109700946305471</v>
      </c>
      <c r="CH68" s="5">
        <f t="shared" si="75"/>
        <v>-2.5706945949199871</v>
      </c>
      <c r="CI68" s="5">
        <f t="shared" si="76"/>
        <v>0.80973453633012804</v>
      </c>
      <c r="CJ68" s="5">
        <f t="shared" si="77"/>
        <v>0</v>
      </c>
      <c r="CK68" s="5">
        <f t="shared" si="78"/>
        <v>1.9747368119845179</v>
      </c>
      <c r="CL68" s="5">
        <f t="shared" si="79"/>
        <v>0.27573791218506416</v>
      </c>
      <c r="CM68" s="5">
        <f t="shared" si="80"/>
        <v>-1.8554853344202775</v>
      </c>
      <c r="CN68" s="7">
        <f t="shared" si="96"/>
        <v>0.15637702909994644</v>
      </c>
      <c r="CO68" s="14">
        <f t="shared" si="97"/>
        <v>1.0000000000000001E-5</v>
      </c>
      <c r="CP68" s="14">
        <f t="shared" si="98"/>
        <v>0.15637702909994644</v>
      </c>
      <c r="CQ68">
        <f>VLOOKUP(R68,'[1]Coefficient Normal'!$A$10:$P$14,16,TRUE)</f>
        <v>0.43780000000000002</v>
      </c>
      <c r="CR68">
        <f t="shared" si="99"/>
        <v>0.01</v>
      </c>
      <c r="CS68">
        <f t="shared" si="100"/>
        <v>0.43780000000000002</v>
      </c>
      <c r="CT68">
        <v>0.3</v>
      </c>
      <c r="CU68">
        <v>0.3</v>
      </c>
      <c r="CV68">
        <v>0.3</v>
      </c>
    </row>
    <row r="69" spans="1:100" x14ac:dyDescent="0.25">
      <c r="A69">
        <v>68</v>
      </c>
      <c r="B69">
        <v>7</v>
      </c>
      <c r="C69" t="str">
        <f t="shared" si="81"/>
        <v>Normal</v>
      </c>
      <c r="D69">
        <v>0.40960000000000002</v>
      </c>
      <c r="E69">
        <f t="shared" si="82"/>
        <v>409.6</v>
      </c>
      <c r="F69">
        <v>9.5250000000000005E-3</v>
      </c>
      <c r="G69">
        <f t="shared" si="82"/>
        <v>9.5250000000000004</v>
      </c>
      <c r="H69" s="3">
        <f t="shared" si="83"/>
        <v>43.00262467191601</v>
      </c>
      <c r="I69" s="1">
        <v>300</v>
      </c>
      <c r="J69" s="4" t="s">
        <v>73</v>
      </c>
      <c r="K69" s="1">
        <f t="shared" si="84"/>
        <v>8</v>
      </c>
      <c r="L69" s="1">
        <f t="shared" si="85"/>
        <v>12</v>
      </c>
      <c r="M69" s="1">
        <f t="shared" si="86"/>
        <v>414000</v>
      </c>
      <c r="N69" s="1">
        <f t="shared" si="87"/>
        <v>517000</v>
      </c>
      <c r="O69" s="1">
        <f t="shared" si="88"/>
        <v>2.5466769467238102</v>
      </c>
      <c r="P69" s="3">
        <f>100*IF(J69='[1]Estimation Model Normal-Slip'!$J$8,'[1]Estimation Model Normal-Slip'!$O$8,IF(J69='[1]Estimation Model Normal-Slip'!$J$9,'[1]Estimation Model Normal-Slip'!$O$9,IF(J69='[1]Estimation Model Normal-Slip'!$J$10,'[1]Estimation Model Normal-Slip'!$O$10,IF(J69='[1]Estimation Model Normal-Slip'!$J$11,'[1]Estimation Model Normal-Slip'!$O$11,IF(J69='[1]Estimation Model Normal-Slip'!$J$12,'[1]Estimation Model Normal-Slip'!$O$12,IF(J69='[1]Estimation Model Normal-Slip'!$J$13,'[1]Estimation Model Normal-Slip'!$O$13,2))))))</f>
        <v>2.4313344008036557</v>
      </c>
      <c r="Q69" s="1">
        <f t="shared" si="89"/>
        <v>0.93478935117382533</v>
      </c>
      <c r="R69" s="1">
        <v>90</v>
      </c>
      <c r="S69" s="1" t="s">
        <v>71</v>
      </c>
      <c r="T69" t="s">
        <v>74</v>
      </c>
      <c r="U69">
        <f t="shared" si="90"/>
        <v>18</v>
      </c>
      <c r="V69" s="1">
        <f t="shared" si="91"/>
        <v>0</v>
      </c>
      <c r="W69">
        <f t="shared" si="92"/>
        <v>75</v>
      </c>
      <c r="X69">
        <f t="shared" si="93"/>
        <v>0.72</v>
      </c>
      <c r="Y69">
        <v>0.9</v>
      </c>
      <c r="Z69" s="1">
        <v>1</v>
      </c>
      <c r="AA69" s="1">
        <f t="shared" si="65"/>
        <v>2.44140625</v>
      </c>
      <c r="AB69">
        <f t="shared" si="94"/>
        <v>69.487002949160484</v>
      </c>
      <c r="AC69">
        <f>IF(T69="medium dense",'[1]Coefficient Normal'!$E$18 + ('[1]Coefficient Normal'!$E$19*AA69) + ('[1]Coefficient Normal'!$E$20*(AA69^2)) + ('[1]Coefficient Normal'!$E$21*(AA69^3)) + ('[1]Coefficient Normal'!$E$22*(AA69^4)),IF(T69="dense",'[1]Coefficient Normal'!$F$18 + ('[1]Coefficient Normal'!$F$19*AA69) + ('[1]Coefficient Normal'!$F$20*(AA69^2)) + ('[1]Coefficient Normal'!$F$21*(AA69^3)) + ('[1]Coefficient Normal'!$F$22*(AA69^4)),IF(T69="very dense",'[1]Coefficient Normal'!$G$18 + ('[1]Coefficient Normal'!$G$19*AA69) + ('[1]Coefficient Normal'!$G$20*(AA69^2)) + ('[1]Coefficient Normal'!$G$21*(AA69^3)) + ('[1]Coefficient Normal'!$G$22*(AA69^4)),0)))</f>
        <v>0</v>
      </c>
      <c r="AD69">
        <f t="shared" si="66"/>
        <v>0</v>
      </c>
      <c r="AE69">
        <f t="shared" si="67"/>
        <v>157.9008</v>
      </c>
      <c r="AF69">
        <f t="shared" si="95"/>
        <v>5.061966987746545</v>
      </c>
      <c r="AG69">
        <f t="shared" si="68"/>
        <v>3.7612611527125335</v>
      </c>
      <c r="AH69">
        <f t="shared" si="44"/>
        <v>4.2411397271568356</v>
      </c>
      <c r="AI69" s="1">
        <v>0.29999340000000002</v>
      </c>
      <c r="AJ69" s="5">
        <f>VLOOKUP(R69,'[1]Coefficient Normal'!$A$3:$H$7,2,TRUE)</f>
        <v>14.575100000000001</v>
      </c>
      <c r="AK69" s="5">
        <f>VLOOKUP(R69,'[1]Coefficient Normal'!$A$3:$H$7,3,TRUE)</f>
        <v>0.1356</v>
      </c>
      <c r="AL69" s="5">
        <f>VLOOKUP(R69,'[1]Coefficient Normal'!$A$3:$H$7,4,TRUE)</f>
        <v>2.9990000000000001</v>
      </c>
      <c r="AM69" s="5">
        <f>VLOOKUP(R69,'[1]Coefficient Normal'!$A$3:$H$7,5,TRUE)</f>
        <v>-0.94710000000000005</v>
      </c>
      <c r="AN69" s="5">
        <f>VLOOKUP(R69,'[1]Coefficient Normal'!$A$3:$H$7,6,TRUE)</f>
        <v>0.6603</v>
      </c>
      <c r="AO69" s="5">
        <f>VLOOKUP(R69,'[1]Coefficient Normal'!$A$3:$H$7,7,TRUE)</f>
        <v>-1.2488999999999999</v>
      </c>
      <c r="AP69" s="5">
        <f>VLOOKUP(R69,'[1]Coefficient Normal'!$A$3:$H$7,8,TRUE)</f>
        <v>-0.44140000000000001</v>
      </c>
      <c r="AR69" s="5">
        <f t="shared" si="69"/>
        <v>1.5327241862804701</v>
      </c>
      <c r="AV69" s="5">
        <f>VLOOKUP(R69,'[1]Coefficient Normal'!$A$10:$P$14,2,TRUE)</f>
        <v>5.1353999999999997</v>
      </c>
      <c r="AW69" s="5">
        <f>VLOOKUP(R69,'[1]Coefficient Normal'!$A$10:$P$14,3,TRUE)</f>
        <v>-4.9599999999999998E-2</v>
      </c>
      <c r="AX69" s="5">
        <f>VLOOKUP(R69,'[1]Coefficient Normal'!$A$10:$P$14,4,TRUE)</f>
        <v>0.44590000000000002</v>
      </c>
      <c r="AY69" s="5">
        <f>VLOOKUP(R69,'[1]Coefficient Normal'!$A$10:$P$14,5,TRUE)</f>
        <v>-0.83709999999999996</v>
      </c>
      <c r="AZ69" s="5">
        <f>VLOOKUP(R69,'[1]Coefficient Normal'!$A$10:$P$14,6,TRUE)</f>
        <v>0.63090000000000002</v>
      </c>
      <c r="BA69" s="5">
        <f>VLOOKUP(R69,'[1]Coefficient Normal'!$A$10:$P$14,7,TRUE)</f>
        <v>0.91390000000000005</v>
      </c>
      <c r="BB69" s="5">
        <f>VLOOKUP(R69,'[1]Coefficient Normal'!$A$10:$P$14,8,TRUE)</f>
        <v>2.5000000000000001E-3</v>
      </c>
      <c r="BC69" s="5">
        <f>VLOOKUP(R69,'[1]Coefficient Normal'!$A$10:$P$14,9,TRUE)</f>
        <v>1.6000000000000001E-3</v>
      </c>
      <c r="BD69" s="5">
        <f>VLOOKUP(R69,'[1]Coefficient Normal'!$A$10:$P$14,10,TRUE)</f>
        <v>-9.7500000000000003E-2</v>
      </c>
      <c r="BE69" s="5">
        <f>VLOOKUP(R69,'[1]Coefficient Normal'!$A$10:$P$14,11,TRUE)</f>
        <v>1.1999999999999999E-3</v>
      </c>
      <c r="BF69" s="5">
        <f>VLOOKUP(R69,'[1]Coefficient Normal'!$A$10:$P$14,12,TRUE)</f>
        <v>0.46479999999999999</v>
      </c>
      <c r="BG69" s="5">
        <f>VLOOKUP(R69,'[1]Coefficient Normal'!$A$10:$P$14,13,TRUE)</f>
        <v>8.0000000000000004E-4</v>
      </c>
      <c r="BH69" s="5">
        <f>VLOOKUP(R69,'[1]Coefficient Normal'!$A$10:$P$14,14,TRUE)</f>
        <v>6.7900000000000002E-2</v>
      </c>
      <c r="BI69" s="5">
        <f>VLOOKUP(R69,'[1]Coefficient Normal'!$A$10:$P$14,15,TRUE)</f>
        <v>0.58979999999999999</v>
      </c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W69" s="6">
        <f t="shared" si="70"/>
        <v>0</v>
      </c>
      <c r="BX69" s="6">
        <f t="shared" si="71"/>
        <v>1</v>
      </c>
      <c r="BY69" s="6">
        <f t="shared" si="72"/>
        <v>0</v>
      </c>
      <c r="BZ69" s="5">
        <f t="shared" si="73"/>
        <v>1.0417206569792006</v>
      </c>
      <c r="CB69">
        <f t="shared" si="53"/>
        <v>-1.2039948045679394</v>
      </c>
      <c r="CG69" s="5">
        <f t="shared" si="74"/>
        <v>-2.7367189908484093</v>
      </c>
      <c r="CH69" s="5">
        <f t="shared" si="75"/>
        <v>-2.8508967051140597</v>
      </c>
      <c r="CI69" s="5">
        <f t="shared" si="76"/>
        <v>-0.18655855317454165</v>
      </c>
      <c r="CJ69" s="5">
        <f t="shared" si="77"/>
        <v>0</v>
      </c>
      <c r="CK69" s="5">
        <f t="shared" si="78"/>
        <v>-4.2373725654426329</v>
      </c>
      <c r="CL69" s="5">
        <f t="shared" si="79"/>
        <v>-0.56312506609653967</v>
      </c>
      <c r="CM69" s="5">
        <f t="shared" si="80"/>
        <v>-2.702552889827774</v>
      </c>
      <c r="CN69" s="7">
        <f t="shared" si="96"/>
        <v>6.7034163281111642E-2</v>
      </c>
      <c r="CO69" s="14">
        <f t="shared" si="97"/>
        <v>1.0000000000000001E-5</v>
      </c>
      <c r="CP69" s="14">
        <f t="shared" si="98"/>
        <v>6.7034163281111642E-2</v>
      </c>
      <c r="CQ69">
        <f>VLOOKUP(R69,'[1]Coefficient Normal'!$A$10:$P$14,16,TRUE)</f>
        <v>0.34749999999999998</v>
      </c>
      <c r="CR69">
        <f t="shared" si="99"/>
        <v>0.01</v>
      </c>
      <c r="CS69">
        <f t="shared" si="100"/>
        <v>0.34749999999999998</v>
      </c>
      <c r="CT69">
        <v>0.3</v>
      </c>
      <c r="CU69">
        <v>0.3</v>
      </c>
      <c r="CV69">
        <v>0.3</v>
      </c>
    </row>
    <row r="70" spans="1:100" x14ac:dyDescent="0.25">
      <c r="A70">
        <v>69</v>
      </c>
      <c r="B70">
        <v>8</v>
      </c>
      <c r="C70" t="str">
        <f t="shared" si="81"/>
        <v>Normal</v>
      </c>
      <c r="D70">
        <v>0.89600000000000002</v>
      </c>
      <c r="E70">
        <f t="shared" si="82"/>
        <v>896</v>
      </c>
      <c r="F70">
        <v>9.5250000000000005E-3</v>
      </c>
      <c r="G70">
        <f t="shared" si="82"/>
        <v>9.5250000000000004</v>
      </c>
      <c r="H70" s="3">
        <f t="shared" si="83"/>
        <v>94.068241469816272</v>
      </c>
      <c r="I70" s="1">
        <v>30</v>
      </c>
      <c r="J70" s="4" t="s">
        <v>75</v>
      </c>
      <c r="K70" s="1">
        <f t="shared" si="84"/>
        <v>14</v>
      </c>
      <c r="L70" s="1">
        <f t="shared" si="85"/>
        <v>15</v>
      </c>
      <c r="M70" s="1">
        <f t="shared" si="86"/>
        <v>483000</v>
      </c>
      <c r="N70" s="1">
        <f t="shared" si="87"/>
        <v>565000</v>
      </c>
      <c r="O70" s="1">
        <f t="shared" si="88"/>
        <v>2.8799444073326219</v>
      </c>
      <c r="P70" s="3">
        <f>100*IF(J70='[1]Estimation Model Normal-Slip'!$J$8,'[1]Estimation Model Normal-Slip'!$O$8,IF(J70='[1]Estimation Model Normal-Slip'!$J$9,'[1]Estimation Model Normal-Slip'!$O$9,IF(J70='[1]Estimation Model Normal-Slip'!$J$10,'[1]Estimation Model Normal-Slip'!$O$10,IF(J70='[1]Estimation Model Normal-Slip'!$J$11,'[1]Estimation Model Normal-Slip'!$O$11,IF(J70='[1]Estimation Model Normal-Slip'!$J$12,'[1]Estimation Model Normal-Slip'!$O$12,IF(J70='[1]Estimation Model Normal-Slip'!$J$13,'[1]Estimation Model Normal-Slip'!$O$13,2))))))</f>
        <v>2.7690517990613435</v>
      </c>
      <c r="Q70" s="1">
        <f t="shared" si="89"/>
        <v>1.0577709909520427</v>
      </c>
      <c r="R70" s="1">
        <v>45</v>
      </c>
      <c r="S70" s="1" t="s">
        <v>71</v>
      </c>
      <c r="T70" t="s">
        <v>76</v>
      </c>
      <c r="U70">
        <f t="shared" si="90"/>
        <v>18.5</v>
      </c>
      <c r="V70" s="1">
        <f t="shared" si="91"/>
        <v>0</v>
      </c>
      <c r="W70">
        <f t="shared" si="92"/>
        <v>125</v>
      </c>
      <c r="X70">
        <f t="shared" si="93"/>
        <v>0.4</v>
      </c>
      <c r="Y70">
        <v>0.9</v>
      </c>
      <c r="Z70" s="1">
        <v>1.2</v>
      </c>
      <c r="AA70" s="1">
        <f t="shared" si="65"/>
        <v>1.8</v>
      </c>
      <c r="AB70">
        <f t="shared" si="94"/>
        <v>140.74335088082273</v>
      </c>
      <c r="AC70">
        <f>IF(T70="medium dense",'[1]Coefficient Normal'!$E$18 + ('[1]Coefficient Normal'!$E$19*AA70) + ('[1]Coefficient Normal'!$E$20*(AA70^2)) + ('[1]Coefficient Normal'!$E$21*(AA70^3)) + ('[1]Coefficient Normal'!$E$22*(AA70^4)),IF(T70="dense",'[1]Coefficient Normal'!$F$18 + ('[1]Coefficient Normal'!$F$19*AA70) + ('[1]Coefficient Normal'!$F$20*(AA70^2)) + ('[1]Coefficient Normal'!$F$21*(AA70^3)) + ('[1]Coefficient Normal'!$F$22*(AA70^4)),IF(T70="very dense",'[1]Coefficient Normal'!$G$18 + ('[1]Coefficient Normal'!$G$19*AA70) + ('[1]Coefficient Normal'!$G$20*(AA70^2)) + ('[1]Coefficient Normal'!$G$21*(AA70^3)) + ('[1]Coefficient Normal'!$G$22*(AA70^4)),0)))</f>
        <v>0</v>
      </c>
      <c r="AD70">
        <f t="shared" si="66"/>
        <v>0</v>
      </c>
      <c r="AE70">
        <f t="shared" si="67"/>
        <v>575.68000000000006</v>
      </c>
      <c r="AF70">
        <f t="shared" si="95"/>
        <v>6.3555519507621687</v>
      </c>
      <c r="AG70">
        <f t="shared" si="68"/>
        <v>4.5440204919621658</v>
      </c>
      <c r="AH70">
        <f t="shared" si="44"/>
        <v>4.9469380252703399</v>
      </c>
      <c r="AI70" s="1">
        <v>0.4499901</v>
      </c>
      <c r="AJ70" s="5">
        <f>VLOOKUP(R70,'[1]Coefficient Normal'!$A$3:$H$7,2,TRUE)</f>
        <v>3.7532999999999999</v>
      </c>
      <c r="AK70" s="5">
        <f>VLOOKUP(R70,'[1]Coefficient Normal'!$A$3:$H$7,3,TRUE)</f>
        <v>0.14510000000000001</v>
      </c>
      <c r="AL70" s="5">
        <f>VLOOKUP(R70,'[1]Coefficient Normal'!$A$3:$H$7,4,TRUE)</f>
        <v>1.2497</v>
      </c>
      <c r="AM70" s="5">
        <f>VLOOKUP(R70,'[1]Coefficient Normal'!$A$3:$H$7,5,TRUE)</f>
        <v>-0.46100000000000002</v>
      </c>
      <c r="AN70" s="5">
        <f>VLOOKUP(R70,'[1]Coefficient Normal'!$A$3:$H$7,6,TRUE)</f>
        <v>0.39140000000000003</v>
      </c>
      <c r="AO70" s="5">
        <f>VLOOKUP(R70,'[1]Coefficient Normal'!$A$3:$H$7,7,TRUE)</f>
        <v>-0.21310000000000001</v>
      </c>
      <c r="AP70" s="5">
        <f>VLOOKUP(R70,'[1]Coefficient Normal'!$A$3:$H$7,8,TRUE)</f>
        <v>-0.34139999999999998</v>
      </c>
      <c r="AR70" s="5">
        <f t="shared" si="69"/>
        <v>-0.61445654144066819</v>
      </c>
      <c r="AV70" s="5">
        <f>VLOOKUP(R70,'[1]Coefficient Normal'!$A$10:$P$14,2,TRUE)</f>
        <v>-1.1082000000000001</v>
      </c>
      <c r="AW70" s="5">
        <f>VLOOKUP(R70,'[1]Coefficient Normal'!$A$10:$P$14,3,TRUE)</f>
        <v>0.10630000000000001</v>
      </c>
      <c r="AX70" s="5">
        <f>VLOOKUP(R70,'[1]Coefficient Normal'!$A$10:$P$14,4,TRUE)</f>
        <v>-0.1439</v>
      </c>
      <c r="AY70" s="5">
        <f>VLOOKUP(R70,'[1]Coefficient Normal'!$A$10:$P$14,5,TRUE)</f>
        <v>0.27879999999999999</v>
      </c>
      <c r="AZ70" s="5">
        <f>VLOOKUP(R70,'[1]Coefficient Normal'!$A$10:$P$14,6,TRUE)</f>
        <v>-0.31030000000000002</v>
      </c>
      <c r="BA70" s="5">
        <f>VLOOKUP(R70,'[1]Coefficient Normal'!$A$10:$P$14,7,TRUE)</f>
        <v>1.2553000000000001</v>
      </c>
      <c r="BB70" s="5">
        <f>VLOOKUP(R70,'[1]Coefficient Normal'!$A$10:$P$14,8,TRUE)</f>
        <v>2.9999999999999997E-4</v>
      </c>
      <c r="BC70" s="5">
        <f>VLOOKUP(R70,'[1]Coefficient Normal'!$A$10:$P$14,9,TRUE)</f>
        <v>5.1999999999999998E-3</v>
      </c>
      <c r="BD70" s="5">
        <f>VLOOKUP(R70,'[1]Coefficient Normal'!$A$10:$P$14,10,TRUE)</f>
        <v>-8.5900000000000004E-2</v>
      </c>
      <c r="BE70" s="5">
        <f>VLOOKUP(R70,'[1]Coefficient Normal'!$A$10:$P$14,11,TRUE)</f>
        <v>5.9999999999999995E-4</v>
      </c>
      <c r="BF70" s="5">
        <f>VLOOKUP(R70,'[1]Coefficient Normal'!$A$10:$P$14,12,TRUE)</f>
        <v>-0.21759999999999999</v>
      </c>
      <c r="BG70" s="5">
        <f>VLOOKUP(R70,'[1]Coefficient Normal'!$A$10:$P$14,13,TRUE)</f>
        <v>-2.69E-2</v>
      </c>
      <c r="BH70" s="5">
        <f>VLOOKUP(R70,'[1]Coefficient Normal'!$A$10:$P$14,14,TRUE)</f>
        <v>0.57389999999999997</v>
      </c>
      <c r="BI70" s="5">
        <f>VLOOKUP(R70,'[1]Coefficient Normal'!$A$10:$P$14,15,TRUE)</f>
        <v>0.34460000000000002</v>
      </c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W70" s="6">
        <f t="shared" si="70"/>
        <v>0</v>
      </c>
      <c r="BX70" s="6">
        <f t="shared" si="71"/>
        <v>1</v>
      </c>
      <c r="BY70" s="6">
        <f t="shared" si="72"/>
        <v>1</v>
      </c>
      <c r="BZ70" s="5">
        <f t="shared" si="73"/>
        <v>0.98996395014613658</v>
      </c>
      <c r="CB70">
        <f t="shared" si="53"/>
        <v>-0.79852969645977512</v>
      </c>
      <c r="CG70" s="5">
        <f t="shared" si="74"/>
        <v>-0.18407315501910693</v>
      </c>
      <c r="CH70" s="5">
        <f t="shared" si="75"/>
        <v>-0.18222578765857725</v>
      </c>
      <c r="CI70" s="5">
        <f t="shared" si="76"/>
        <v>0.48302937829557824</v>
      </c>
      <c r="CJ70" s="5">
        <f t="shared" si="77"/>
        <v>0</v>
      </c>
      <c r="CK70" s="5">
        <f t="shared" si="78"/>
        <v>1.7719278838724926</v>
      </c>
      <c r="CL70" s="5">
        <f t="shared" si="79"/>
        <v>3.4075552922036199E-2</v>
      </c>
      <c r="CM70" s="5">
        <f t="shared" si="80"/>
        <v>0.99860702743152963</v>
      </c>
      <c r="CN70" s="7">
        <f t="shared" si="96"/>
        <v>2.7144979724542799</v>
      </c>
      <c r="CO70" s="14">
        <f t="shared" si="97"/>
        <v>1.0000000000000001E-5</v>
      </c>
      <c r="CP70" s="14">
        <f t="shared" si="98"/>
        <v>2.7144979724542799</v>
      </c>
      <c r="CQ70">
        <f>VLOOKUP(R70,'[1]Coefficient Normal'!$A$10:$P$14,16,TRUE)</f>
        <v>0.3997</v>
      </c>
      <c r="CR70">
        <f t="shared" si="99"/>
        <v>0.01</v>
      </c>
      <c r="CS70">
        <f t="shared" si="100"/>
        <v>0.3997</v>
      </c>
      <c r="CT70">
        <v>0.3</v>
      </c>
      <c r="CU70">
        <v>0.3</v>
      </c>
      <c r="CV70">
        <v>0.3</v>
      </c>
    </row>
    <row r="71" spans="1:100" x14ac:dyDescent="0.25">
      <c r="A71">
        <v>70</v>
      </c>
      <c r="B71">
        <v>9</v>
      </c>
      <c r="C71" t="str">
        <f t="shared" si="81"/>
        <v>Normal</v>
      </c>
      <c r="D71">
        <v>0.5</v>
      </c>
      <c r="E71">
        <f t="shared" si="82"/>
        <v>500</v>
      </c>
      <c r="F71">
        <v>9.5250000000000005E-3</v>
      </c>
      <c r="G71">
        <f t="shared" si="82"/>
        <v>9.5250000000000004</v>
      </c>
      <c r="H71" s="3">
        <f t="shared" si="83"/>
        <v>52.493438320209975</v>
      </c>
      <c r="I71" s="1">
        <v>50</v>
      </c>
      <c r="J71" s="4" t="s">
        <v>70</v>
      </c>
      <c r="K71" s="1">
        <f t="shared" si="84"/>
        <v>8</v>
      </c>
      <c r="L71" s="1">
        <f t="shared" si="85"/>
        <v>10</v>
      </c>
      <c r="M71" s="1">
        <f t="shared" si="86"/>
        <v>359000</v>
      </c>
      <c r="N71" s="1">
        <f t="shared" si="87"/>
        <v>455000</v>
      </c>
      <c r="O71" s="1">
        <f t="shared" si="88"/>
        <v>1.9969902892117808</v>
      </c>
      <c r="P71" s="3">
        <f>100*IF(J71='[1]Estimation Model Normal-Slip'!$J$8,'[1]Estimation Model Normal-Slip'!$O$8,IF(J71='[1]Estimation Model Normal-Slip'!$J$9,'[1]Estimation Model Normal-Slip'!$O$9,IF(J71='[1]Estimation Model Normal-Slip'!$J$10,'[1]Estimation Model Normal-Slip'!$O$10,IF(J71='[1]Estimation Model Normal-Slip'!$J$11,'[1]Estimation Model Normal-Slip'!$O$11,IF(J71='[1]Estimation Model Normal-Slip'!$J$12,'[1]Estimation Model Normal-Slip'!$O$12,IF(J71='[1]Estimation Model Normal-Slip'!$J$13,'[1]Estimation Model Normal-Slip'!$O$13,2))))))</f>
        <v>1.9041242414694344</v>
      </c>
      <c r="Q71" s="1">
        <f t="shared" si="89"/>
        <v>0.69164119173371341</v>
      </c>
      <c r="R71" s="1">
        <v>60</v>
      </c>
      <c r="S71" s="1" t="s">
        <v>71</v>
      </c>
      <c r="T71" t="s">
        <v>72</v>
      </c>
      <c r="U71">
        <f t="shared" si="90"/>
        <v>17.5</v>
      </c>
      <c r="V71" s="1">
        <f t="shared" si="91"/>
        <v>0</v>
      </c>
      <c r="W71">
        <f t="shared" si="92"/>
        <v>37.5</v>
      </c>
      <c r="X71">
        <f t="shared" si="93"/>
        <v>1.1000000000000001</v>
      </c>
      <c r="Y71">
        <v>0.9</v>
      </c>
      <c r="Z71" s="1">
        <v>2.5</v>
      </c>
      <c r="AA71" s="1">
        <f t="shared" si="65"/>
        <v>5</v>
      </c>
      <c r="AB71">
        <f t="shared" si="94"/>
        <v>64.795348480289491</v>
      </c>
      <c r="AC71">
        <f>IF(T71="medium dense",'[1]Coefficient Normal'!$E$18 + ('[1]Coefficient Normal'!$E$19*AA71) + ('[1]Coefficient Normal'!$E$20*(AA71^2)) + ('[1]Coefficient Normal'!$E$21*(AA71^3)) + ('[1]Coefficient Normal'!$E$22*(AA71^4)),IF(T71="dense",'[1]Coefficient Normal'!$F$18 + ('[1]Coefficient Normal'!$F$19*AA71) + ('[1]Coefficient Normal'!$F$20*(AA71^2)) + ('[1]Coefficient Normal'!$F$21*(AA71^3)) + ('[1]Coefficient Normal'!$F$22*(AA71^4)),IF(T71="very dense",'[1]Coefficient Normal'!$G$18 + ('[1]Coefficient Normal'!$G$19*AA71) + ('[1]Coefficient Normal'!$G$20*(AA71^2)) + ('[1]Coefficient Normal'!$G$21*(AA71^3)) + ('[1]Coefficient Normal'!$G$22*(AA71^4)),0)))</f>
        <v>0</v>
      </c>
      <c r="AD71">
        <f t="shared" si="66"/>
        <v>0</v>
      </c>
      <c r="AE71">
        <f t="shared" si="67"/>
        <v>96.375</v>
      </c>
      <c r="AF71" s="8">
        <f t="shared" si="95"/>
        <v>4.5682468318834939</v>
      </c>
      <c r="AG71" s="8">
        <f t="shared" si="68"/>
        <v>3.9606881774094269</v>
      </c>
      <c r="AH71" s="8">
        <f t="shared" si="44"/>
        <v>4.1712338180701449</v>
      </c>
      <c r="AI71" s="11">
        <v>0.59998680000000004</v>
      </c>
      <c r="AJ71" s="5">
        <f>VLOOKUP(R71,'[1]Coefficient Normal'!$A$3:$H$7,2,TRUE)</f>
        <v>4.3182999999999998</v>
      </c>
      <c r="AK71" s="5">
        <f>VLOOKUP(R71,'[1]Coefficient Normal'!$A$3:$H$7,3,TRUE)</f>
        <v>-2.7900000000000001E-2</v>
      </c>
      <c r="AL71" s="5">
        <f>VLOOKUP(R71,'[1]Coefficient Normal'!$A$3:$H$7,4,TRUE)</f>
        <v>1.0497000000000001</v>
      </c>
      <c r="AM71" s="5">
        <f>VLOOKUP(R71,'[1]Coefficient Normal'!$A$3:$H$7,5,TRUE)</f>
        <v>-0.46910000000000002</v>
      </c>
      <c r="AN71" s="5">
        <f>VLOOKUP(R71,'[1]Coefficient Normal'!$A$3:$H$7,6,TRUE)</f>
        <v>0.29149999999999998</v>
      </c>
      <c r="AO71" s="5">
        <f>VLOOKUP(R71,'[1]Coefficient Normal'!$A$3:$H$7,7,TRUE)</f>
        <v>-0.28610000000000002</v>
      </c>
      <c r="AP71" s="5">
        <f>VLOOKUP(R71,'[1]Coefficient Normal'!$A$3:$H$7,8,TRUE)</f>
        <v>-0.1348</v>
      </c>
      <c r="AR71" s="9">
        <f t="shared" si="69"/>
        <v>-4.4045191195327571E-2</v>
      </c>
      <c r="AV71" s="5">
        <f>VLOOKUP(R71,'[1]Coefficient Normal'!$A$10:$P$14,2,TRUE)</f>
        <v>-2.1276999999999999</v>
      </c>
      <c r="AW71" s="5">
        <f>VLOOKUP(R71,'[1]Coefficient Normal'!$A$10:$P$14,3,TRUE)</f>
        <v>0.14760000000000001</v>
      </c>
      <c r="AX71" s="5">
        <f>VLOOKUP(R71,'[1]Coefficient Normal'!$A$10:$P$14,4,TRUE)</f>
        <v>-0.21829999999999999</v>
      </c>
      <c r="AY71" s="5">
        <f>VLOOKUP(R71,'[1]Coefficient Normal'!$A$10:$P$14,5,TRUE)</f>
        <v>0.42270000000000002</v>
      </c>
      <c r="AZ71" s="5">
        <f>VLOOKUP(R71,'[1]Coefficient Normal'!$A$10:$P$14,6,TRUE)</f>
        <v>-0.53720000000000001</v>
      </c>
      <c r="BA71" s="5">
        <f>VLOOKUP(R71,'[1]Coefficient Normal'!$A$10:$P$14,7,TRUE)</f>
        <v>1.252</v>
      </c>
      <c r="BB71" s="5">
        <f>VLOOKUP(R71,'[1]Coefficient Normal'!$A$10:$P$14,8,TRUE)</f>
        <v>-5.9999999999999995E-4</v>
      </c>
      <c r="BC71" s="5">
        <f>VLOOKUP(R71,'[1]Coefficient Normal'!$A$10:$P$14,9,TRUE)</f>
        <v>5.3E-3</v>
      </c>
      <c r="BD71" s="5">
        <f>VLOOKUP(R71,'[1]Coefficient Normal'!$A$10:$P$14,10,TRUE)</f>
        <v>-4.8500000000000001E-2</v>
      </c>
      <c r="BE71" s="5">
        <f>VLOOKUP(R71,'[1]Coefficient Normal'!$A$10:$P$14,11,TRUE)</f>
        <v>1.2999999999999999E-3</v>
      </c>
      <c r="BF71" s="5">
        <f>VLOOKUP(R71,'[1]Coefficient Normal'!$A$10:$P$14,12,TRUE)</f>
        <v>-0.56599999999999995</v>
      </c>
      <c r="BG71" s="5">
        <f>VLOOKUP(R71,'[1]Coefficient Normal'!$A$10:$P$14,13,TRUE)</f>
        <v>-3.2099999999999997E-2</v>
      </c>
      <c r="BH71" s="5">
        <f>VLOOKUP(R71,'[1]Coefficient Normal'!$A$10:$P$14,14,TRUE)</f>
        <v>0.84970000000000001</v>
      </c>
      <c r="BI71" s="5">
        <f>VLOOKUP(R71,'[1]Coefficient Normal'!$A$10:$P$14,15,TRUE)</f>
        <v>9.01E-2</v>
      </c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W71" s="6">
        <f t="shared" si="70"/>
        <v>0</v>
      </c>
      <c r="BX71" s="10">
        <f t="shared" si="71"/>
        <v>1</v>
      </c>
      <c r="BY71" s="10">
        <f t="shared" si="72"/>
        <v>1</v>
      </c>
      <c r="BZ71" s="9">
        <f t="shared" si="73"/>
        <v>1.0163642607280992</v>
      </c>
      <c r="CB71" s="8">
        <f t="shared" si="53"/>
        <v>-0.51084762400799422</v>
      </c>
      <c r="CG71" s="9">
        <f t="shared" si="74"/>
        <v>-0.46680243281266665</v>
      </c>
      <c r="CH71" s="9">
        <f t="shared" si="75"/>
        <v>-0.47444130953172409</v>
      </c>
      <c r="CI71" s="9">
        <f t="shared" si="76"/>
        <v>0.58459757498563147</v>
      </c>
      <c r="CJ71" s="9">
        <f t="shared" si="77"/>
        <v>0</v>
      </c>
      <c r="CK71" s="9">
        <f t="shared" si="78"/>
        <v>1.930997935837153</v>
      </c>
      <c r="CL71" s="9">
        <f t="shared" si="79"/>
        <v>0.37235866539680262</v>
      </c>
      <c r="CM71" s="9">
        <f t="shared" si="80"/>
        <v>0.28581286668786332</v>
      </c>
      <c r="CN71" s="12">
        <f t="shared" si="96"/>
        <v>1.3308433868176077</v>
      </c>
      <c r="CO71" s="15">
        <f t="shared" si="97"/>
        <v>1.0000000000000001E-5</v>
      </c>
      <c r="CP71" s="15">
        <f t="shared" si="98"/>
        <v>1.3308433868176077</v>
      </c>
      <c r="CQ71">
        <f>VLOOKUP(R71,'[1]Coefficient Normal'!$A$10:$P$14,16,TRUE)</f>
        <v>0.50170000000000003</v>
      </c>
      <c r="CR71">
        <f t="shared" si="99"/>
        <v>0.01</v>
      </c>
      <c r="CS71">
        <f t="shared" si="100"/>
        <v>0.50170000000000003</v>
      </c>
      <c r="CT71">
        <v>0.3</v>
      </c>
      <c r="CU71">
        <v>0.3</v>
      </c>
      <c r="CV71">
        <v>0.3</v>
      </c>
    </row>
    <row r="72" spans="1:100" x14ac:dyDescent="0.25">
      <c r="A72">
        <v>71</v>
      </c>
      <c r="B72">
        <v>10</v>
      </c>
      <c r="C72" t="str">
        <f t="shared" si="81"/>
        <v>Normal</v>
      </c>
      <c r="D72">
        <v>1.0668</v>
      </c>
      <c r="E72">
        <f t="shared" si="82"/>
        <v>1066.8</v>
      </c>
      <c r="F72" s="8">
        <v>9.5250000000000005E-3</v>
      </c>
      <c r="G72">
        <f t="shared" si="82"/>
        <v>9.5250000000000004</v>
      </c>
      <c r="H72" s="3">
        <f t="shared" si="83"/>
        <v>111.99999999999999</v>
      </c>
      <c r="I72" s="1">
        <v>100</v>
      </c>
      <c r="J72" s="4" t="s">
        <v>75</v>
      </c>
      <c r="K72" s="1">
        <f t="shared" si="84"/>
        <v>14</v>
      </c>
      <c r="L72" s="1">
        <f t="shared" si="85"/>
        <v>15</v>
      </c>
      <c r="M72" s="1">
        <f t="shared" si="86"/>
        <v>483000</v>
      </c>
      <c r="N72" s="1">
        <f t="shared" si="87"/>
        <v>565000</v>
      </c>
      <c r="O72" s="1">
        <f t="shared" si="88"/>
        <v>2.8799444073326219</v>
      </c>
      <c r="P72" s="3">
        <f>100*IF(J72='[1]Estimation Model Normal-Slip'!$J$8,'[1]Estimation Model Normal-Slip'!$O$8,IF(J72='[1]Estimation Model Normal-Slip'!$J$9,'[1]Estimation Model Normal-Slip'!$O$9,IF(J72='[1]Estimation Model Normal-Slip'!$J$10,'[1]Estimation Model Normal-Slip'!$O$10,IF(J72='[1]Estimation Model Normal-Slip'!$J$11,'[1]Estimation Model Normal-Slip'!$O$11,IF(J72='[1]Estimation Model Normal-Slip'!$J$12,'[1]Estimation Model Normal-Slip'!$O$12,IF(J72='[1]Estimation Model Normal-Slip'!$J$13,'[1]Estimation Model Normal-Slip'!$O$13,2))))))</f>
        <v>2.7690517990613435</v>
      </c>
      <c r="Q72" s="1">
        <f t="shared" si="89"/>
        <v>1.0577709909520427</v>
      </c>
      <c r="R72" s="1">
        <v>75</v>
      </c>
      <c r="S72" s="1" t="s">
        <v>78</v>
      </c>
      <c r="T72" t="s">
        <v>79</v>
      </c>
      <c r="U72">
        <f t="shared" si="90"/>
        <v>18</v>
      </c>
      <c r="V72" s="1">
        <f t="shared" si="91"/>
        <v>37</v>
      </c>
      <c r="W72">
        <f t="shared" si="92"/>
        <v>0</v>
      </c>
      <c r="X72">
        <f t="shared" si="93"/>
        <v>0</v>
      </c>
      <c r="Y72">
        <v>0.9</v>
      </c>
      <c r="Z72" s="1">
        <v>1</v>
      </c>
      <c r="AA72" s="1">
        <f t="shared" si="65"/>
        <v>1.8</v>
      </c>
      <c r="AB72">
        <f t="shared" si="94"/>
        <v>39.626853336736396</v>
      </c>
      <c r="AC72">
        <f>IF(T72="medium dense",'[1]Coefficient Normal'!$E$18 + ('[1]Coefficient Normal'!$E$19*AA72) + ('[1]Coefficient Normal'!$E$20*(AA72^2)) + ('[1]Coefficient Normal'!$E$21*(AA72^3)) + ('[1]Coefficient Normal'!$E$22*(AA72^4)),IF(T72="dense",'[1]Coefficient Normal'!$F$18 + ('[1]Coefficient Normal'!$F$19*AA72) + ('[1]Coefficient Normal'!$F$20*(AA72^2)) + ('[1]Coefficient Normal'!$F$21*(AA72^3)) + ('[1]Coefficient Normal'!$F$22*(AA72^4)),IF(T72="very dense",'[1]Coefficient Normal'!$G$18 + ('[1]Coefficient Normal'!$G$19*AA72) + ('[1]Coefficient Normal'!$G$20*(AA72^2)) + ('[1]Coefficient Normal'!$G$21*(AA72^3)) + ('[1]Coefficient Normal'!$G$22*(AA72^4)),0)))</f>
        <v>12.698394373823998</v>
      </c>
      <c r="AD72">
        <f t="shared" si="66"/>
        <v>64.071522599936642</v>
      </c>
      <c r="AE72">
        <f t="shared" si="67"/>
        <v>900.09607289656856</v>
      </c>
      <c r="AF72" s="8">
        <f t="shared" si="95"/>
        <v>6.8025015052900386</v>
      </c>
      <c r="AG72" s="8">
        <f t="shared" si="68"/>
        <v>4.7184988712950942</v>
      </c>
      <c r="AH72" s="8">
        <f t="shared" si="44"/>
        <v>3.6795070030086925</v>
      </c>
      <c r="AI72" s="11">
        <v>0.74998350000000003</v>
      </c>
      <c r="AJ72" s="5">
        <f>VLOOKUP(R72,'[1]Coefficient Normal'!$A$3:$H$7,2,TRUE)</f>
        <v>5.5951000000000004</v>
      </c>
      <c r="AK72" s="5">
        <f>VLOOKUP(R72,'[1]Coefficient Normal'!$A$3:$H$7,3,TRUE)</f>
        <v>1.6E-2</v>
      </c>
      <c r="AL72" s="5">
        <f>VLOOKUP(R72,'[1]Coefficient Normal'!$A$3:$H$7,4,TRUE)</f>
        <v>1.2641</v>
      </c>
      <c r="AM72" s="5">
        <f>VLOOKUP(R72,'[1]Coefficient Normal'!$A$3:$H$7,5,TRUE)</f>
        <v>-0.52429999999999999</v>
      </c>
      <c r="AN72" s="5">
        <f>VLOOKUP(R72,'[1]Coefficient Normal'!$A$3:$H$7,6,TRUE)</f>
        <v>0.35830000000000001</v>
      </c>
      <c r="AO72" s="5">
        <f>VLOOKUP(R72,'[1]Coefficient Normal'!$A$3:$H$7,7,TRUE)</f>
        <v>-0.35920000000000002</v>
      </c>
      <c r="AP72" s="5">
        <f>VLOOKUP(R72,'[1]Coefficient Normal'!$A$3:$H$7,8,TRUE)</f>
        <v>-0.2482</v>
      </c>
      <c r="AR72" s="9">
        <f t="shared" si="69"/>
        <v>0.29890207916201494</v>
      </c>
      <c r="AV72" s="5">
        <f>VLOOKUP(R72,'[1]Coefficient Normal'!$A$10:$P$14,2,TRUE)</f>
        <v>-2.3450000000000002</v>
      </c>
      <c r="AW72" s="5">
        <f>VLOOKUP(R72,'[1]Coefficient Normal'!$A$10:$P$14,3,TRUE)</f>
        <v>0.19470000000000001</v>
      </c>
      <c r="AX72" s="5">
        <f>VLOOKUP(R72,'[1]Coefficient Normal'!$A$10:$P$14,4,TRUE)</f>
        <v>-0.2044</v>
      </c>
      <c r="AY72" s="5">
        <f>VLOOKUP(R72,'[1]Coefficient Normal'!$A$10:$P$14,5,TRUE)</f>
        <v>0.4143</v>
      </c>
      <c r="AZ72" s="5">
        <f>VLOOKUP(R72,'[1]Coefficient Normal'!$A$10:$P$14,6,TRUE)</f>
        <v>-0.55710000000000004</v>
      </c>
      <c r="BA72" s="5">
        <f>VLOOKUP(R72,'[1]Coefficient Normal'!$A$10:$P$14,7,TRUE)</f>
        <v>1.0931</v>
      </c>
      <c r="BB72" s="5">
        <f>VLOOKUP(R72,'[1]Coefficient Normal'!$A$10:$P$14,8,TRUE)</f>
        <v>1E-4</v>
      </c>
      <c r="BC72" s="5">
        <f>VLOOKUP(R72,'[1]Coefficient Normal'!$A$10:$P$14,9,TRUE)</f>
        <v>3.5000000000000001E-3</v>
      </c>
      <c r="BD72" s="5">
        <f>VLOOKUP(R72,'[1]Coefficient Normal'!$A$10:$P$14,10,TRUE)</f>
        <v>-4.07E-2</v>
      </c>
      <c r="BE72" s="5">
        <f>VLOOKUP(R72,'[1]Coefficient Normal'!$A$10:$P$14,11,TRUE)</f>
        <v>1.6000000000000001E-3</v>
      </c>
      <c r="BF72" s="5">
        <f>VLOOKUP(R72,'[1]Coefficient Normal'!$A$10:$P$14,12,TRUE)</f>
        <v>-0.65949999999999998</v>
      </c>
      <c r="BG72" s="5">
        <f>VLOOKUP(R72,'[1]Coefficient Normal'!$A$10:$P$14,13,TRUE)</f>
        <v>-3.0099999999999998E-2</v>
      </c>
      <c r="BH72" s="5">
        <f>VLOOKUP(R72,'[1]Coefficient Normal'!$A$10:$P$14,14,TRUE)</f>
        <v>0.84219999999999995</v>
      </c>
      <c r="BI72" s="5">
        <f>VLOOKUP(R72,'[1]Coefficient Normal'!$A$10:$P$14,15,TRUE)</f>
        <v>0.50680000000000003</v>
      </c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W72" s="6">
        <f t="shared" si="70"/>
        <v>1</v>
      </c>
      <c r="BX72" s="10">
        <f t="shared" si="71"/>
        <v>1</v>
      </c>
      <c r="BY72" s="10">
        <f t="shared" si="72"/>
        <v>0</v>
      </c>
      <c r="BZ72" s="9">
        <f t="shared" si="73"/>
        <v>1.2355626853336736</v>
      </c>
      <c r="CB72" s="8">
        <f t="shared" si="53"/>
        <v>-0.28770407269378445</v>
      </c>
      <c r="CG72" s="9">
        <f t="shared" si="74"/>
        <v>-0.58660615185579945</v>
      </c>
      <c r="CH72" s="9">
        <f t="shared" si="75"/>
        <v>-0.72478867222020427</v>
      </c>
      <c r="CI72" s="9">
        <f t="shared" si="76"/>
        <v>0.91869173024115491</v>
      </c>
      <c r="CJ72" s="9">
        <f t="shared" si="77"/>
        <v>-0.75209123141497669</v>
      </c>
      <c r="CK72" s="9">
        <f t="shared" si="78"/>
        <v>2.8182763736416629</v>
      </c>
      <c r="CL72" s="9">
        <f t="shared" si="79"/>
        <v>-3.6024043273759798E-2</v>
      </c>
      <c r="CM72" s="9">
        <f t="shared" si="80"/>
        <v>-0.12093584302612276</v>
      </c>
      <c r="CN72" s="12">
        <f t="shared" si="96"/>
        <v>0.8860908066740244</v>
      </c>
      <c r="CO72" s="15">
        <f t="shared" si="97"/>
        <v>1.0000000000000001E-5</v>
      </c>
      <c r="CP72" s="15">
        <f t="shared" si="98"/>
        <v>0.8860908066740244</v>
      </c>
      <c r="CQ72">
        <f>VLOOKUP(R72,'[1]Coefficient Normal'!$A$10:$P$14,16,TRUE)</f>
        <v>0.43780000000000002</v>
      </c>
      <c r="CR72">
        <f t="shared" si="99"/>
        <v>0.01</v>
      </c>
      <c r="CS72">
        <f t="shared" si="100"/>
        <v>0.43780000000000002</v>
      </c>
      <c r="CT72">
        <v>0.3</v>
      </c>
      <c r="CU72">
        <v>0.3</v>
      </c>
      <c r="CV72">
        <v>0.3</v>
      </c>
    </row>
    <row r="73" spans="1:100" x14ac:dyDescent="0.25">
      <c r="A73">
        <v>72</v>
      </c>
      <c r="B73">
        <v>0</v>
      </c>
      <c r="C73" t="str">
        <f t="shared" si="81"/>
        <v>Normal</v>
      </c>
      <c r="D73">
        <v>0.60960000000000003</v>
      </c>
      <c r="E73">
        <f t="shared" si="82"/>
        <v>609.6</v>
      </c>
      <c r="F73">
        <v>9.5250000000000005E-3</v>
      </c>
      <c r="G73">
        <f t="shared" si="82"/>
        <v>9.5250000000000004</v>
      </c>
      <c r="H73" s="3">
        <f t="shared" si="83"/>
        <v>64</v>
      </c>
      <c r="I73" s="1">
        <v>300</v>
      </c>
      <c r="J73" s="4" t="s">
        <v>77</v>
      </c>
      <c r="K73" s="1">
        <f t="shared" si="84"/>
        <v>15</v>
      </c>
      <c r="L73" s="1">
        <f t="shared" si="85"/>
        <v>20</v>
      </c>
      <c r="M73" s="1">
        <f t="shared" si="86"/>
        <v>552000</v>
      </c>
      <c r="N73" s="1">
        <f t="shared" si="87"/>
        <v>625000</v>
      </c>
      <c r="O73" s="1">
        <f t="shared" si="88"/>
        <v>2.9888368774026359</v>
      </c>
      <c r="P73" s="3">
        <f>100*IF(J73='[1]Estimation Model Normal-Slip'!$J$8,'[1]Estimation Model Normal-Slip'!$O$8,IF(J73='[1]Estimation Model Normal-Slip'!$J$9,'[1]Estimation Model Normal-Slip'!$O$9,IF(J73='[1]Estimation Model Normal-Slip'!$J$10,'[1]Estimation Model Normal-Slip'!$O$10,IF(J73='[1]Estimation Model Normal-Slip'!$J$11,'[1]Estimation Model Normal-Slip'!$O$11,IF(J73='[1]Estimation Model Normal-Slip'!$J$12,'[1]Estimation Model Normal-Slip'!$O$12,IF(J73='[1]Estimation Model Normal-Slip'!$J$13,'[1]Estimation Model Normal-Slip'!$O$13,2))))))</f>
        <v>2.8464933991254466</v>
      </c>
      <c r="Q73" s="1">
        <f t="shared" si="89"/>
        <v>1.0948843075076633</v>
      </c>
      <c r="R73" s="1">
        <v>90</v>
      </c>
      <c r="S73" s="1" t="s">
        <v>78</v>
      </c>
      <c r="T73" t="s">
        <v>80</v>
      </c>
      <c r="U73">
        <f t="shared" si="90"/>
        <v>18.5</v>
      </c>
      <c r="V73" s="1">
        <f t="shared" si="91"/>
        <v>40</v>
      </c>
      <c r="W73">
        <f t="shared" si="92"/>
        <v>0</v>
      </c>
      <c r="X73">
        <f t="shared" si="93"/>
        <v>0</v>
      </c>
      <c r="Y73">
        <v>0.9</v>
      </c>
      <c r="Z73" s="1">
        <v>1.2</v>
      </c>
      <c r="AA73" s="1">
        <f t="shared" si="65"/>
        <v>1.9685039370078738</v>
      </c>
      <c r="AB73">
        <f t="shared" si="94"/>
        <v>30.889355446920469</v>
      </c>
      <c r="AC73">
        <f>IF(T73="medium dense",'[1]Coefficient Normal'!$E$18 + ('[1]Coefficient Normal'!$E$19*AA73) + ('[1]Coefficient Normal'!$E$20*(AA73^2)) + ('[1]Coefficient Normal'!$E$21*(AA73^3)) + ('[1]Coefficient Normal'!$E$22*(AA73^4)),IF(T73="dense",'[1]Coefficient Normal'!$F$18 + ('[1]Coefficient Normal'!$F$19*AA73) + ('[1]Coefficient Normal'!$F$20*(AA73^2)) + ('[1]Coefficient Normal'!$F$21*(AA73^3)) + ('[1]Coefficient Normal'!$F$22*(AA73^4)),IF(T73="very dense",'[1]Coefficient Normal'!$G$18 + ('[1]Coefficient Normal'!$G$19*AA73) + ('[1]Coefficient Normal'!$G$20*(AA73^2)) + ('[1]Coefficient Normal'!$G$21*(AA73^3)) + ('[1]Coefficient Normal'!$G$22*(AA73^4)),0)))</f>
        <v>15.896480151009957</v>
      </c>
      <c r="AD73">
        <f t="shared" si="66"/>
        <v>80</v>
      </c>
      <c r="AE73">
        <f t="shared" si="67"/>
        <v>490.12197186123592</v>
      </c>
      <c r="AF73">
        <f t="shared" si="95"/>
        <v>6.1946542822944775</v>
      </c>
      <c r="AG73">
        <f t="shared" si="68"/>
        <v>4.1588830833596715</v>
      </c>
      <c r="AH73">
        <f t="shared" si="44"/>
        <v>3.4304116406370531</v>
      </c>
      <c r="AI73" s="1">
        <v>2.75</v>
      </c>
      <c r="AJ73" s="5">
        <f>VLOOKUP(R73,'[1]Coefficient Normal'!$A$3:$H$7,2,TRUE)</f>
        <v>14.575100000000001</v>
      </c>
      <c r="AK73" s="5">
        <f>VLOOKUP(R73,'[1]Coefficient Normal'!$A$3:$H$7,3,TRUE)</f>
        <v>0.1356</v>
      </c>
      <c r="AL73" s="5">
        <f>VLOOKUP(R73,'[1]Coefficient Normal'!$A$3:$H$7,4,TRUE)</f>
        <v>2.9990000000000001</v>
      </c>
      <c r="AM73" s="5">
        <f>VLOOKUP(R73,'[1]Coefficient Normal'!$A$3:$H$7,5,TRUE)</f>
        <v>-0.94710000000000005</v>
      </c>
      <c r="AN73" s="5">
        <f>VLOOKUP(R73,'[1]Coefficient Normal'!$A$3:$H$7,6,TRUE)</f>
        <v>0.6603</v>
      </c>
      <c r="AO73" s="5">
        <f>VLOOKUP(R73,'[1]Coefficient Normal'!$A$3:$H$7,7,TRUE)</f>
        <v>-1.2488999999999999</v>
      </c>
      <c r="AP73" s="5">
        <f>VLOOKUP(R73,'[1]Coefficient Normal'!$A$3:$H$7,8,TRUE)</f>
        <v>-0.44140000000000001</v>
      </c>
      <c r="AR73" s="5">
        <f t="shared" si="69"/>
        <v>1.3975575406714862</v>
      </c>
      <c r="AV73" s="5">
        <f>VLOOKUP(R73,'[1]Coefficient Normal'!$A$10:$P$14,2,TRUE)</f>
        <v>5.1353999999999997</v>
      </c>
      <c r="AW73" s="5">
        <f>VLOOKUP(R73,'[1]Coefficient Normal'!$A$10:$P$14,3,TRUE)</f>
        <v>-4.9599999999999998E-2</v>
      </c>
      <c r="AX73" s="5">
        <f>VLOOKUP(R73,'[1]Coefficient Normal'!$A$10:$P$14,4,TRUE)</f>
        <v>0.44590000000000002</v>
      </c>
      <c r="AY73" s="5">
        <f>VLOOKUP(R73,'[1]Coefficient Normal'!$A$10:$P$14,5,TRUE)</f>
        <v>-0.83709999999999996</v>
      </c>
      <c r="AZ73" s="5">
        <f>VLOOKUP(R73,'[1]Coefficient Normal'!$A$10:$P$14,6,TRUE)</f>
        <v>0.63090000000000002</v>
      </c>
      <c r="BA73" s="5">
        <f>VLOOKUP(R73,'[1]Coefficient Normal'!$A$10:$P$14,7,TRUE)</f>
        <v>0.91390000000000005</v>
      </c>
      <c r="BB73" s="5">
        <f>VLOOKUP(R73,'[1]Coefficient Normal'!$A$10:$P$14,8,TRUE)</f>
        <v>2.5000000000000001E-3</v>
      </c>
      <c r="BC73" s="5">
        <f>VLOOKUP(R73,'[1]Coefficient Normal'!$A$10:$P$14,9,TRUE)</f>
        <v>1.6000000000000001E-3</v>
      </c>
      <c r="BD73" s="5">
        <f>VLOOKUP(R73,'[1]Coefficient Normal'!$A$10:$P$14,10,TRUE)</f>
        <v>-9.7500000000000003E-2</v>
      </c>
      <c r="BE73" s="5">
        <f>VLOOKUP(R73,'[1]Coefficient Normal'!$A$10:$P$14,11,TRUE)</f>
        <v>1.1999999999999999E-3</v>
      </c>
      <c r="BF73" s="5">
        <f>VLOOKUP(R73,'[1]Coefficient Normal'!$A$10:$P$14,12,TRUE)</f>
        <v>0.46479999999999999</v>
      </c>
      <c r="BG73" s="5">
        <f>VLOOKUP(R73,'[1]Coefficient Normal'!$A$10:$P$14,13,TRUE)</f>
        <v>8.0000000000000004E-4</v>
      </c>
      <c r="BH73" s="5">
        <f>VLOOKUP(R73,'[1]Coefficient Normal'!$A$10:$P$14,14,TRUE)</f>
        <v>6.7900000000000002E-2</v>
      </c>
      <c r="BI73" s="5">
        <f>VLOOKUP(R73,'[1]Coefficient Normal'!$A$10:$P$14,15,TRUE)</f>
        <v>0.58979999999999999</v>
      </c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W73" s="6">
        <f t="shared" si="70"/>
        <v>1</v>
      </c>
      <c r="BX73" s="6">
        <f t="shared" si="71"/>
        <v>1</v>
      </c>
      <c r="BY73" s="6">
        <f t="shared" si="72"/>
        <v>0</v>
      </c>
      <c r="BZ73" s="5">
        <f t="shared" si="73"/>
        <v>0.97042338861730115</v>
      </c>
      <c r="CB73">
        <f t="shared" si="53"/>
        <v>1.0116009116784799</v>
      </c>
      <c r="CG73" s="5">
        <f t="shared" si="74"/>
        <v>-0.38595662899300631</v>
      </c>
      <c r="CH73" s="5">
        <f t="shared" si="75"/>
        <v>-0.37454133976670367</v>
      </c>
      <c r="CI73" s="5">
        <f t="shared" si="76"/>
        <v>-0.20628060093463971</v>
      </c>
      <c r="CJ73" s="5">
        <f t="shared" si="77"/>
        <v>1.529620550560062</v>
      </c>
      <c r="CK73" s="5">
        <f t="shared" si="78"/>
        <v>-5.1855450997087065</v>
      </c>
      <c r="CL73" s="5">
        <f t="shared" si="79"/>
        <v>-0.31226539005126003</v>
      </c>
      <c r="CM73" s="5">
        <f t="shared" si="80"/>
        <v>0.58638812009875241</v>
      </c>
      <c r="CN73" s="7">
        <f t="shared" si="96"/>
        <v>1.7974843788684016</v>
      </c>
      <c r="CO73" s="14">
        <f t="shared" si="97"/>
        <v>1.0000000000000001E-5</v>
      </c>
      <c r="CP73" s="14">
        <f t="shared" si="98"/>
        <v>1.7974843788684016</v>
      </c>
      <c r="CQ73">
        <f>VLOOKUP(R73,'[1]Coefficient Normal'!$A$10:$P$14,16,TRUE)</f>
        <v>0.34749999999999998</v>
      </c>
      <c r="CR73">
        <f t="shared" si="99"/>
        <v>0.01</v>
      </c>
      <c r="CS73">
        <f t="shared" si="100"/>
        <v>0.34749999999999998</v>
      </c>
      <c r="CT73">
        <v>0.3</v>
      </c>
      <c r="CU73">
        <v>0.3</v>
      </c>
      <c r="CV73">
        <v>0.3</v>
      </c>
    </row>
    <row r="74" spans="1:100" x14ac:dyDescent="0.25">
      <c r="A74">
        <v>73</v>
      </c>
      <c r="B74">
        <v>1</v>
      </c>
      <c r="C74" t="str">
        <f t="shared" si="81"/>
        <v>Normal</v>
      </c>
      <c r="D74">
        <v>0.40960000000000002</v>
      </c>
      <c r="E74">
        <f t="shared" si="82"/>
        <v>409.6</v>
      </c>
      <c r="F74">
        <v>9.5250000000000005E-3</v>
      </c>
      <c r="G74">
        <f t="shared" si="82"/>
        <v>9.5250000000000004</v>
      </c>
      <c r="H74" s="3">
        <f t="shared" si="83"/>
        <v>43.00262467191601</v>
      </c>
      <c r="I74" s="1">
        <v>30</v>
      </c>
      <c r="J74" s="4" t="s">
        <v>70</v>
      </c>
      <c r="K74" s="1">
        <f t="shared" si="84"/>
        <v>8</v>
      </c>
      <c r="L74" s="1">
        <f t="shared" si="85"/>
        <v>10</v>
      </c>
      <c r="M74" s="1">
        <f t="shared" si="86"/>
        <v>359000</v>
      </c>
      <c r="N74" s="1">
        <f t="shared" si="87"/>
        <v>455000</v>
      </c>
      <c r="O74" s="1">
        <f t="shared" si="88"/>
        <v>1.9969902892117808</v>
      </c>
      <c r="P74" s="3">
        <f>100*IF(J74='[1]Estimation Model Normal-Slip'!$J$8,'[1]Estimation Model Normal-Slip'!$O$8,IF(J74='[1]Estimation Model Normal-Slip'!$J$9,'[1]Estimation Model Normal-Slip'!$O$9,IF(J74='[1]Estimation Model Normal-Slip'!$J$10,'[1]Estimation Model Normal-Slip'!$O$10,IF(J74='[1]Estimation Model Normal-Slip'!$J$11,'[1]Estimation Model Normal-Slip'!$O$11,IF(J74='[1]Estimation Model Normal-Slip'!$J$12,'[1]Estimation Model Normal-Slip'!$O$12,IF(J74='[1]Estimation Model Normal-Slip'!$J$13,'[1]Estimation Model Normal-Slip'!$O$13,2))))))</f>
        <v>1.9041242414694344</v>
      </c>
      <c r="Q74" s="1">
        <f t="shared" si="89"/>
        <v>0.69164119173371341</v>
      </c>
      <c r="R74" s="1">
        <v>45</v>
      </c>
      <c r="S74" s="1" t="s">
        <v>78</v>
      </c>
      <c r="T74" t="s">
        <v>81</v>
      </c>
      <c r="U74">
        <f t="shared" si="90"/>
        <v>19</v>
      </c>
      <c r="V74" s="1">
        <f t="shared" si="91"/>
        <v>43</v>
      </c>
      <c r="W74">
        <f t="shared" si="92"/>
        <v>0</v>
      </c>
      <c r="X74">
        <f t="shared" si="93"/>
        <v>0</v>
      </c>
      <c r="Y74">
        <v>0.9</v>
      </c>
      <c r="Z74" s="1">
        <v>0.78739999999999999</v>
      </c>
      <c r="AA74" s="1">
        <f t="shared" si="65"/>
        <v>1.9223632812499998</v>
      </c>
      <c r="AB74">
        <f t="shared" si="94"/>
        <v>15.423155931843731</v>
      </c>
      <c r="AC74">
        <f>IF(T74="medium dense",'[1]Coefficient Normal'!$E$18 + ('[1]Coefficient Normal'!$E$19*AA74) + ('[1]Coefficient Normal'!$E$20*(AA74^2)) + ('[1]Coefficient Normal'!$E$21*(AA74^3)) + ('[1]Coefficient Normal'!$E$22*(AA74^4)),IF(T74="dense",'[1]Coefficient Normal'!$F$18 + ('[1]Coefficient Normal'!$F$19*AA74) + ('[1]Coefficient Normal'!$F$20*(AA74^2)) + ('[1]Coefficient Normal'!$F$21*(AA74^3)) + ('[1]Coefficient Normal'!$F$22*(AA74^4)),IF(T74="very dense",'[1]Coefficient Normal'!$G$18 + ('[1]Coefficient Normal'!$G$19*AA74) + ('[1]Coefficient Normal'!$G$20*(AA74^2)) + ('[1]Coefficient Normal'!$G$21*(AA74^3)) + ('[1]Coefficient Normal'!$G$22*(AA74^4)),0)))</f>
        <v>18.720510313797256</v>
      </c>
      <c r="AD74">
        <f t="shared" si="66"/>
        <v>80</v>
      </c>
      <c r="AE74">
        <f t="shared" si="67"/>
        <v>242.22354087960383</v>
      </c>
      <c r="AF74">
        <f t="shared" si="95"/>
        <v>5.4898610224304614</v>
      </c>
      <c r="AG74">
        <f t="shared" si="68"/>
        <v>3.7612611527125335</v>
      </c>
      <c r="AH74">
        <f t="shared" si="44"/>
        <v>2.7358700120349009</v>
      </c>
      <c r="AI74" s="1">
        <v>3</v>
      </c>
      <c r="AJ74" s="5">
        <f>VLOOKUP(R74,'[1]Coefficient Normal'!$A$3:$H$7,2,TRUE)</f>
        <v>3.7532999999999999</v>
      </c>
      <c r="AK74" s="5">
        <f>VLOOKUP(R74,'[1]Coefficient Normal'!$A$3:$H$7,3,TRUE)</f>
        <v>0.14510000000000001</v>
      </c>
      <c r="AL74" s="5">
        <f>VLOOKUP(R74,'[1]Coefficient Normal'!$A$3:$H$7,4,TRUE)</f>
        <v>1.2497</v>
      </c>
      <c r="AM74" s="5">
        <f>VLOOKUP(R74,'[1]Coefficient Normal'!$A$3:$H$7,5,TRUE)</f>
        <v>-0.46100000000000002</v>
      </c>
      <c r="AN74" s="5">
        <f>VLOOKUP(R74,'[1]Coefficient Normal'!$A$3:$H$7,6,TRUE)</f>
        <v>0.39140000000000003</v>
      </c>
      <c r="AO74" s="5">
        <f>VLOOKUP(R74,'[1]Coefficient Normal'!$A$3:$H$7,7,TRUE)</f>
        <v>-0.21310000000000001</v>
      </c>
      <c r="AP74" s="5">
        <f>VLOOKUP(R74,'[1]Coefficient Normal'!$A$3:$H$7,8,TRUE)</f>
        <v>-0.34139999999999998</v>
      </c>
      <c r="AR74" s="5">
        <f t="shared" si="69"/>
        <v>-0.43578467917484187</v>
      </c>
      <c r="AV74" s="5">
        <f>VLOOKUP(R74,'[1]Coefficient Normal'!$A$10:$P$14,2,TRUE)</f>
        <v>-1.1082000000000001</v>
      </c>
      <c r="AW74" s="5">
        <f>VLOOKUP(R74,'[1]Coefficient Normal'!$A$10:$P$14,3,TRUE)</f>
        <v>0.10630000000000001</v>
      </c>
      <c r="AX74" s="5">
        <f>VLOOKUP(R74,'[1]Coefficient Normal'!$A$10:$P$14,4,TRUE)</f>
        <v>-0.1439</v>
      </c>
      <c r="AY74" s="5">
        <f>VLOOKUP(R74,'[1]Coefficient Normal'!$A$10:$P$14,5,TRUE)</f>
        <v>0.27879999999999999</v>
      </c>
      <c r="AZ74" s="5">
        <f>VLOOKUP(R74,'[1]Coefficient Normal'!$A$10:$P$14,6,TRUE)</f>
        <v>-0.31030000000000002</v>
      </c>
      <c r="BA74" s="5">
        <f>VLOOKUP(R74,'[1]Coefficient Normal'!$A$10:$P$14,7,TRUE)</f>
        <v>1.2553000000000001</v>
      </c>
      <c r="BB74" s="5">
        <f>VLOOKUP(R74,'[1]Coefficient Normal'!$A$10:$P$14,8,TRUE)</f>
        <v>2.9999999999999997E-4</v>
      </c>
      <c r="BC74" s="5">
        <f>VLOOKUP(R74,'[1]Coefficient Normal'!$A$10:$P$14,9,TRUE)</f>
        <v>5.1999999999999998E-3</v>
      </c>
      <c r="BD74" s="5">
        <f>VLOOKUP(R74,'[1]Coefficient Normal'!$A$10:$P$14,10,TRUE)</f>
        <v>-8.5900000000000004E-2</v>
      </c>
      <c r="BE74" s="5">
        <f>VLOOKUP(R74,'[1]Coefficient Normal'!$A$10:$P$14,11,TRUE)</f>
        <v>5.9999999999999995E-4</v>
      </c>
      <c r="BF74" s="5">
        <f>VLOOKUP(R74,'[1]Coefficient Normal'!$A$10:$P$14,12,TRUE)</f>
        <v>-0.21759999999999999</v>
      </c>
      <c r="BG74" s="5">
        <f>VLOOKUP(R74,'[1]Coefficient Normal'!$A$10:$P$14,13,TRUE)</f>
        <v>-2.69E-2</v>
      </c>
      <c r="BH74" s="5">
        <f>VLOOKUP(R74,'[1]Coefficient Normal'!$A$10:$P$14,14,TRUE)</f>
        <v>0.57389999999999997</v>
      </c>
      <c r="BI74" s="5">
        <f>VLOOKUP(R74,'[1]Coefficient Normal'!$A$10:$P$14,15,TRUE)</f>
        <v>0.34460000000000002</v>
      </c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W74" s="6">
        <f t="shared" si="70"/>
        <v>1</v>
      </c>
      <c r="BX74" s="6">
        <f t="shared" si="71"/>
        <v>0</v>
      </c>
      <c r="BY74" s="6">
        <f t="shared" si="72"/>
        <v>1</v>
      </c>
      <c r="BZ74" s="5">
        <f t="shared" si="73"/>
        <v>1.9037395546714377</v>
      </c>
      <c r="CB74">
        <f t="shared" si="53"/>
        <v>1.0986122886681098</v>
      </c>
      <c r="CG74" s="5">
        <f t="shared" si="74"/>
        <v>1.5343969678429517</v>
      </c>
      <c r="CH74" s="5">
        <f t="shared" si="75"/>
        <v>2.9210922002505453</v>
      </c>
      <c r="CI74" s="5">
        <f t="shared" si="76"/>
        <v>0.39982206053334235</v>
      </c>
      <c r="CJ74" s="5">
        <f t="shared" si="77"/>
        <v>-0.39369169473182225</v>
      </c>
      <c r="CK74" s="5">
        <f t="shared" si="78"/>
        <v>1.5305732530536127</v>
      </c>
      <c r="CL74" s="5">
        <f t="shared" si="79"/>
        <v>0.27696577589119714</v>
      </c>
      <c r="CM74" s="5">
        <f t="shared" si="80"/>
        <v>3.626561594996875</v>
      </c>
      <c r="CN74" s="7">
        <f t="shared" si="96"/>
        <v>37.583367356871307</v>
      </c>
      <c r="CO74" s="14">
        <f t="shared" si="97"/>
        <v>1.0000000000000001E-5</v>
      </c>
      <c r="CP74" s="14">
        <f t="shared" si="98"/>
        <v>37.583367356871307</v>
      </c>
      <c r="CQ74">
        <f>VLOOKUP(R74,'[1]Coefficient Normal'!$A$10:$P$14,16,TRUE)</f>
        <v>0.3997</v>
      </c>
      <c r="CR74">
        <f t="shared" si="99"/>
        <v>0.01</v>
      </c>
      <c r="CS74">
        <f t="shared" si="100"/>
        <v>0.3997</v>
      </c>
      <c r="CT74">
        <v>0.3</v>
      </c>
      <c r="CU74">
        <v>0.3</v>
      </c>
      <c r="CV74">
        <v>0.3</v>
      </c>
    </row>
    <row r="75" spans="1:100" x14ac:dyDescent="0.25">
      <c r="A75">
        <v>74</v>
      </c>
      <c r="B75">
        <v>2</v>
      </c>
      <c r="C75" t="str">
        <f t="shared" si="81"/>
        <v>Normal</v>
      </c>
      <c r="D75">
        <v>0.89600000000000002</v>
      </c>
      <c r="E75">
        <f t="shared" si="82"/>
        <v>896</v>
      </c>
      <c r="F75">
        <v>9.5250000000000005E-3</v>
      </c>
      <c r="G75">
        <f t="shared" si="82"/>
        <v>9.5250000000000004</v>
      </c>
      <c r="H75" s="3">
        <f t="shared" si="83"/>
        <v>94.068241469816272</v>
      </c>
      <c r="I75" s="1">
        <v>50</v>
      </c>
      <c r="J75" s="4" t="s">
        <v>73</v>
      </c>
      <c r="K75" s="1">
        <f t="shared" si="84"/>
        <v>8</v>
      </c>
      <c r="L75" s="1">
        <f t="shared" si="85"/>
        <v>12</v>
      </c>
      <c r="M75" s="1">
        <f t="shared" si="86"/>
        <v>414000</v>
      </c>
      <c r="N75" s="1">
        <f t="shared" si="87"/>
        <v>517000</v>
      </c>
      <c r="O75" s="1">
        <f t="shared" si="88"/>
        <v>2.5466769467238102</v>
      </c>
      <c r="P75" s="3">
        <f>100*IF(J75='[1]Estimation Model Normal-Slip'!$J$8,'[1]Estimation Model Normal-Slip'!$O$8,IF(J75='[1]Estimation Model Normal-Slip'!$J$9,'[1]Estimation Model Normal-Slip'!$O$9,IF(J75='[1]Estimation Model Normal-Slip'!$J$10,'[1]Estimation Model Normal-Slip'!$O$10,IF(J75='[1]Estimation Model Normal-Slip'!$J$11,'[1]Estimation Model Normal-Slip'!$O$11,IF(J75='[1]Estimation Model Normal-Slip'!$J$12,'[1]Estimation Model Normal-Slip'!$O$12,IF(J75='[1]Estimation Model Normal-Slip'!$J$13,'[1]Estimation Model Normal-Slip'!$O$13,2))))))</f>
        <v>2.4313344008036557</v>
      </c>
      <c r="Q75" s="1">
        <f t="shared" si="89"/>
        <v>0.93478935117382533</v>
      </c>
      <c r="R75" s="1">
        <v>60</v>
      </c>
      <c r="S75" s="1" t="s">
        <v>78</v>
      </c>
      <c r="T75" t="s">
        <v>79</v>
      </c>
      <c r="U75">
        <f t="shared" si="90"/>
        <v>18</v>
      </c>
      <c r="V75" s="1">
        <f t="shared" si="91"/>
        <v>37</v>
      </c>
      <c r="W75">
        <f t="shared" si="92"/>
        <v>0</v>
      </c>
      <c r="X75">
        <f t="shared" si="93"/>
        <v>0</v>
      </c>
      <c r="Y75">
        <v>0.9</v>
      </c>
      <c r="Z75" s="1">
        <v>1</v>
      </c>
      <c r="AA75" s="1">
        <f t="shared" si="65"/>
        <v>1.8</v>
      </c>
      <c r="AB75">
        <f t="shared" si="94"/>
        <v>33.282396503295658</v>
      </c>
      <c r="AC75">
        <f>IF(T75="medium dense",'[1]Coefficient Normal'!$E$18 + ('[1]Coefficient Normal'!$E$19*AA75) + ('[1]Coefficient Normal'!$E$20*(AA75^2)) + ('[1]Coefficient Normal'!$E$21*(AA75^3)) + ('[1]Coefficient Normal'!$E$22*(AA75^4)),IF(T75="dense",'[1]Coefficient Normal'!$F$18 + ('[1]Coefficient Normal'!$F$19*AA75) + ('[1]Coefficient Normal'!$F$20*(AA75^2)) + ('[1]Coefficient Normal'!$F$21*(AA75^3)) + ('[1]Coefficient Normal'!$F$22*(AA75^4)),IF(T75="very dense",'[1]Coefficient Normal'!$G$18 + ('[1]Coefficient Normal'!$G$19*AA75) + ('[1]Coefficient Normal'!$G$20*(AA75^2)) + ('[1]Coefficient Normal'!$G$21*(AA75^3)) + ('[1]Coefficient Normal'!$G$22*(AA75^4)),0)))</f>
        <v>12.698394373823998</v>
      </c>
      <c r="AD75">
        <f t="shared" si="66"/>
        <v>64.071522599936642</v>
      </c>
      <c r="AE75">
        <f t="shared" si="67"/>
        <v>667.7384958493501</v>
      </c>
      <c r="AF75">
        <f t="shared" si="95"/>
        <v>6.5038966236115616</v>
      </c>
      <c r="AG75">
        <f t="shared" si="68"/>
        <v>4.5440204919621658</v>
      </c>
      <c r="AH75">
        <f t="shared" si="44"/>
        <v>3.5050286236757637</v>
      </c>
      <c r="AI75" s="1">
        <v>0.2</v>
      </c>
      <c r="AJ75" s="5">
        <f>VLOOKUP(R75,'[1]Coefficient Normal'!$A$3:$H$7,2,TRUE)</f>
        <v>4.3182999999999998</v>
      </c>
      <c r="AK75" s="5">
        <f>VLOOKUP(R75,'[1]Coefficient Normal'!$A$3:$H$7,3,TRUE)</f>
        <v>-2.7900000000000001E-2</v>
      </c>
      <c r="AL75" s="5">
        <f>VLOOKUP(R75,'[1]Coefficient Normal'!$A$3:$H$7,4,TRUE)</f>
        <v>1.0497000000000001</v>
      </c>
      <c r="AM75" s="5">
        <f>VLOOKUP(R75,'[1]Coefficient Normal'!$A$3:$H$7,5,TRUE)</f>
        <v>-0.46910000000000002</v>
      </c>
      <c r="AN75" s="5">
        <f>VLOOKUP(R75,'[1]Coefficient Normal'!$A$3:$H$7,6,TRUE)</f>
        <v>0.29149999999999998</v>
      </c>
      <c r="AO75" s="5">
        <f>VLOOKUP(R75,'[1]Coefficient Normal'!$A$3:$H$7,7,TRUE)</f>
        <v>-0.28610000000000002</v>
      </c>
      <c r="AP75" s="5">
        <f>VLOOKUP(R75,'[1]Coefficient Normal'!$A$3:$H$7,8,TRUE)</f>
        <v>-0.1348</v>
      </c>
      <c r="AR75" s="5">
        <f t="shared" si="69"/>
        <v>-9.8469706098252174E-2</v>
      </c>
      <c r="AV75" s="5">
        <f>VLOOKUP(R75,'[1]Coefficient Normal'!$A$10:$P$14,2,TRUE)</f>
        <v>-2.1276999999999999</v>
      </c>
      <c r="AW75" s="5">
        <f>VLOOKUP(R75,'[1]Coefficient Normal'!$A$10:$P$14,3,TRUE)</f>
        <v>0.14760000000000001</v>
      </c>
      <c r="AX75" s="5">
        <f>VLOOKUP(R75,'[1]Coefficient Normal'!$A$10:$P$14,4,TRUE)</f>
        <v>-0.21829999999999999</v>
      </c>
      <c r="AY75" s="5">
        <f>VLOOKUP(R75,'[1]Coefficient Normal'!$A$10:$P$14,5,TRUE)</f>
        <v>0.42270000000000002</v>
      </c>
      <c r="AZ75" s="5">
        <f>VLOOKUP(R75,'[1]Coefficient Normal'!$A$10:$P$14,6,TRUE)</f>
        <v>-0.53720000000000001</v>
      </c>
      <c r="BA75" s="5">
        <f>VLOOKUP(R75,'[1]Coefficient Normal'!$A$10:$P$14,7,TRUE)</f>
        <v>1.252</v>
      </c>
      <c r="BB75" s="5">
        <f>VLOOKUP(R75,'[1]Coefficient Normal'!$A$10:$P$14,8,TRUE)</f>
        <v>-5.9999999999999995E-4</v>
      </c>
      <c r="BC75" s="5">
        <f>VLOOKUP(R75,'[1]Coefficient Normal'!$A$10:$P$14,9,TRUE)</f>
        <v>5.3E-3</v>
      </c>
      <c r="BD75" s="5">
        <f>VLOOKUP(R75,'[1]Coefficient Normal'!$A$10:$P$14,10,TRUE)</f>
        <v>-4.8500000000000001E-2</v>
      </c>
      <c r="BE75" s="5">
        <f>VLOOKUP(R75,'[1]Coefficient Normal'!$A$10:$P$14,11,TRUE)</f>
        <v>1.2999999999999999E-3</v>
      </c>
      <c r="BF75" s="5">
        <f>VLOOKUP(R75,'[1]Coefficient Normal'!$A$10:$P$14,12,TRUE)</f>
        <v>-0.56599999999999995</v>
      </c>
      <c r="BG75" s="5">
        <f>VLOOKUP(R75,'[1]Coefficient Normal'!$A$10:$P$14,13,TRUE)</f>
        <v>-3.2099999999999997E-2</v>
      </c>
      <c r="BH75" s="5">
        <f>VLOOKUP(R75,'[1]Coefficient Normal'!$A$10:$P$14,14,TRUE)</f>
        <v>0.84970000000000001</v>
      </c>
      <c r="BI75" s="5">
        <f>VLOOKUP(R75,'[1]Coefficient Normal'!$A$10:$P$14,15,TRUE)</f>
        <v>9.01E-2</v>
      </c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W75" s="6">
        <f t="shared" si="70"/>
        <v>1</v>
      </c>
      <c r="BX75" s="6">
        <f t="shared" si="71"/>
        <v>1</v>
      </c>
      <c r="BY75" s="6">
        <f t="shared" si="72"/>
        <v>1</v>
      </c>
      <c r="BZ75" s="5">
        <f t="shared" si="73"/>
        <v>1.0893192760087838</v>
      </c>
      <c r="CB75">
        <f t="shared" si="53"/>
        <v>-1.6094379124341003</v>
      </c>
      <c r="CG75" s="5">
        <f t="shared" si="74"/>
        <v>-1.5109682063358481</v>
      </c>
      <c r="CH75" s="5">
        <f t="shared" si="75"/>
        <v>-1.6459267925980565</v>
      </c>
      <c r="CI75" s="5">
        <f t="shared" si="76"/>
        <v>0.6706974246136157</v>
      </c>
      <c r="CJ75" s="5">
        <f t="shared" si="77"/>
        <v>-0.76514774854841916</v>
      </c>
      <c r="CK75" s="5">
        <f t="shared" si="78"/>
        <v>2.7491971028006073</v>
      </c>
      <c r="CL75" s="5">
        <f t="shared" si="79"/>
        <v>5.8992546019071369E-2</v>
      </c>
      <c r="CM75" s="5">
        <f t="shared" si="80"/>
        <v>-1.0598874677131811</v>
      </c>
      <c r="CN75" s="7">
        <f t="shared" si="96"/>
        <v>0.34649479998843213</v>
      </c>
      <c r="CO75" s="14">
        <f t="shared" si="97"/>
        <v>1.0000000000000001E-5</v>
      </c>
      <c r="CP75" s="14">
        <f t="shared" si="98"/>
        <v>0.34649479998843213</v>
      </c>
      <c r="CQ75">
        <f>VLOOKUP(R75,'[1]Coefficient Normal'!$A$10:$P$14,16,TRUE)</f>
        <v>0.50170000000000003</v>
      </c>
      <c r="CR75">
        <f t="shared" si="99"/>
        <v>0.01</v>
      </c>
      <c r="CS75">
        <f t="shared" si="100"/>
        <v>0.50170000000000003</v>
      </c>
      <c r="CT75">
        <v>0.3</v>
      </c>
      <c r="CU75">
        <v>0.3</v>
      </c>
      <c r="CV75">
        <v>0.3</v>
      </c>
    </row>
    <row r="76" spans="1:100" x14ac:dyDescent="0.25">
      <c r="A76">
        <v>75</v>
      </c>
      <c r="B76">
        <v>3</v>
      </c>
      <c r="C76" t="str">
        <f t="shared" si="81"/>
        <v>Normal</v>
      </c>
      <c r="D76">
        <v>0.5</v>
      </c>
      <c r="E76">
        <f t="shared" si="82"/>
        <v>500</v>
      </c>
      <c r="F76">
        <v>9.5250000000000005E-3</v>
      </c>
      <c r="G76">
        <f t="shared" si="82"/>
        <v>9.5250000000000004</v>
      </c>
      <c r="H76" s="3">
        <f t="shared" si="83"/>
        <v>52.493438320209975</v>
      </c>
      <c r="I76" s="1">
        <v>100</v>
      </c>
      <c r="J76" s="4" t="s">
        <v>75</v>
      </c>
      <c r="K76" s="1">
        <f t="shared" si="84"/>
        <v>14</v>
      </c>
      <c r="L76" s="1">
        <f t="shared" si="85"/>
        <v>15</v>
      </c>
      <c r="M76" s="1">
        <f t="shared" si="86"/>
        <v>483000</v>
      </c>
      <c r="N76" s="1">
        <f t="shared" si="87"/>
        <v>565000</v>
      </c>
      <c r="O76" s="1">
        <f t="shared" si="88"/>
        <v>2.8799444073326219</v>
      </c>
      <c r="P76" s="3">
        <f>100*IF(J76='[1]Estimation Model Normal-Slip'!$J$8,'[1]Estimation Model Normal-Slip'!$O$8,IF(J76='[1]Estimation Model Normal-Slip'!$J$9,'[1]Estimation Model Normal-Slip'!$O$9,IF(J76='[1]Estimation Model Normal-Slip'!$J$10,'[1]Estimation Model Normal-Slip'!$O$10,IF(J76='[1]Estimation Model Normal-Slip'!$J$11,'[1]Estimation Model Normal-Slip'!$O$11,IF(J76='[1]Estimation Model Normal-Slip'!$J$12,'[1]Estimation Model Normal-Slip'!$O$12,IF(J76='[1]Estimation Model Normal-Slip'!$J$13,'[1]Estimation Model Normal-Slip'!$O$13,2))))))</f>
        <v>2.7690517990613435</v>
      </c>
      <c r="Q76" s="1">
        <f t="shared" si="89"/>
        <v>1.0577709909520427</v>
      </c>
      <c r="R76" s="1">
        <v>75</v>
      </c>
      <c r="S76" s="1" t="s">
        <v>78</v>
      </c>
      <c r="T76" t="s">
        <v>80</v>
      </c>
      <c r="U76">
        <f t="shared" si="90"/>
        <v>18.5</v>
      </c>
      <c r="V76" s="1">
        <f t="shared" si="91"/>
        <v>40</v>
      </c>
      <c r="W76">
        <f t="shared" si="92"/>
        <v>0</v>
      </c>
      <c r="X76">
        <f t="shared" si="93"/>
        <v>0</v>
      </c>
      <c r="Y76">
        <v>0.9</v>
      </c>
      <c r="Z76" s="1">
        <v>1.2</v>
      </c>
      <c r="AA76" s="1">
        <f t="shared" si="65"/>
        <v>2.4</v>
      </c>
      <c r="AB76">
        <f t="shared" si="94"/>
        <v>25.335757420374399</v>
      </c>
      <c r="AC76">
        <f>IF(T76="medium dense",'[1]Coefficient Normal'!$E$18 + ('[1]Coefficient Normal'!$E$19*AA76) + ('[1]Coefficient Normal'!$E$20*(AA76^2)) + ('[1]Coefficient Normal'!$E$21*(AA76^3)) + ('[1]Coefficient Normal'!$E$22*(AA76^4)),IF(T76="dense",'[1]Coefficient Normal'!$F$18 + ('[1]Coefficient Normal'!$F$19*AA76) + ('[1]Coefficient Normal'!$F$20*(AA76^2)) + ('[1]Coefficient Normal'!$F$21*(AA76^3)) + ('[1]Coefficient Normal'!$F$22*(AA76^4)),IF(T76="very dense",'[1]Coefficient Normal'!$G$18 + ('[1]Coefficient Normal'!$G$19*AA76) + ('[1]Coefficient Normal'!$G$20*(AA76^2)) + ('[1]Coefficient Normal'!$G$21*(AA76^3)) + ('[1]Coefficient Normal'!$G$22*(AA76^4)),0)))</f>
        <v>15.970859354576</v>
      </c>
      <c r="AD76">
        <f t="shared" si="66"/>
        <v>80</v>
      </c>
      <c r="AE76">
        <f t="shared" si="67"/>
        <v>362.27653883579364</v>
      </c>
      <c r="AF76">
        <f t="shared" si="95"/>
        <v>5.8924078396237283</v>
      </c>
      <c r="AG76">
        <f t="shared" si="68"/>
        <v>3.9606881774094269</v>
      </c>
      <c r="AH76">
        <f t="shared" si="44"/>
        <v>3.2322167346868085</v>
      </c>
      <c r="AI76" s="1">
        <v>0.2</v>
      </c>
      <c r="AJ76" s="5">
        <f>VLOOKUP(R76,'[1]Coefficient Normal'!$A$3:$H$7,2,TRUE)</f>
        <v>5.5951000000000004</v>
      </c>
      <c r="AK76" s="5">
        <f>VLOOKUP(R76,'[1]Coefficient Normal'!$A$3:$H$7,3,TRUE)</f>
        <v>1.6E-2</v>
      </c>
      <c r="AL76" s="5">
        <f>VLOOKUP(R76,'[1]Coefficient Normal'!$A$3:$H$7,4,TRUE)</f>
        <v>1.2641</v>
      </c>
      <c r="AM76" s="5">
        <f>VLOOKUP(R76,'[1]Coefficient Normal'!$A$3:$H$7,5,TRUE)</f>
        <v>-0.52429999999999999</v>
      </c>
      <c r="AN76" s="5">
        <f>VLOOKUP(R76,'[1]Coefficient Normal'!$A$3:$H$7,6,TRUE)</f>
        <v>0.35830000000000001</v>
      </c>
      <c r="AO76" s="5">
        <f>VLOOKUP(R76,'[1]Coefficient Normal'!$A$3:$H$7,7,TRUE)</f>
        <v>-0.35920000000000002</v>
      </c>
      <c r="AP76" s="5">
        <f>VLOOKUP(R76,'[1]Coefficient Normal'!$A$3:$H$7,8,TRUE)</f>
        <v>-0.2482</v>
      </c>
      <c r="AR76" s="5">
        <f t="shared" si="69"/>
        <v>0.17619681713022817</v>
      </c>
      <c r="AV76" s="5">
        <f>VLOOKUP(R76,'[1]Coefficient Normal'!$A$10:$P$14,2,TRUE)</f>
        <v>-2.3450000000000002</v>
      </c>
      <c r="AW76" s="5">
        <f>VLOOKUP(R76,'[1]Coefficient Normal'!$A$10:$P$14,3,TRUE)</f>
        <v>0.19470000000000001</v>
      </c>
      <c r="AX76" s="5">
        <f>VLOOKUP(R76,'[1]Coefficient Normal'!$A$10:$P$14,4,TRUE)</f>
        <v>-0.2044</v>
      </c>
      <c r="AY76" s="5">
        <f>VLOOKUP(R76,'[1]Coefficient Normal'!$A$10:$P$14,5,TRUE)</f>
        <v>0.4143</v>
      </c>
      <c r="AZ76" s="5">
        <f>VLOOKUP(R76,'[1]Coefficient Normal'!$A$10:$P$14,6,TRUE)</f>
        <v>-0.55710000000000004</v>
      </c>
      <c r="BA76" s="5">
        <f>VLOOKUP(R76,'[1]Coefficient Normal'!$A$10:$P$14,7,TRUE)</f>
        <v>1.0931</v>
      </c>
      <c r="BB76" s="5">
        <f>VLOOKUP(R76,'[1]Coefficient Normal'!$A$10:$P$14,8,TRUE)</f>
        <v>1E-4</v>
      </c>
      <c r="BC76" s="5">
        <f>VLOOKUP(R76,'[1]Coefficient Normal'!$A$10:$P$14,9,TRUE)</f>
        <v>3.5000000000000001E-3</v>
      </c>
      <c r="BD76" s="5">
        <f>VLOOKUP(R76,'[1]Coefficient Normal'!$A$10:$P$14,10,TRUE)</f>
        <v>-4.07E-2</v>
      </c>
      <c r="BE76" s="5">
        <f>VLOOKUP(R76,'[1]Coefficient Normal'!$A$10:$P$14,11,TRUE)</f>
        <v>1.6000000000000001E-3</v>
      </c>
      <c r="BF76" s="5">
        <f>VLOOKUP(R76,'[1]Coefficient Normal'!$A$10:$P$14,12,TRUE)</f>
        <v>-0.65949999999999998</v>
      </c>
      <c r="BG76" s="5">
        <f>VLOOKUP(R76,'[1]Coefficient Normal'!$A$10:$P$14,13,TRUE)</f>
        <v>-3.0099999999999998E-2</v>
      </c>
      <c r="BH76" s="5">
        <f>VLOOKUP(R76,'[1]Coefficient Normal'!$A$10:$P$14,14,TRUE)</f>
        <v>0.84219999999999995</v>
      </c>
      <c r="BI76" s="5">
        <f>VLOOKUP(R76,'[1]Coefficient Normal'!$A$10:$P$14,15,TRUE)</f>
        <v>0.50680000000000003</v>
      </c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W76" s="6">
        <f t="shared" si="70"/>
        <v>1</v>
      </c>
      <c r="BX76" s="6">
        <f t="shared" si="71"/>
        <v>1</v>
      </c>
      <c r="BY76" s="6">
        <f t="shared" si="72"/>
        <v>0</v>
      </c>
      <c r="BZ76" s="5">
        <f t="shared" si="73"/>
        <v>1.1389230770543735</v>
      </c>
      <c r="CB76">
        <f t="shared" si="53"/>
        <v>-1.6094379124341003</v>
      </c>
      <c r="CG76" s="5">
        <f t="shared" si="74"/>
        <v>-1.7856347295643284</v>
      </c>
      <c r="CH76" s="5">
        <f t="shared" si="75"/>
        <v>-2.0337006006905591</v>
      </c>
      <c r="CI76" s="5">
        <f t="shared" si="76"/>
        <v>0.7711459881416155</v>
      </c>
      <c r="CJ76" s="5">
        <f t="shared" si="77"/>
        <v>-0.66066510056998362</v>
      </c>
      <c r="CK76" s="5">
        <f t="shared" si="78"/>
        <v>2.4412245679561106</v>
      </c>
      <c r="CL76" s="5">
        <f t="shared" si="79"/>
        <v>0.38615229428994552</v>
      </c>
      <c r="CM76" s="5">
        <f t="shared" si="80"/>
        <v>-1.4408428508728706</v>
      </c>
      <c r="CN76" s="7">
        <f t="shared" si="96"/>
        <v>0.23672814804672532</v>
      </c>
      <c r="CO76" s="14">
        <f t="shared" si="97"/>
        <v>1.0000000000000001E-5</v>
      </c>
      <c r="CP76" s="14">
        <f t="shared" si="98"/>
        <v>0.23672814804672532</v>
      </c>
      <c r="CQ76">
        <f>VLOOKUP(R76,'[1]Coefficient Normal'!$A$10:$P$14,16,TRUE)</f>
        <v>0.43780000000000002</v>
      </c>
      <c r="CR76">
        <f t="shared" si="99"/>
        <v>0.01</v>
      </c>
      <c r="CS76">
        <f t="shared" si="100"/>
        <v>0.43780000000000002</v>
      </c>
      <c r="CT76">
        <v>0.3</v>
      </c>
      <c r="CU76">
        <v>0.3</v>
      </c>
      <c r="CV76">
        <v>0.3</v>
      </c>
    </row>
    <row r="77" spans="1:100" x14ac:dyDescent="0.25">
      <c r="A77">
        <v>76</v>
      </c>
      <c r="B77">
        <v>4</v>
      </c>
      <c r="C77" t="str">
        <f t="shared" si="81"/>
        <v>Normal</v>
      </c>
      <c r="D77">
        <v>1.0668</v>
      </c>
      <c r="E77">
        <f t="shared" si="82"/>
        <v>1066.8</v>
      </c>
      <c r="F77">
        <v>9.5250000000000005E-3</v>
      </c>
      <c r="G77">
        <f t="shared" si="82"/>
        <v>9.5250000000000004</v>
      </c>
      <c r="H77" s="3">
        <f t="shared" si="83"/>
        <v>111.99999999999999</v>
      </c>
      <c r="I77" s="1">
        <v>300</v>
      </c>
      <c r="J77" s="4" t="s">
        <v>70</v>
      </c>
      <c r="K77" s="1">
        <f t="shared" si="84"/>
        <v>8</v>
      </c>
      <c r="L77" s="1">
        <f t="shared" si="85"/>
        <v>10</v>
      </c>
      <c r="M77" s="1">
        <f t="shared" si="86"/>
        <v>359000</v>
      </c>
      <c r="N77" s="1">
        <f t="shared" si="87"/>
        <v>455000</v>
      </c>
      <c r="O77" s="1">
        <f t="shared" si="88"/>
        <v>1.9969902892117808</v>
      </c>
      <c r="P77" s="3">
        <f>100*IF(J77='[1]Estimation Model Normal-Slip'!$J$8,'[1]Estimation Model Normal-Slip'!$O$8,IF(J77='[1]Estimation Model Normal-Slip'!$J$9,'[1]Estimation Model Normal-Slip'!$O$9,IF(J77='[1]Estimation Model Normal-Slip'!$J$10,'[1]Estimation Model Normal-Slip'!$O$10,IF(J77='[1]Estimation Model Normal-Slip'!$J$11,'[1]Estimation Model Normal-Slip'!$O$11,IF(J77='[1]Estimation Model Normal-Slip'!$J$12,'[1]Estimation Model Normal-Slip'!$O$12,IF(J77='[1]Estimation Model Normal-Slip'!$J$13,'[1]Estimation Model Normal-Slip'!$O$13,2))))))</f>
        <v>1.9041242414694344</v>
      </c>
      <c r="Q77" s="1">
        <f t="shared" si="89"/>
        <v>0.69164119173371341</v>
      </c>
      <c r="R77" s="1">
        <v>90</v>
      </c>
      <c r="S77" s="1" t="s">
        <v>78</v>
      </c>
      <c r="T77" t="s">
        <v>81</v>
      </c>
      <c r="U77">
        <f t="shared" si="90"/>
        <v>19</v>
      </c>
      <c r="V77" s="1">
        <f t="shared" si="91"/>
        <v>43</v>
      </c>
      <c r="W77">
        <f t="shared" si="92"/>
        <v>0</v>
      </c>
      <c r="X77">
        <f t="shared" si="93"/>
        <v>0</v>
      </c>
      <c r="Y77">
        <v>0.9</v>
      </c>
      <c r="Z77" s="1">
        <v>2.5</v>
      </c>
      <c r="AA77" s="1">
        <f t="shared" si="65"/>
        <v>2.3434570678665168</v>
      </c>
      <c r="AB77">
        <f t="shared" si="94"/>
        <v>127.53838306794918</v>
      </c>
      <c r="AC77">
        <f>IF(T77="medium dense",'[1]Coefficient Normal'!$E$18 + ('[1]Coefficient Normal'!$E$19*AA77) + ('[1]Coefficient Normal'!$E$20*(AA77^2)) + ('[1]Coefficient Normal'!$E$21*(AA77^3)) + ('[1]Coefficient Normal'!$E$22*(AA77^4)),IF(T77="dense",'[1]Coefficient Normal'!$F$18 + ('[1]Coefficient Normal'!$F$19*AA77) + ('[1]Coefficient Normal'!$F$20*(AA77^2)) + ('[1]Coefficient Normal'!$F$21*(AA77^3)) + ('[1]Coefficient Normal'!$F$22*(AA77^4)),IF(T77="very dense",'[1]Coefficient Normal'!$G$18 + ('[1]Coefficient Normal'!$G$19*AA77) + ('[1]Coefficient Normal'!$G$20*(AA77^2)) + ('[1]Coefficient Normal'!$G$21*(AA77^3)) + ('[1]Coefficient Normal'!$G$22*(AA77^4)),0)))</f>
        <v>18.621858727008274</v>
      </c>
      <c r="AD77">
        <f t="shared" si="66"/>
        <v>80</v>
      </c>
      <c r="AE77">
        <f t="shared" si="67"/>
        <v>1808.5527496736904</v>
      </c>
      <c r="AF77">
        <f t="shared" si="95"/>
        <v>7.5002822186049887</v>
      </c>
      <c r="AG77">
        <f t="shared" si="68"/>
        <v>4.7184988712950942</v>
      </c>
      <c r="AH77">
        <f t="shared" si="44"/>
        <v>4.848417362964117</v>
      </c>
      <c r="AI77" s="1">
        <v>0.25</v>
      </c>
      <c r="AJ77" s="5">
        <f>VLOOKUP(R77,'[1]Coefficient Normal'!$A$3:$H$7,2,TRUE)</f>
        <v>14.575100000000001</v>
      </c>
      <c r="AK77" s="5">
        <f>VLOOKUP(R77,'[1]Coefficient Normal'!$A$3:$H$7,3,TRUE)</f>
        <v>0.1356</v>
      </c>
      <c r="AL77" s="5">
        <f>VLOOKUP(R77,'[1]Coefficient Normal'!$A$3:$H$7,4,TRUE)</f>
        <v>2.9990000000000001</v>
      </c>
      <c r="AM77" s="5">
        <f>VLOOKUP(R77,'[1]Coefficient Normal'!$A$3:$H$7,5,TRUE)</f>
        <v>-0.94710000000000005</v>
      </c>
      <c r="AN77" s="5">
        <f>VLOOKUP(R77,'[1]Coefficient Normal'!$A$3:$H$7,6,TRUE)</f>
        <v>0.6603</v>
      </c>
      <c r="AO77" s="5">
        <f>VLOOKUP(R77,'[1]Coefficient Normal'!$A$3:$H$7,7,TRUE)</f>
        <v>-1.2488999999999999</v>
      </c>
      <c r="AP77" s="5">
        <f>VLOOKUP(R77,'[1]Coefficient Normal'!$A$3:$H$7,8,TRUE)</f>
        <v>-0.44140000000000001</v>
      </c>
      <c r="AR77" s="5">
        <f t="shared" si="69"/>
        <v>2.3065291097276841E-2</v>
      </c>
      <c r="AV77" s="5">
        <f>VLOOKUP(R77,'[1]Coefficient Normal'!$A$10:$P$14,2,TRUE)</f>
        <v>5.1353999999999997</v>
      </c>
      <c r="AW77" s="5">
        <f>VLOOKUP(R77,'[1]Coefficient Normal'!$A$10:$P$14,3,TRUE)</f>
        <v>-4.9599999999999998E-2</v>
      </c>
      <c r="AX77" s="5">
        <f>VLOOKUP(R77,'[1]Coefficient Normal'!$A$10:$P$14,4,TRUE)</f>
        <v>0.44590000000000002</v>
      </c>
      <c r="AY77" s="5">
        <f>VLOOKUP(R77,'[1]Coefficient Normal'!$A$10:$P$14,5,TRUE)</f>
        <v>-0.83709999999999996</v>
      </c>
      <c r="AZ77" s="5">
        <f>VLOOKUP(R77,'[1]Coefficient Normal'!$A$10:$P$14,6,TRUE)</f>
        <v>0.63090000000000002</v>
      </c>
      <c r="BA77" s="5">
        <f>VLOOKUP(R77,'[1]Coefficient Normal'!$A$10:$P$14,7,TRUE)</f>
        <v>0.91390000000000005</v>
      </c>
      <c r="BB77" s="5">
        <f>VLOOKUP(R77,'[1]Coefficient Normal'!$A$10:$P$14,8,TRUE)</f>
        <v>2.5000000000000001E-3</v>
      </c>
      <c r="BC77" s="5">
        <f>VLOOKUP(R77,'[1]Coefficient Normal'!$A$10:$P$14,9,TRUE)</f>
        <v>1.6000000000000001E-3</v>
      </c>
      <c r="BD77" s="5">
        <f>VLOOKUP(R77,'[1]Coefficient Normal'!$A$10:$P$14,10,TRUE)</f>
        <v>-9.7500000000000003E-2</v>
      </c>
      <c r="BE77" s="5">
        <f>VLOOKUP(R77,'[1]Coefficient Normal'!$A$10:$P$14,11,TRUE)</f>
        <v>1.1999999999999999E-3</v>
      </c>
      <c r="BF77" s="5">
        <f>VLOOKUP(R77,'[1]Coefficient Normal'!$A$10:$P$14,12,TRUE)</f>
        <v>0.46479999999999999</v>
      </c>
      <c r="BG77" s="5">
        <f>VLOOKUP(R77,'[1]Coefficient Normal'!$A$10:$P$14,13,TRUE)</f>
        <v>8.0000000000000004E-4</v>
      </c>
      <c r="BH77" s="5">
        <f>VLOOKUP(R77,'[1]Coefficient Normal'!$A$10:$P$14,14,TRUE)</f>
        <v>6.7900000000000002E-2</v>
      </c>
      <c r="BI77" s="5">
        <f>VLOOKUP(R77,'[1]Coefficient Normal'!$A$10:$P$14,15,TRUE)</f>
        <v>0.58979999999999999</v>
      </c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W77" s="6">
        <f t="shared" si="70"/>
        <v>1</v>
      </c>
      <c r="BX77" s="6">
        <f t="shared" si="71"/>
        <v>1</v>
      </c>
      <c r="BY77" s="6">
        <f t="shared" si="72"/>
        <v>0</v>
      </c>
      <c r="BZ77" s="5">
        <f t="shared" si="73"/>
        <v>1.2696459576698729</v>
      </c>
      <c r="CB77">
        <f t="shared" si="53"/>
        <v>-1.3862943611198906</v>
      </c>
      <c r="CG77" s="5">
        <f t="shared" si="74"/>
        <v>-1.4093596522171674</v>
      </c>
      <c r="CH77" s="5">
        <f t="shared" si="75"/>
        <v>-1.7893877853405444</v>
      </c>
      <c r="CI77" s="5">
        <f t="shared" si="76"/>
        <v>-0.23403754401623666</v>
      </c>
      <c r="CJ77" s="5">
        <f t="shared" si="77"/>
        <v>2.1619093021456997</v>
      </c>
      <c r="CK77" s="5">
        <f t="shared" si="78"/>
        <v>-6.2784862451942356</v>
      </c>
      <c r="CL77" s="5">
        <f t="shared" si="79"/>
        <v>4.0796210557198086E-2</v>
      </c>
      <c r="CM77" s="5">
        <f t="shared" si="80"/>
        <v>-0.96380606184811912</v>
      </c>
      <c r="CN77" s="7">
        <f t="shared" si="96"/>
        <v>0.38143834176838154</v>
      </c>
      <c r="CO77" s="14">
        <f t="shared" si="97"/>
        <v>1.0000000000000001E-5</v>
      </c>
      <c r="CP77" s="14">
        <f t="shared" si="98"/>
        <v>0.38143834176838154</v>
      </c>
      <c r="CQ77">
        <f>VLOOKUP(R77,'[1]Coefficient Normal'!$A$10:$P$14,16,TRUE)</f>
        <v>0.34749999999999998</v>
      </c>
      <c r="CR77">
        <f t="shared" si="99"/>
        <v>0.01</v>
      </c>
      <c r="CS77">
        <f t="shared" si="100"/>
        <v>0.34749999999999998</v>
      </c>
      <c r="CT77">
        <v>0.3</v>
      </c>
      <c r="CU77">
        <v>0.3</v>
      </c>
      <c r="CV77">
        <v>0.3</v>
      </c>
    </row>
    <row r="78" spans="1:100" x14ac:dyDescent="0.25">
      <c r="A78">
        <v>77</v>
      </c>
      <c r="B78">
        <v>5</v>
      </c>
      <c r="C78" t="str">
        <f t="shared" si="81"/>
        <v>Normal</v>
      </c>
      <c r="D78">
        <v>0.60960000000000003</v>
      </c>
      <c r="E78">
        <f t="shared" si="82"/>
        <v>609.6</v>
      </c>
      <c r="F78">
        <v>9.5250000000000005E-3</v>
      </c>
      <c r="G78">
        <f t="shared" si="82"/>
        <v>9.5250000000000004</v>
      </c>
      <c r="H78" s="3">
        <f t="shared" si="83"/>
        <v>64</v>
      </c>
      <c r="I78" s="1">
        <v>30</v>
      </c>
      <c r="J78" s="4" t="s">
        <v>75</v>
      </c>
      <c r="K78" s="1">
        <f t="shared" si="84"/>
        <v>14</v>
      </c>
      <c r="L78" s="1">
        <f t="shared" si="85"/>
        <v>15</v>
      </c>
      <c r="M78" s="1">
        <f t="shared" si="86"/>
        <v>483000</v>
      </c>
      <c r="N78" s="1">
        <f t="shared" si="87"/>
        <v>565000</v>
      </c>
      <c r="O78" s="1">
        <f t="shared" si="88"/>
        <v>2.8799444073326219</v>
      </c>
      <c r="P78" s="3">
        <f>100*IF(J78='[1]Estimation Model Normal-Slip'!$J$8,'[1]Estimation Model Normal-Slip'!$O$8,IF(J78='[1]Estimation Model Normal-Slip'!$J$9,'[1]Estimation Model Normal-Slip'!$O$9,IF(J78='[1]Estimation Model Normal-Slip'!$J$10,'[1]Estimation Model Normal-Slip'!$O$10,IF(J78='[1]Estimation Model Normal-Slip'!$J$11,'[1]Estimation Model Normal-Slip'!$O$11,IF(J78='[1]Estimation Model Normal-Slip'!$J$12,'[1]Estimation Model Normal-Slip'!$O$12,IF(J78='[1]Estimation Model Normal-Slip'!$J$13,'[1]Estimation Model Normal-Slip'!$O$13,2))))))</f>
        <v>2.7690517990613435</v>
      </c>
      <c r="Q78" s="1">
        <f t="shared" si="89"/>
        <v>1.0577709909520427</v>
      </c>
      <c r="R78" s="1">
        <v>45</v>
      </c>
      <c r="S78" s="1" t="s">
        <v>78</v>
      </c>
      <c r="T78" t="s">
        <v>79</v>
      </c>
      <c r="U78">
        <f t="shared" si="90"/>
        <v>18</v>
      </c>
      <c r="V78" s="1">
        <f t="shared" si="91"/>
        <v>37</v>
      </c>
      <c r="W78">
        <f t="shared" si="92"/>
        <v>0</v>
      </c>
      <c r="X78">
        <f t="shared" si="93"/>
        <v>0</v>
      </c>
      <c r="Y78">
        <v>0.9</v>
      </c>
      <c r="Z78" s="1">
        <v>1</v>
      </c>
      <c r="AA78" s="1">
        <f t="shared" si="65"/>
        <v>1.8</v>
      </c>
      <c r="AB78">
        <f t="shared" si="94"/>
        <v>22.643916192420797</v>
      </c>
      <c r="AC78">
        <f>IF(T78="medium dense",'[1]Coefficient Normal'!$E$18 + ('[1]Coefficient Normal'!$E$19*AA78) + ('[1]Coefficient Normal'!$E$20*(AA78^2)) + ('[1]Coefficient Normal'!$E$21*(AA78^3)) + ('[1]Coefficient Normal'!$E$22*(AA78^4)),IF(T78="dense",'[1]Coefficient Normal'!$F$18 + ('[1]Coefficient Normal'!$F$19*AA78) + ('[1]Coefficient Normal'!$F$20*(AA78^2)) + ('[1]Coefficient Normal'!$F$21*(AA78^3)) + ('[1]Coefficient Normal'!$F$22*(AA78^4)),IF(T78="very dense",'[1]Coefficient Normal'!$G$18 + ('[1]Coefficient Normal'!$G$19*AA78) + ('[1]Coefficient Normal'!$G$20*(AA78^2)) + ('[1]Coefficient Normal'!$G$21*(AA78^3)) + ('[1]Coefficient Normal'!$G$22*(AA78^4)),0)))</f>
        <v>12.698394373823998</v>
      </c>
      <c r="AD78">
        <f t="shared" si="66"/>
        <v>64.071522599936642</v>
      </c>
      <c r="AE78">
        <f t="shared" si="67"/>
        <v>353.62475395575746</v>
      </c>
      <c r="AF78">
        <f t="shared" si="95"/>
        <v>5.8682363338442034</v>
      </c>
      <c r="AG78">
        <f t="shared" si="68"/>
        <v>4.1588830833596715</v>
      </c>
      <c r="AH78">
        <f t="shared" si="44"/>
        <v>3.1198912150732698</v>
      </c>
      <c r="AI78" s="1">
        <v>0.28000000000000003</v>
      </c>
      <c r="AJ78" s="5">
        <f>VLOOKUP(R78,'[1]Coefficient Normal'!$A$3:$H$7,2,TRUE)</f>
        <v>3.7532999999999999</v>
      </c>
      <c r="AK78" s="5">
        <f>VLOOKUP(R78,'[1]Coefficient Normal'!$A$3:$H$7,3,TRUE)</f>
        <v>0.14510000000000001</v>
      </c>
      <c r="AL78" s="5">
        <f>VLOOKUP(R78,'[1]Coefficient Normal'!$A$3:$H$7,4,TRUE)</f>
        <v>1.2497</v>
      </c>
      <c r="AM78" s="5">
        <f>VLOOKUP(R78,'[1]Coefficient Normal'!$A$3:$H$7,5,TRUE)</f>
        <v>-0.46100000000000002</v>
      </c>
      <c r="AN78" s="5">
        <f>VLOOKUP(R78,'[1]Coefficient Normal'!$A$3:$H$7,6,TRUE)</f>
        <v>0.39140000000000003</v>
      </c>
      <c r="AO78" s="5">
        <f>VLOOKUP(R78,'[1]Coefficient Normal'!$A$3:$H$7,7,TRUE)</f>
        <v>-0.21310000000000001</v>
      </c>
      <c r="AP78" s="5">
        <f>VLOOKUP(R78,'[1]Coefficient Normal'!$A$3:$H$7,8,TRUE)</f>
        <v>-0.34139999999999998</v>
      </c>
      <c r="AR78" s="5">
        <f t="shared" si="69"/>
        <v>-0.19061367663895701</v>
      </c>
      <c r="AV78" s="5">
        <f>VLOOKUP(R78,'[1]Coefficient Normal'!$A$10:$P$14,2,TRUE)</f>
        <v>-1.1082000000000001</v>
      </c>
      <c r="AW78" s="5">
        <f>VLOOKUP(R78,'[1]Coefficient Normal'!$A$10:$P$14,3,TRUE)</f>
        <v>0.10630000000000001</v>
      </c>
      <c r="AX78" s="5">
        <f>VLOOKUP(R78,'[1]Coefficient Normal'!$A$10:$P$14,4,TRUE)</f>
        <v>-0.1439</v>
      </c>
      <c r="AY78" s="5">
        <f>VLOOKUP(R78,'[1]Coefficient Normal'!$A$10:$P$14,5,TRUE)</f>
        <v>0.27879999999999999</v>
      </c>
      <c r="AZ78" s="5">
        <f>VLOOKUP(R78,'[1]Coefficient Normal'!$A$10:$P$14,6,TRUE)</f>
        <v>-0.31030000000000002</v>
      </c>
      <c r="BA78" s="5">
        <f>VLOOKUP(R78,'[1]Coefficient Normal'!$A$10:$P$14,7,TRUE)</f>
        <v>1.2553000000000001</v>
      </c>
      <c r="BB78" s="5">
        <f>VLOOKUP(R78,'[1]Coefficient Normal'!$A$10:$P$14,8,TRUE)</f>
        <v>2.9999999999999997E-4</v>
      </c>
      <c r="BC78" s="5">
        <f>VLOOKUP(R78,'[1]Coefficient Normal'!$A$10:$P$14,9,TRUE)</f>
        <v>5.1999999999999998E-3</v>
      </c>
      <c r="BD78" s="5">
        <f>VLOOKUP(R78,'[1]Coefficient Normal'!$A$10:$P$14,10,TRUE)</f>
        <v>-8.5900000000000004E-2</v>
      </c>
      <c r="BE78" s="5">
        <f>VLOOKUP(R78,'[1]Coefficient Normal'!$A$10:$P$14,11,TRUE)</f>
        <v>5.9999999999999995E-4</v>
      </c>
      <c r="BF78" s="5">
        <f>VLOOKUP(R78,'[1]Coefficient Normal'!$A$10:$P$14,12,TRUE)</f>
        <v>-0.21759999999999999</v>
      </c>
      <c r="BG78" s="5">
        <f>VLOOKUP(R78,'[1]Coefficient Normal'!$A$10:$P$14,13,TRUE)</f>
        <v>-2.69E-2</v>
      </c>
      <c r="BH78" s="5">
        <f>VLOOKUP(R78,'[1]Coefficient Normal'!$A$10:$P$14,14,TRUE)</f>
        <v>0.57389999999999997</v>
      </c>
      <c r="BI78" s="5">
        <f>VLOOKUP(R78,'[1]Coefficient Normal'!$A$10:$P$14,15,TRUE)</f>
        <v>0.34460000000000002</v>
      </c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W78" s="6">
        <f t="shared" si="70"/>
        <v>1</v>
      </c>
      <c r="BX78" s="6">
        <f t="shared" si="71"/>
        <v>1</v>
      </c>
      <c r="BY78" s="6">
        <f t="shared" si="72"/>
        <v>1</v>
      </c>
      <c r="BZ78" s="5">
        <f t="shared" si="73"/>
        <v>0.93649317485772643</v>
      </c>
      <c r="CB78">
        <f t="shared" si="53"/>
        <v>-1.2729656758128873</v>
      </c>
      <c r="CG78" s="5">
        <f t="shared" si="74"/>
        <v>-1.0823519991739303</v>
      </c>
      <c r="CH78" s="5">
        <f t="shared" si="75"/>
        <v>-1.0136152600200012</v>
      </c>
      <c r="CI78" s="5">
        <f t="shared" si="76"/>
        <v>0.44208927176113311</v>
      </c>
      <c r="CJ78" s="5">
        <f t="shared" si="77"/>
        <v>-0.44895234584904353</v>
      </c>
      <c r="CK78" s="5">
        <f t="shared" si="78"/>
        <v>1.6360642898757638</v>
      </c>
      <c r="CL78" s="5">
        <f t="shared" si="79"/>
        <v>0.15358369081139006</v>
      </c>
      <c r="CM78" s="5">
        <f t="shared" si="80"/>
        <v>-0.33903035342075799</v>
      </c>
      <c r="CN78" s="7">
        <f t="shared" si="96"/>
        <v>0.71246082313784431</v>
      </c>
      <c r="CO78" s="14">
        <f t="shared" si="97"/>
        <v>1.0000000000000001E-5</v>
      </c>
      <c r="CP78" s="14">
        <f t="shared" si="98"/>
        <v>0.71246082313784431</v>
      </c>
      <c r="CQ78">
        <f>VLOOKUP(R78,'[1]Coefficient Normal'!$A$10:$P$14,16,TRUE)</f>
        <v>0.3997</v>
      </c>
      <c r="CR78">
        <f t="shared" si="99"/>
        <v>0.01</v>
      </c>
      <c r="CS78">
        <f t="shared" si="100"/>
        <v>0.3997</v>
      </c>
      <c r="CT78">
        <v>0.3</v>
      </c>
      <c r="CU78">
        <v>0.3</v>
      </c>
      <c r="CV78">
        <v>0.3</v>
      </c>
    </row>
    <row r="79" spans="1:100" x14ac:dyDescent="0.25">
      <c r="A79">
        <v>78</v>
      </c>
      <c r="B79">
        <v>6</v>
      </c>
      <c r="C79" t="str">
        <f t="shared" si="81"/>
        <v>Normal</v>
      </c>
      <c r="D79">
        <v>0.40960000000000002</v>
      </c>
      <c r="E79">
        <f t="shared" si="82"/>
        <v>409.6</v>
      </c>
      <c r="F79">
        <v>9.5250000000000005E-3</v>
      </c>
      <c r="G79">
        <f t="shared" si="82"/>
        <v>9.5250000000000004</v>
      </c>
      <c r="H79" s="3">
        <f t="shared" si="83"/>
        <v>43.00262467191601</v>
      </c>
      <c r="I79" s="1">
        <v>50</v>
      </c>
      <c r="J79" s="4" t="s">
        <v>77</v>
      </c>
      <c r="K79" s="1">
        <f t="shared" si="84"/>
        <v>15</v>
      </c>
      <c r="L79" s="1">
        <f t="shared" si="85"/>
        <v>20</v>
      </c>
      <c r="M79" s="1">
        <f t="shared" si="86"/>
        <v>552000</v>
      </c>
      <c r="N79" s="1">
        <f t="shared" si="87"/>
        <v>625000</v>
      </c>
      <c r="O79" s="1">
        <f t="shared" si="88"/>
        <v>2.9888368774026359</v>
      </c>
      <c r="P79" s="3">
        <f>100*IF(J79='[1]Estimation Model Normal-Slip'!$J$8,'[1]Estimation Model Normal-Slip'!$O$8,IF(J79='[1]Estimation Model Normal-Slip'!$J$9,'[1]Estimation Model Normal-Slip'!$O$9,IF(J79='[1]Estimation Model Normal-Slip'!$J$10,'[1]Estimation Model Normal-Slip'!$O$10,IF(J79='[1]Estimation Model Normal-Slip'!$J$11,'[1]Estimation Model Normal-Slip'!$O$11,IF(J79='[1]Estimation Model Normal-Slip'!$J$12,'[1]Estimation Model Normal-Slip'!$O$12,IF(J79='[1]Estimation Model Normal-Slip'!$J$13,'[1]Estimation Model Normal-Slip'!$O$13,2))))))</f>
        <v>2.8464933991254466</v>
      </c>
      <c r="Q79" s="1">
        <f t="shared" si="89"/>
        <v>1.0948843075076633</v>
      </c>
      <c r="R79" s="1">
        <v>60</v>
      </c>
      <c r="S79" s="1" t="s">
        <v>78</v>
      </c>
      <c r="T79" t="s">
        <v>80</v>
      </c>
      <c r="U79">
        <f t="shared" si="90"/>
        <v>18.5</v>
      </c>
      <c r="V79" s="1">
        <f t="shared" si="91"/>
        <v>40</v>
      </c>
      <c r="W79">
        <f t="shared" si="92"/>
        <v>0</v>
      </c>
      <c r="X79">
        <f t="shared" si="93"/>
        <v>0</v>
      </c>
      <c r="Y79">
        <v>0.9</v>
      </c>
      <c r="Z79" s="1">
        <v>1.2</v>
      </c>
      <c r="AA79" s="1">
        <f t="shared" si="65"/>
        <v>2.9296874999999996</v>
      </c>
      <c r="AB79">
        <f t="shared" si="94"/>
        <v>20.755052478770708</v>
      </c>
      <c r="AC79">
        <f>IF(T79="medium dense",'[1]Coefficient Normal'!$E$18 + ('[1]Coefficient Normal'!$E$19*AA79) + ('[1]Coefficient Normal'!$E$20*(AA79^2)) + ('[1]Coefficient Normal'!$E$21*(AA79^3)) + ('[1]Coefficient Normal'!$E$22*(AA79^4)),IF(T79="dense",'[1]Coefficient Normal'!$F$18 + ('[1]Coefficient Normal'!$F$19*AA79) + ('[1]Coefficient Normal'!$F$20*(AA79^2)) + ('[1]Coefficient Normal'!$F$21*(AA79^3)) + ('[1]Coefficient Normal'!$F$22*(AA79^4)),IF(T79="very dense",'[1]Coefficient Normal'!$G$18 + ('[1]Coefficient Normal'!$G$19*AA79) + ('[1]Coefficient Normal'!$G$20*(AA79^2)) + ('[1]Coefficient Normal'!$G$21*(AA79^3)) + ('[1]Coefficient Normal'!$G$22*(AA79^4)),0)))</f>
        <v>16.165411783848704</v>
      </c>
      <c r="AD79">
        <f t="shared" si="66"/>
        <v>80</v>
      </c>
      <c r="AE79">
        <f t="shared" si="67"/>
        <v>271.14542759995038</v>
      </c>
      <c r="AF79">
        <f t="shared" si="95"/>
        <v>5.6026553101537404</v>
      </c>
      <c r="AG79">
        <f t="shared" si="68"/>
        <v>3.7612611527125335</v>
      </c>
      <c r="AH79">
        <f t="shared" si="44"/>
        <v>3.0327897099899146</v>
      </c>
      <c r="AI79" s="1">
        <v>0.18</v>
      </c>
      <c r="AJ79" s="5">
        <f>VLOOKUP(R79,'[1]Coefficient Normal'!$A$3:$H$7,2,TRUE)</f>
        <v>4.3182999999999998</v>
      </c>
      <c r="AK79" s="5">
        <f>VLOOKUP(R79,'[1]Coefficient Normal'!$A$3:$H$7,3,TRUE)</f>
        <v>-2.7900000000000001E-2</v>
      </c>
      <c r="AL79" s="5">
        <f>VLOOKUP(R79,'[1]Coefficient Normal'!$A$3:$H$7,4,TRUE)</f>
        <v>1.0497000000000001</v>
      </c>
      <c r="AM79" s="5">
        <f>VLOOKUP(R79,'[1]Coefficient Normal'!$A$3:$H$7,5,TRUE)</f>
        <v>-0.46910000000000002</v>
      </c>
      <c r="AN79" s="5">
        <f>VLOOKUP(R79,'[1]Coefficient Normal'!$A$3:$H$7,6,TRUE)</f>
        <v>0.29149999999999998</v>
      </c>
      <c r="AO79" s="5">
        <f>VLOOKUP(R79,'[1]Coefficient Normal'!$A$3:$H$7,7,TRUE)</f>
        <v>-0.28610000000000002</v>
      </c>
      <c r="AP79" s="5">
        <f>VLOOKUP(R79,'[1]Coefficient Normal'!$A$3:$H$7,8,TRUE)</f>
        <v>-0.1348</v>
      </c>
      <c r="AR79" s="5">
        <f t="shared" si="69"/>
        <v>-0.18476915335014066</v>
      </c>
      <c r="AV79" s="5">
        <f>VLOOKUP(R79,'[1]Coefficient Normal'!$A$10:$P$14,2,TRUE)</f>
        <v>-2.1276999999999999</v>
      </c>
      <c r="AW79" s="5">
        <f>VLOOKUP(R79,'[1]Coefficient Normal'!$A$10:$P$14,3,TRUE)</f>
        <v>0.14760000000000001</v>
      </c>
      <c r="AX79" s="5">
        <f>VLOOKUP(R79,'[1]Coefficient Normal'!$A$10:$P$14,4,TRUE)</f>
        <v>-0.21829999999999999</v>
      </c>
      <c r="AY79" s="5">
        <f>VLOOKUP(R79,'[1]Coefficient Normal'!$A$10:$P$14,5,TRUE)</f>
        <v>0.42270000000000002</v>
      </c>
      <c r="AZ79" s="5">
        <f>VLOOKUP(R79,'[1]Coefficient Normal'!$A$10:$P$14,6,TRUE)</f>
        <v>-0.53720000000000001</v>
      </c>
      <c r="BA79" s="5">
        <f>VLOOKUP(R79,'[1]Coefficient Normal'!$A$10:$P$14,7,TRUE)</f>
        <v>1.252</v>
      </c>
      <c r="BB79" s="5">
        <f>VLOOKUP(R79,'[1]Coefficient Normal'!$A$10:$P$14,8,TRUE)</f>
        <v>-5.9999999999999995E-4</v>
      </c>
      <c r="BC79" s="5">
        <f>VLOOKUP(R79,'[1]Coefficient Normal'!$A$10:$P$14,9,TRUE)</f>
        <v>5.3E-3</v>
      </c>
      <c r="BD79" s="5">
        <f>VLOOKUP(R79,'[1]Coefficient Normal'!$A$10:$P$14,10,TRUE)</f>
        <v>-4.8500000000000001E-2</v>
      </c>
      <c r="BE79" s="5">
        <f>VLOOKUP(R79,'[1]Coefficient Normal'!$A$10:$P$14,11,TRUE)</f>
        <v>1.2999999999999999E-3</v>
      </c>
      <c r="BF79" s="5">
        <f>VLOOKUP(R79,'[1]Coefficient Normal'!$A$10:$P$14,12,TRUE)</f>
        <v>-0.56599999999999995</v>
      </c>
      <c r="BG79" s="5">
        <f>VLOOKUP(R79,'[1]Coefficient Normal'!$A$10:$P$14,13,TRUE)</f>
        <v>-3.2099999999999997E-2</v>
      </c>
      <c r="BH79" s="5">
        <f>VLOOKUP(R79,'[1]Coefficient Normal'!$A$10:$P$14,14,TRUE)</f>
        <v>0.84970000000000001</v>
      </c>
      <c r="BI79" s="5">
        <f>VLOOKUP(R79,'[1]Coefficient Normal'!$A$10:$P$14,15,TRUE)</f>
        <v>9.01E-2</v>
      </c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W79" s="6">
        <f t="shared" si="70"/>
        <v>1</v>
      </c>
      <c r="BX79" s="6">
        <f t="shared" si="71"/>
        <v>1</v>
      </c>
      <c r="BY79" s="6">
        <f t="shared" si="72"/>
        <v>1</v>
      </c>
      <c r="BZ79" s="5">
        <f t="shared" si="73"/>
        <v>1.0304503805862284</v>
      </c>
      <c r="CB79">
        <f t="shared" si="53"/>
        <v>-1.7147984280919266</v>
      </c>
      <c r="CG79" s="5">
        <f t="shared" si="74"/>
        <v>-1.5300292747417861</v>
      </c>
      <c r="CH79" s="5">
        <f t="shared" si="75"/>
        <v>-1.5766192484657444</v>
      </c>
      <c r="CI79" s="5">
        <f t="shared" si="76"/>
        <v>0.55516214614036996</v>
      </c>
      <c r="CJ79" s="5">
        <f t="shared" si="77"/>
        <v>-0.66205799369079832</v>
      </c>
      <c r="CK79" s="5">
        <f t="shared" si="78"/>
        <v>2.3682423996019861</v>
      </c>
      <c r="CL79" s="5">
        <f t="shared" si="79"/>
        <v>0.47949086306397387</v>
      </c>
      <c r="CM79" s="5">
        <f t="shared" si="80"/>
        <v>-0.96348183335021309</v>
      </c>
      <c r="CN79" s="7">
        <f t="shared" si="96"/>
        <v>0.3815620350003287</v>
      </c>
      <c r="CO79" s="14">
        <f t="shared" si="97"/>
        <v>1.0000000000000001E-5</v>
      </c>
      <c r="CP79" s="14">
        <f t="shared" si="98"/>
        <v>0.3815620350003287</v>
      </c>
      <c r="CQ79">
        <f>VLOOKUP(R79,'[1]Coefficient Normal'!$A$10:$P$14,16,TRUE)</f>
        <v>0.50170000000000003</v>
      </c>
      <c r="CR79">
        <f t="shared" si="99"/>
        <v>0.01</v>
      </c>
      <c r="CS79">
        <f t="shared" si="100"/>
        <v>0.50170000000000003</v>
      </c>
      <c r="CT79">
        <v>0.3</v>
      </c>
      <c r="CU79">
        <v>0.3</v>
      </c>
      <c r="CV79">
        <v>0.3</v>
      </c>
    </row>
    <row r="80" spans="1:100" x14ac:dyDescent="0.25">
      <c r="A80">
        <v>79</v>
      </c>
      <c r="B80">
        <v>7</v>
      </c>
      <c r="C80" t="str">
        <f t="shared" si="81"/>
        <v>Normal</v>
      </c>
      <c r="D80">
        <v>0.89600000000000002</v>
      </c>
      <c r="E80">
        <f t="shared" si="82"/>
        <v>896</v>
      </c>
      <c r="F80">
        <v>9.5250000000000005E-3</v>
      </c>
      <c r="G80">
        <f t="shared" si="82"/>
        <v>9.5250000000000004</v>
      </c>
      <c r="H80" s="3">
        <f t="shared" si="83"/>
        <v>94.068241469816272</v>
      </c>
      <c r="I80" s="1">
        <v>100</v>
      </c>
      <c r="J80" s="4" t="s">
        <v>70</v>
      </c>
      <c r="K80" s="1">
        <f t="shared" si="84"/>
        <v>8</v>
      </c>
      <c r="L80" s="1">
        <f t="shared" si="85"/>
        <v>10</v>
      </c>
      <c r="M80" s="1">
        <f t="shared" si="86"/>
        <v>359000</v>
      </c>
      <c r="N80" s="1">
        <f t="shared" si="87"/>
        <v>455000</v>
      </c>
      <c r="O80" s="1">
        <f t="shared" si="88"/>
        <v>1.9969902892117808</v>
      </c>
      <c r="P80" s="3">
        <f>100*IF(J80='[1]Estimation Model Normal-Slip'!$J$8,'[1]Estimation Model Normal-Slip'!$O$8,IF(J80='[1]Estimation Model Normal-Slip'!$J$9,'[1]Estimation Model Normal-Slip'!$O$9,IF(J80='[1]Estimation Model Normal-Slip'!$J$10,'[1]Estimation Model Normal-Slip'!$O$10,IF(J80='[1]Estimation Model Normal-Slip'!$J$11,'[1]Estimation Model Normal-Slip'!$O$11,IF(J80='[1]Estimation Model Normal-Slip'!$J$12,'[1]Estimation Model Normal-Slip'!$O$12,IF(J80='[1]Estimation Model Normal-Slip'!$J$13,'[1]Estimation Model Normal-Slip'!$O$13,2))))))</f>
        <v>1.9041242414694344</v>
      </c>
      <c r="Q80" s="1">
        <f t="shared" si="89"/>
        <v>0.69164119173371341</v>
      </c>
      <c r="R80" s="1">
        <v>75</v>
      </c>
      <c r="S80" s="1" t="s">
        <v>78</v>
      </c>
      <c r="T80" t="s">
        <v>81</v>
      </c>
      <c r="U80">
        <f t="shared" si="90"/>
        <v>19</v>
      </c>
      <c r="V80" s="1">
        <f t="shared" si="91"/>
        <v>43</v>
      </c>
      <c r="W80">
        <f t="shared" si="92"/>
        <v>0</v>
      </c>
      <c r="X80">
        <f t="shared" si="93"/>
        <v>0</v>
      </c>
      <c r="Y80">
        <v>0.9</v>
      </c>
      <c r="Z80" s="1">
        <v>0.8</v>
      </c>
      <c r="AA80" s="1">
        <f t="shared" si="65"/>
        <v>1.8</v>
      </c>
      <c r="AB80">
        <f t="shared" si="94"/>
        <v>34.278032614587922</v>
      </c>
      <c r="AC80">
        <f>IF(T80="medium dense",'[1]Coefficient Normal'!$E$18 + ('[1]Coefficient Normal'!$E$19*AA80) + ('[1]Coefficient Normal'!$E$20*(AA80^2)) + ('[1]Coefficient Normal'!$E$21*(AA80^3)) + ('[1]Coefficient Normal'!$E$22*(AA80^4)),IF(T80="dense",'[1]Coefficient Normal'!$F$18 + ('[1]Coefficient Normal'!$F$19*AA80) + ('[1]Coefficient Normal'!$F$20*(AA80^2)) + ('[1]Coefficient Normal'!$F$21*(AA80^3)) + ('[1]Coefficient Normal'!$F$22*(AA80^4)),IF(T80="very dense",'[1]Coefficient Normal'!$G$18 + ('[1]Coefficient Normal'!$G$19*AA80) + ('[1]Coefficient Normal'!$G$20*(AA80^2)) + ('[1]Coefficient Normal'!$G$21*(AA80^3)) + ('[1]Coefficient Normal'!$G$22*(AA80^4)),0)))</f>
        <v>18.784824717152006</v>
      </c>
      <c r="AD80">
        <f t="shared" si="66"/>
        <v>80</v>
      </c>
      <c r="AE80">
        <f t="shared" si="67"/>
        <v>865.97444478783666</v>
      </c>
      <c r="AF80">
        <f t="shared" si="95"/>
        <v>6.7638553986441545</v>
      </c>
      <c r="AG80">
        <f t="shared" si="68"/>
        <v>4.5440204919621658</v>
      </c>
      <c r="AH80">
        <f t="shared" si="44"/>
        <v>3.5345047004428238</v>
      </c>
      <c r="AI80" s="1">
        <v>0.4</v>
      </c>
      <c r="AJ80" s="5">
        <f>VLOOKUP(R80,'[1]Coefficient Normal'!$A$3:$H$7,2,TRUE)</f>
        <v>5.5951000000000004</v>
      </c>
      <c r="AK80" s="5">
        <f>VLOOKUP(R80,'[1]Coefficient Normal'!$A$3:$H$7,3,TRUE)</f>
        <v>1.6E-2</v>
      </c>
      <c r="AL80" s="5">
        <f>VLOOKUP(R80,'[1]Coefficient Normal'!$A$3:$H$7,4,TRUE)</f>
        <v>1.2641</v>
      </c>
      <c r="AM80" s="5">
        <f>VLOOKUP(R80,'[1]Coefficient Normal'!$A$3:$H$7,5,TRUE)</f>
        <v>-0.52429999999999999</v>
      </c>
      <c r="AN80" s="5">
        <f>VLOOKUP(R80,'[1]Coefficient Normal'!$A$3:$H$7,6,TRUE)</f>
        <v>0.35830000000000001</v>
      </c>
      <c r="AO80" s="5">
        <f>VLOOKUP(R80,'[1]Coefficient Normal'!$A$3:$H$7,7,TRUE)</f>
        <v>-0.35920000000000002</v>
      </c>
      <c r="AP80" s="5">
        <f>VLOOKUP(R80,'[1]Coefficient Normal'!$A$3:$H$7,8,TRUE)</f>
        <v>-0.2482</v>
      </c>
      <c r="AR80" s="5">
        <f t="shared" si="69"/>
        <v>8.8509920075637738E-2</v>
      </c>
      <c r="AV80" s="5">
        <f>VLOOKUP(R80,'[1]Coefficient Normal'!$A$10:$P$14,2,TRUE)</f>
        <v>-2.3450000000000002</v>
      </c>
      <c r="AW80" s="5">
        <f>VLOOKUP(R80,'[1]Coefficient Normal'!$A$10:$P$14,3,TRUE)</f>
        <v>0.19470000000000001</v>
      </c>
      <c r="AX80" s="5">
        <f>VLOOKUP(R80,'[1]Coefficient Normal'!$A$10:$P$14,4,TRUE)</f>
        <v>-0.2044</v>
      </c>
      <c r="AY80" s="5">
        <f>VLOOKUP(R80,'[1]Coefficient Normal'!$A$10:$P$14,5,TRUE)</f>
        <v>0.4143</v>
      </c>
      <c r="AZ80" s="5">
        <f>VLOOKUP(R80,'[1]Coefficient Normal'!$A$10:$P$14,6,TRUE)</f>
        <v>-0.55710000000000004</v>
      </c>
      <c r="BA80" s="5">
        <f>VLOOKUP(R80,'[1]Coefficient Normal'!$A$10:$P$14,7,TRUE)</f>
        <v>1.0931</v>
      </c>
      <c r="BB80" s="5">
        <f>VLOOKUP(R80,'[1]Coefficient Normal'!$A$10:$P$14,8,TRUE)</f>
        <v>1E-4</v>
      </c>
      <c r="BC80" s="5">
        <f>VLOOKUP(R80,'[1]Coefficient Normal'!$A$10:$P$14,9,TRUE)</f>
        <v>3.5000000000000001E-3</v>
      </c>
      <c r="BD80" s="5">
        <f>VLOOKUP(R80,'[1]Coefficient Normal'!$A$10:$P$14,10,TRUE)</f>
        <v>-4.07E-2</v>
      </c>
      <c r="BE80" s="5">
        <f>VLOOKUP(R80,'[1]Coefficient Normal'!$A$10:$P$14,11,TRUE)</f>
        <v>1.6000000000000001E-3</v>
      </c>
      <c r="BF80" s="5">
        <f>VLOOKUP(R80,'[1]Coefficient Normal'!$A$10:$P$14,12,TRUE)</f>
        <v>-0.65949999999999998</v>
      </c>
      <c r="BG80" s="5">
        <f>VLOOKUP(R80,'[1]Coefficient Normal'!$A$10:$P$14,13,TRUE)</f>
        <v>-3.0099999999999998E-2</v>
      </c>
      <c r="BH80" s="5">
        <f>VLOOKUP(R80,'[1]Coefficient Normal'!$A$10:$P$14,14,TRUE)</f>
        <v>0.84219999999999995</v>
      </c>
      <c r="BI80" s="5">
        <f>VLOOKUP(R80,'[1]Coefficient Normal'!$A$10:$P$14,15,TRUE)</f>
        <v>0.50680000000000003</v>
      </c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W80" s="6">
        <f t="shared" si="70"/>
        <v>1</v>
      </c>
      <c r="BX80" s="6">
        <f t="shared" si="71"/>
        <v>1</v>
      </c>
      <c r="BY80" s="6">
        <f t="shared" si="72"/>
        <v>0</v>
      </c>
      <c r="BZ80" s="5">
        <f t="shared" si="73"/>
        <v>1.2063369896131648</v>
      </c>
      <c r="CB80">
        <f t="shared" si="53"/>
        <v>-0.916290731874155</v>
      </c>
      <c r="CG80" s="5">
        <f t="shared" si="74"/>
        <v>-1.0048006519497927</v>
      </c>
      <c r="CH80" s="5">
        <f t="shared" si="75"/>
        <v>-1.2121281936344583</v>
      </c>
      <c r="CI80" s="5">
        <f t="shared" si="76"/>
        <v>0.88472078978503377</v>
      </c>
      <c r="CJ80" s="5">
        <f t="shared" si="77"/>
        <v>-0.72245276077051324</v>
      </c>
      <c r="CK80" s="5">
        <f t="shared" si="78"/>
        <v>2.8022652916582733</v>
      </c>
      <c r="CL80" s="5">
        <f t="shared" si="79"/>
        <v>6.1177861852614784E-2</v>
      </c>
      <c r="CM80" s="5">
        <f t="shared" si="80"/>
        <v>-0.53141701110905004</v>
      </c>
      <c r="CN80" s="7">
        <f t="shared" si="96"/>
        <v>0.58777150055444438</v>
      </c>
      <c r="CO80" s="14">
        <f t="shared" si="97"/>
        <v>1.0000000000000001E-5</v>
      </c>
      <c r="CP80" s="14">
        <f t="shared" si="98"/>
        <v>0.58777150055444438</v>
      </c>
      <c r="CQ80">
        <f>VLOOKUP(R80,'[1]Coefficient Normal'!$A$10:$P$14,16,TRUE)</f>
        <v>0.43780000000000002</v>
      </c>
      <c r="CR80">
        <f t="shared" si="99"/>
        <v>0.01</v>
      </c>
      <c r="CS80">
        <f t="shared" si="100"/>
        <v>0.43780000000000002</v>
      </c>
      <c r="CT80">
        <v>0.3</v>
      </c>
      <c r="CU80">
        <v>0.3</v>
      </c>
      <c r="CV80">
        <v>0.3</v>
      </c>
    </row>
    <row r="81" spans="1:100" x14ac:dyDescent="0.25">
      <c r="A81">
        <v>80</v>
      </c>
      <c r="B81">
        <v>8</v>
      </c>
      <c r="C81" t="str">
        <f t="shared" si="81"/>
        <v>Normal</v>
      </c>
      <c r="D81">
        <v>0.5</v>
      </c>
      <c r="E81">
        <f t="shared" si="82"/>
        <v>500</v>
      </c>
      <c r="F81">
        <v>9.5250000000000005E-3</v>
      </c>
      <c r="G81">
        <f t="shared" si="82"/>
        <v>9.5250000000000004</v>
      </c>
      <c r="H81" s="3">
        <f t="shared" si="83"/>
        <v>52.493438320209975</v>
      </c>
      <c r="I81" s="1">
        <v>300</v>
      </c>
      <c r="J81" s="4" t="s">
        <v>70</v>
      </c>
      <c r="K81" s="1">
        <f t="shared" si="84"/>
        <v>8</v>
      </c>
      <c r="L81" s="1">
        <f t="shared" si="85"/>
        <v>10</v>
      </c>
      <c r="M81" s="1">
        <f t="shared" si="86"/>
        <v>359000</v>
      </c>
      <c r="N81" s="1">
        <f t="shared" si="87"/>
        <v>455000</v>
      </c>
      <c r="O81" s="1">
        <f t="shared" si="88"/>
        <v>1.9969902892117808</v>
      </c>
      <c r="P81" s="3">
        <f>100*IF(J81='[1]Estimation Model Normal-Slip'!$J$8,'[1]Estimation Model Normal-Slip'!$O$8,IF(J81='[1]Estimation Model Normal-Slip'!$J$9,'[1]Estimation Model Normal-Slip'!$O$9,IF(J81='[1]Estimation Model Normal-Slip'!$J$10,'[1]Estimation Model Normal-Slip'!$O$10,IF(J81='[1]Estimation Model Normal-Slip'!$J$11,'[1]Estimation Model Normal-Slip'!$O$11,IF(J81='[1]Estimation Model Normal-Slip'!$J$12,'[1]Estimation Model Normal-Slip'!$O$12,IF(J81='[1]Estimation Model Normal-Slip'!$J$13,'[1]Estimation Model Normal-Slip'!$O$13,2))))))</f>
        <v>1.9041242414694344</v>
      </c>
      <c r="Q81" s="1">
        <f t="shared" si="89"/>
        <v>0.69164119173371341</v>
      </c>
      <c r="R81" s="1">
        <v>90</v>
      </c>
      <c r="S81" s="1" t="s">
        <v>78</v>
      </c>
      <c r="T81" t="s">
        <v>79</v>
      </c>
      <c r="U81">
        <f t="shared" si="90"/>
        <v>18</v>
      </c>
      <c r="V81" s="1">
        <f t="shared" si="91"/>
        <v>37</v>
      </c>
      <c r="W81">
        <f t="shared" si="92"/>
        <v>0</v>
      </c>
      <c r="X81">
        <f t="shared" si="93"/>
        <v>0</v>
      </c>
      <c r="Y81">
        <v>0.9</v>
      </c>
      <c r="Z81" s="1">
        <v>2</v>
      </c>
      <c r="AA81" s="1">
        <f t="shared" si="65"/>
        <v>4</v>
      </c>
      <c r="AB81">
        <f t="shared" si="94"/>
        <v>37.145531811713909</v>
      </c>
      <c r="AC81">
        <f>IF(T81="medium dense",'[1]Coefficient Normal'!$E$18 + ('[1]Coefficient Normal'!$E$19*AA81) + ('[1]Coefficient Normal'!$E$20*(AA81^2)) + ('[1]Coefficient Normal'!$E$21*(AA81^3)) + ('[1]Coefficient Normal'!$E$22*(AA81^4)),IF(T81="dense",'[1]Coefficient Normal'!$F$18 + ('[1]Coefficient Normal'!$F$19*AA81) + ('[1]Coefficient Normal'!$F$20*(AA81^2)) + ('[1]Coefficient Normal'!$F$21*(AA81^3)) + ('[1]Coefficient Normal'!$F$22*(AA81^4)),IF(T81="very dense",'[1]Coefficient Normal'!$G$18 + ('[1]Coefficient Normal'!$G$19*AA81) + ('[1]Coefficient Normal'!$G$20*(AA81^2)) + ('[1]Coefficient Normal'!$G$21*(AA81^3)) + ('[1]Coefficient Normal'!$G$22*(AA81^4)),0)))</f>
        <v>14.286272930000003</v>
      </c>
      <c r="AD81">
        <f t="shared" si="66"/>
        <v>64.071522599936642</v>
      </c>
      <c r="AE81">
        <f t="shared" si="67"/>
        <v>401.31383858985748</v>
      </c>
      <c r="AF81">
        <f t="shared" si="95"/>
        <v>5.9947437610786407</v>
      </c>
      <c r="AG81">
        <f t="shared" si="68"/>
        <v>3.9606881774094269</v>
      </c>
      <c r="AH81">
        <f t="shared" si="44"/>
        <v>3.6148434896829706</v>
      </c>
      <c r="AI81" s="1">
        <v>1.2</v>
      </c>
      <c r="AJ81" s="5">
        <f>VLOOKUP(R81,'[1]Coefficient Normal'!$A$3:$H$7,2,TRUE)</f>
        <v>14.575100000000001</v>
      </c>
      <c r="AK81" s="5">
        <f>VLOOKUP(R81,'[1]Coefficient Normal'!$A$3:$H$7,3,TRUE)</f>
        <v>0.1356</v>
      </c>
      <c r="AL81" s="5">
        <f>VLOOKUP(R81,'[1]Coefficient Normal'!$A$3:$H$7,4,TRUE)</f>
        <v>2.9990000000000001</v>
      </c>
      <c r="AM81" s="5">
        <f>VLOOKUP(R81,'[1]Coefficient Normal'!$A$3:$H$7,5,TRUE)</f>
        <v>-0.94710000000000005</v>
      </c>
      <c r="AN81" s="5">
        <f>VLOOKUP(R81,'[1]Coefficient Normal'!$A$3:$H$7,6,TRUE)</f>
        <v>0.6603</v>
      </c>
      <c r="AO81" s="5">
        <f>VLOOKUP(R81,'[1]Coefficient Normal'!$A$3:$H$7,7,TRUE)</f>
        <v>-1.2488999999999999</v>
      </c>
      <c r="AP81" s="5">
        <f>VLOOKUP(R81,'[1]Coefficient Normal'!$A$3:$H$7,8,TRUE)</f>
        <v>-0.44140000000000001</v>
      </c>
      <c r="AR81" s="5">
        <f t="shared" si="69"/>
        <v>0.89288001558423113</v>
      </c>
      <c r="AV81" s="5">
        <f>VLOOKUP(R81,'[1]Coefficient Normal'!$A$10:$P$14,2,TRUE)</f>
        <v>5.1353999999999997</v>
      </c>
      <c r="AW81" s="5">
        <f>VLOOKUP(R81,'[1]Coefficient Normal'!$A$10:$P$14,3,TRUE)</f>
        <v>-4.9599999999999998E-2</v>
      </c>
      <c r="AX81" s="5">
        <f>VLOOKUP(R81,'[1]Coefficient Normal'!$A$10:$P$14,4,TRUE)</f>
        <v>0.44590000000000002</v>
      </c>
      <c r="AY81" s="5">
        <f>VLOOKUP(R81,'[1]Coefficient Normal'!$A$10:$P$14,5,TRUE)</f>
        <v>-0.83709999999999996</v>
      </c>
      <c r="AZ81" s="5">
        <f>VLOOKUP(R81,'[1]Coefficient Normal'!$A$10:$P$14,6,TRUE)</f>
        <v>0.63090000000000002</v>
      </c>
      <c r="BA81" s="5">
        <f>VLOOKUP(R81,'[1]Coefficient Normal'!$A$10:$P$14,7,TRUE)</f>
        <v>0.91390000000000005</v>
      </c>
      <c r="BB81" s="5">
        <f>VLOOKUP(R81,'[1]Coefficient Normal'!$A$10:$P$14,8,TRUE)</f>
        <v>2.5000000000000001E-3</v>
      </c>
      <c r="BC81" s="5">
        <f>VLOOKUP(R81,'[1]Coefficient Normal'!$A$10:$P$14,9,TRUE)</f>
        <v>1.6000000000000001E-3</v>
      </c>
      <c r="BD81" s="5">
        <f>VLOOKUP(R81,'[1]Coefficient Normal'!$A$10:$P$14,10,TRUE)</f>
        <v>-9.7500000000000003E-2</v>
      </c>
      <c r="BE81" s="5">
        <f>VLOOKUP(R81,'[1]Coefficient Normal'!$A$10:$P$14,11,TRUE)</f>
        <v>1.1999999999999999E-3</v>
      </c>
      <c r="BF81" s="5">
        <f>VLOOKUP(R81,'[1]Coefficient Normal'!$A$10:$P$14,12,TRUE)</f>
        <v>0.46479999999999999</v>
      </c>
      <c r="BG81" s="5">
        <f>VLOOKUP(R81,'[1]Coefficient Normal'!$A$10:$P$14,13,TRUE)</f>
        <v>8.0000000000000004E-4</v>
      </c>
      <c r="BH81" s="5">
        <f>VLOOKUP(R81,'[1]Coefficient Normal'!$A$10:$P$14,14,TRUE)</f>
        <v>6.7900000000000002E-2</v>
      </c>
      <c r="BI81" s="5">
        <f>VLOOKUP(R81,'[1]Coefficient Normal'!$A$10:$P$14,15,TRUE)</f>
        <v>0.58979999999999999</v>
      </c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W81" s="6">
        <f t="shared" si="70"/>
        <v>1</v>
      </c>
      <c r="BX81" s="6">
        <f t="shared" si="71"/>
        <v>1</v>
      </c>
      <c r="BY81" s="6">
        <f t="shared" si="72"/>
        <v>0</v>
      </c>
      <c r="BZ81" s="5">
        <f t="shared" si="73"/>
        <v>0.97225595551353683</v>
      </c>
      <c r="CB81">
        <f t="shared" si="53"/>
        <v>0.18232155679395459</v>
      </c>
      <c r="CG81" s="5">
        <f t="shared" si="74"/>
        <v>-0.71055845879027657</v>
      </c>
      <c r="CH81" s="5">
        <f t="shared" si="75"/>
        <v>-0.69084469329936637</v>
      </c>
      <c r="CI81" s="5">
        <f t="shared" si="76"/>
        <v>-0.19645013359950758</v>
      </c>
      <c r="CJ81" s="5">
        <f t="shared" si="77"/>
        <v>1.6118587120496366</v>
      </c>
      <c r="CK81" s="5">
        <f t="shared" si="78"/>
        <v>-5.0182000023989302</v>
      </c>
      <c r="CL81" s="5">
        <f t="shared" si="79"/>
        <v>-0.43730655621526948</v>
      </c>
      <c r="CM81" s="5">
        <f t="shared" si="80"/>
        <v>0.40445732653656241</v>
      </c>
      <c r="CN81" s="7">
        <f t="shared" si="96"/>
        <v>1.4984890891045519</v>
      </c>
      <c r="CO81" s="14">
        <f t="shared" si="97"/>
        <v>1.0000000000000001E-5</v>
      </c>
      <c r="CP81" s="14">
        <f t="shared" si="98"/>
        <v>1.4984890891045519</v>
      </c>
      <c r="CQ81">
        <f>VLOOKUP(R81,'[1]Coefficient Normal'!$A$10:$P$14,16,TRUE)</f>
        <v>0.34749999999999998</v>
      </c>
      <c r="CR81">
        <f t="shared" si="99"/>
        <v>0.01</v>
      </c>
      <c r="CS81">
        <f t="shared" si="100"/>
        <v>0.34749999999999998</v>
      </c>
      <c r="CT81">
        <v>0.3</v>
      </c>
      <c r="CU81">
        <v>0.3</v>
      </c>
      <c r="CV81">
        <v>0.3</v>
      </c>
    </row>
    <row r="84" spans="1:100" x14ac:dyDescent="0.25">
      <c r="A84" t="s">
        <v>0</v>
      </c>
      <c r="B84" t="s">
        <v>82</v>
      </c>
      <c r="C84" t="s">
        <v>83</v>
      </c>
      <c r="D84" t="s">
        <v>1</v>
      </c>
      <c r="E84" t="s">
        <v>2</v>
      </c>
      <c r="F84" t="s">
        <v>3</v>
      </c>
      <c r="G84" t="s">
        <v>4</v>
      </c>
      <c r="H84" t="s">
        <v>5</v>
      </c>
      <c r="I84" t="s">
        <v>6</v>
      </c>
      <c r="J84" t="s">
        <v>7</v>
      </c>
      <c r="K84" t="s">
        <v>8</v>
      </c>
      <c r="L84" t="s">
        <v>9</v>
      </c>
      <c r="M84" t="s">
        <v>10</v>
      </c>
      <c r="N84" t="s">
        <v>11</v>
      </c>
      <c r="O84" t="s">
        <v>12</v>
      </c>
      <c r="P84" t="s">
        <v>13</v>
      </c>
      <c r="Q84" t="s">
        <v>14</v>
      </c>
      <c r="R84" t="s">
        <v>15</v>
      </c>
      <c r="S84" t="s">
        <v>16</v>
      </c>
      <c r="T84" t="s">
        <v>17</v>
      </c>
      <c r="U84" t="s">
        <v>18</v>
      </c>
      <c r="V84" t="s">
        <v>19</v>
      </c>
      <c r="W84" t="s">
        <v>20</v>
      </c>
      <c r="X84" t="s">
        <v>21</v>
      </c>
      <c r="Y84" t="s">
        <v>22</v>
      </c>
      <c r="Z84" t="s">
        <v>23</v>
      </c>
      <c r="AA84" t="s">
        <v>24</v>
      </c>
      <c r="AB84" t="s">
        <v>25</v>
      </c>
      <c r="AC84" t="s">
        <v>26</v>
      </c>
      <c r="AD84" t="s">
        <v>27</v>
      </c>
      <c r="AE84" t="s">
        <v>28</v>
      </c>
      <c r="AF84" t="s">
        <v>29</v>
      </c>
      <c r="AG84" t="s">
        <v>30</v>
      </c>
      <c r="AH84" t="s">
        <v>31</v>
      </c>
      <c r="AI84" t="s">
        <v>58</v>
      </c>
      <c r="AJ84" t="s">
        <v>32</v>
      </c>
      <c r="AK84" t="s">
        <v>33</v>
      </c>
      <c r="AL84" t="s">
        <v>34</v>
      </c>
      <c r="AM84" t="s">
        <v>35</v>
      </c>
      <c r="AN84" t="s">
        <v>36</v>
      </c>
      <c r="AO84" t="s">
        <v>37</v>
      </c>
      <c r="AP84" t="s">
        <v>38</v>
      </c>
      <c r="AQ84" t="s">
        <v>87</v>
      </c>
      <c r="AR84" t="s">
        <v>39</v>
      </c>
      <c r="AS84" t="s">
        <v>102</v>
      </c>
      <c r="AT84" t="s">
        <v>103</v>
      </c>
      <c r="AU84" t="s">
        <v>104</v>
      </c>
      <c r="AV84" t="s">
        <v>40</v>
      </c>
      <c r="AW84" t="s">
        <v>41</v>
      </c>
      <c r="AX84" t="s">
        <v>42</v>
      </c>
      <c r="AY84" t="s">
        <v>43</v>
      </c>
      <c r="AZ84" t="s">
        <v>44</v>
      </c>
      <c r="BA84" t="s">
        <v>45</v>
      </c>
      <c r="BB84" t="s">
        <v>46</v>
      </c>
      <c r="BC84" t="s">
        <v>47</v>
      </c>
      <c r="BD84" t="s">
        <v>48</v>
      </c>
      <c r="BE84" t="s">
        <v>49</v>
      </c>
      <c r="BF84" t="s">
        <v>50</v>
      </c>
      <c r="BG84" t="s">
        <v>51</v>
      </c>
      <c r="BH84" t="s">
        <v>52</v>
      </c>
      <c r="BI84" t="s">
        <v>53</v>
      </c>
      <c r="BJ84" t="s">
        <v>90</v>
      </c>
      <c r="BK84" t="s">
        <v>91</v>
      </c>
      <c r="BL84" t="s">
        <v>92</v>
      </c>
      <c r="BM84" t="s">
        <v>93</v>
      </c>
      <c r="BN84" t="s">
        <v>94</v>
      </c>
      <c r="BO84" t="s">
        <v>95</v>
      </c>
      <c r="BP84" t="s">
        <v>96</v>
      </c>
      <c r="BQ84" t="s">
        <v>97</v>
      </c>
      <c r="BR84" t="s">
        <v>98</v>
      </c>
      <c r="BS84" t="s">
        <v>99</v>
      </c>
      <c r="BT84" t="s">
        <v>84</v>
      </c>
      <c r="BU84" t="s">
        <v>88</v>
      </c>
      <c r="BV84" t="s">
        <v>89</v>
      </c>
      <c r="BW84" t="s">
        <v>56</v>
      </c>
      <c r="BX84" t="s">
        <v>54</v>
      </c>
      <c r="BY84" t="s">
        <v>55</v>
      </c>
      <c r="BZ84" t="s">
        <v>57</v>
      </c>
      <c r="CA84" t="s">
        <v>85</v>
      </c>
      <c r="CB84" t="s">
        <v>59</v>
      </c>
      <c r="CC84" t="s">
        <v>105</v>
      </c>
      <c r="CD84" t="s">
        <v>106</v>
      </c>
      <c r="CE84" t="s">
        <v>86</v>
      </c>
      <c r="CF84" t="s">
        <v>107</v>
      </c>
      <c r="CG84" t="s">
        <v>60</v>
      </c>
      <c r="CH84" t="s">
        <v>61</v>
      </c>
      <c r="CI84" t="s">
        <v>62</v>
      </c>
      <c r="CJ84" t="s">
        <v>63</v>
      </c>
      <c r="CK84" t="s">
        <v>64</v>
      </c>
      <c r="CL84" t="s">
        <v>65</v>
      </c>
      <c r="CM84" t="s">
        <v>66</v>
      </c>
      <c r="CN84" t="s">
        <v>67</v>
      </c>
      <c r="CO84" t="s">
        <v>125</v>
      </c>
      <c r="CP84" t="s">
        <v>126</v>
      </c>
      <c r="CQ84" t="s">
        <v>68</v>
      </c>
      <c r="CR84" t="s">
        <v>127</v>
      </c>
      <c r="CS84" t="s">
        <v>128</v>
      </c>
      <c r="CT84" t="s">
        <v>69</v>
      </c>
      <c r="CU84" t="s">
        <v>129</v>
      </c>
      <c r="CV84" t="s">
        <v>130</v>
      </c>
    </row>
    <row r="85" spans="1:100" x14ac:dyDescent="0.25">
      <c r="A85">
        <v>1</v>
      </c>
      <c r="B85">
        <v>105</v>
      </c>
      <c r="C85" t="s">
        <v>121</v>
      </c>
      <c r="D85">
        <v>0.20319999999999999</v>
      </c>
      <c r="E85">
        <v>203.2</v>
      </c>
      <c r="I85">
        <v>15</v>
      </c>
      <c r="AI85">
        <v>0.2</v>
      </c>
      <c r="AV85">
        <v>-5.3809078560000003</v>
      </c>
      <c r="AW85">
        <v>0.30948462400000004</v>
      </c>
      <c r="BT85">
        <v>-15</v>
      </c>
      <c r="BZ85">
        <v>4.3770199999999999</v>
      </c>
      <c r="CA85">
        <v>0.86165243557623683</v>
      </c>
      <c r="CE85">
        <v>1.2997253384540037</v>
      </c>
      <c r="CM85">
        <v>0.19964430431284885</v>
      </c>
      <c r="CN85">
        <v>1.2209683877232429</v>
      </c>
      <c r="CO85">
        <v>1.2209683877232429</v>
      </c>
      <c r="CP85">
        <v>1.0000000000000001E-5</v>
      </c>
      <c r="CQ85">
        <v>0.57099999999999995</v>
      </c>
      <c r="CR85">
        <v>0.57099999999999995</v>
      </c>
      <c r="CS85">
        <v>0.01</v>
      </c>
      <c r="CT85">
        <v>0.3</v>
      </c>
      <c r="CU85">
        <v>0.3</v>
      </c>
      <c r="CV85">
        <v>0.3</v>
      </c>
    </row>
    <row r="86" spans="1:100" x14ac:dyDescent="0.25">
      <c r="A86">
        <v>2</v>
      </c>
      <c r="B86">
        <v>145</v>
      </c>
      <c r="C86" t="s">
        <v>121</v>
      </c>
      <c r="D86">
        <v>0.30480000000000002</v>
      </c>
      <c r="E86">
        <v>304.8</v>
      </c>
      <c r="I86">
        <v>30</v>
      </c>
      <c r="AI86">
        <v>0.1</v>
      </c>
      <c r="AV86">
        <v>-5.7267367840000007</v>
      </c>
      <c r="AW86">
        <v>0.36844193599999997</v>
      </c>
      <c r="BT86">
        <v>0</v>
      </c>
      <c r="BZ86">
        <v>4.2130700000000001</v>
      </c>
      <c r="CA86">
        <v>0.81274502702446316</v>
      </c>
      <c r="CE86">
        <v>1.135063192462112</v>
      </c>
      <c r="CM86">
        <v>-0.91928881716083488</v>
      </c>
      <c r="CN86">
        <v>0.39880256179319534</v>
      </c>
      <c r="CO86">
        <v>0.39880256179319534</v>
      </c>
      <c r="CP86">
        <v>1.0000000000000001E-5</v>
      </c>
      <c r="CQ86">
        <v>0.57099999999999995</v>
      </c>
      <c r="CR86">
        <v>0.57099999999999995</v>
      </c>
      <c r="CS86">
        <v>0.01</v>
      </c>
      <c r="CT86">
        <v>0.3</v>
      </c>
      <c r="CU86">
        <v>0.3</v>
      </c>
      <c r="CV86">
        <v>0.3</v>
      </c>
    </row>
    <row r="87" spans="1:100" x14ac:dyDescent="0.25">
      <c r="A87">
        <v>3</v>
      </c>
      <c r="B87">
        <v>165</v>
      </c>
      <c r="C87" t="s">
        <v>121</v>
      </c>
      <c r="D87">
        <v>0.40639999999999998</v>
      </c>
      <c r="E87">
        <v>406.4</v>
      </c>
      <c r="I87">
        <v>50</v>
      </c>
      <c r="AI87">
        <v>0.2</v>
      </c>
      <c r="AV87">
        <v>-5.3062657120000001</v>
      </c>
      <c r="AW87">
        <v>0.396749248</v>
      </c>
      <c r="BT87">
        <v>0</v>
      </c>
      <c r="BZ87">
        <v>3.9944699999999997</v>
      </c>
      <c r="CA87">
        <v>0.92548643488770721</v>
      </c>
      <c r="CE87">
        <v>1.6259763586968217</v>
      </c>
      <c r="CM87">
        <v>9.8246857160575018E-2</v>
      </c>
      <c r="CN87">
        <v>1.1032350929790506</v>
      </c>
      <c r="CO87">
        <v>1.1032350929790506</v>
      </c>
      <c r="CP87">
        <v>1.0000000000000001E-5</v>
      </c>
      <c r="CQ87">
        <v>0.57099999999999995</v>
      </c>
      <c r="CR87">
        <v>0.57099999999999995</v>
      </c>
      <c r="CS87">
        <v>0.01</v>
      </c>
      <c r="CT87">
        <v>0.3</v>
      </c>
      <c r="CU87">
        <v>0.3</v>
      </c>
      <c r="CV87">
        <v>0.3</v>
      </c>
    </row>
    <row r="88" spans="1:100" x14ac:dyDescent="0.25">
      <c r="A88">
        <v>4</v>
      </c>
      <c r="B88">
        <v>105</v>
      </c>
      <c r="C88" t="s">
        <v>121</v>
      </c>
      <c r="D88">
        <v>0.50800000000000001</v>
      </c>
      <c r="E88">
        <v>508</v>
      </c>
      <c r="I88">
        <v>100</v>
      </c>
      <c r="AI88">
        <v>0.7</v>
      </c>
      <c r="AV88">
        <v>-3.7192446400000003</v>
      </c>
      <c r="AW88">
        <v>0.44365656000000003</v>
      </c>
      <c r="BT88">
        <v>-15</v>
      </c>
      <c r="BZ88">
        <v>3.4479699999999998</v>
      </c>
      <c r="CA88">
        <v>0.97523171491088034</v>
      </c>
      <c r="CE88">
        <v>2.1894384933683062</v>
      </c>
      <c r="CM88">
        <v>0.93498505548595112</v>
      </c>
      <c r="CN88">
        <v>2.5471753911561468</v>
      </c>
      <c r="CO88">
        <v>2.5471753911561468</v>
      </c>
      <c r="CP88">
        <v>1.0000000000000001E-5</v>
      </c>
      <c r="CQ88">
        <v>0.57099999999999995</v>
      </c>
      <c r="CR88">
        <v>0.57099999999999995</v>
      </c>
      <c r="CS88">
        <v>0.01</v>
      </c>
      <c r="CT88">
        <v>0.3</v>
      </c>
      <c r="CU88">
        <v>0.3</v>
      </c>
      <c r="CV88">
        <v>0.3</v>
      </c>
    </row>
    <row r="89" spans="1:100" x14ac:dyDescent="0.25">
      <c r="A89">
        <v>5</v>
      </c>
      <c r="B89">
        <v>145</v>
      </c>
      <c r="C89" t="s">
        <v>121</v>
      </c>
      <c r="D89">
        <v>0.60960000000000003</v>
      </c>
      <c r="E89">
        <v>609.6</v>
      </c>
      <c r="I89">
        <v>15</v>
      </c>
      <c r="AI89">
        <v>0.2</v>
      </c>
      <c r="AV89">
        <v>-5.6660735680000007</v>
      </c>
      <c r="AW89">
        <v>0.30561387200000001</v>
      </c>
      <c r="BT89">
        <v>0</v>
      </c>
      <c r="BZ89">
        <v>4.3770199999999999</v>
      </c>
      <c r="CA89">
        <v>0.92680308876036677</v>
      </c>
      <c r="CE89">
        <v>1.6352321269547774</v>
      </c>
      <c r="CM89">
        <v>1.3506475876028867</v>
      </c>
      <c r="CN89">
        <v>3.8599243606680402</v>
      </c>
      <c r="CO89">
        <v>3.8599243606680402</v>
      </c>
      <c r="CP89">
        <v>1.0000000000000001E-5</v>
      </c>
      <c r="CQ89">
        <v>0.57099999999999995</v>
      </c>
      <c r="CR89">
        <v>0.57099999999999995</v>
      </c>
      <c r="CS89">
        <v>0.01</v>
      </c>
      <c r="CT89">
        <v>0.3</v>
      </c>
      <c r="CU89">
        <v>0.3</v>
      </c>
      <c r="CV89">
        <v>0.3</v>
      </c>
    </row>
    <row r="90" spans="1:100" x14ac:dyDescent="0.25">
      <c r="A90">
        <v>6</v>
      </c>
      <c r="B90">
        <v>165</v>
      </c>
      <c r="C90" t="s">
        <v>121</v>
      </c>
      <c r="D90">
        <v>0.76200000000000001</v>
      </c>
      <c r="E90">
        <v>762</v>
      </c>
      <c r="I90">
        <v>30</v>
      </c>
      <c r="AI90">
        <v>0.3</v>
      </c>
      <c r="AV90">
        <v>-5.2755169600000009</v>
      </c>
      <c r="AW90">
        <v>0.31852483999999998</v>
      </c>
      <c r="BT90">
        <v>0</v>
      </c>
      <c r="BZ90">
        <v>4.2130700000000001</v>
      </c>
      <c r="CA90">
        <v>0.96640790579650115</v>
      </c>
      <c r="CE90">
        <v>2.0348365057620685</v>
      </c>
      <c r="CM90">
        <v>2.38831340677251</v>
      </c>
      <c r="CN90">
        <v>10.895102831591004</v>
      </c>
      <c r="CO90">
        <v>10.895102831591004</v>
      </c>
      <c r="CP90">
        <v>1.0000000000000001E-5</v>
      </c>
      <c r="CQ90">
        <v>0.57099999999999995</v>
      </c>
      <c r="CR90">
        <v>0.57099999999999995</v>
      </c>
      <c r="CS90">
        <v>0.01</v>
      </c>
      <c r="CT90">
        <v>0.3</v>
      </c>
      <c r="CU90">
        <v>0.3</v>
      </c>
      <c r="CV90">
        <v>0.3</v>
      </c>
    </row>
    <row r="91" spans="1:100" x14ac:dyDescent="0.25">
      <c r="A91">
        <v>7</v>
      </c>
      <c r="B91">
        <v>105</v>
      </c>
      <c r="C91" t="s">
        <v>121</v>
      </c>
      <c r="D91">
        <v>0.86360000000000003</v>
      </c>
      <c r="E91">
        <v>863.6</v>
      </c>
      <c r="I91">
        <v>50</v>
      </c>
      <c r="AI91">
        <v>0.5</v>
      </c>
      <c r="AV91">
        <v>-4.1687958880000009</v>
      </c>
      <c r="AW91">
        <v>0.30633215199999997</v>
      </c>
      <c r="BT91">
        <v>-15</v>
      </c>
      <c r="BZ91">
        <v>3.9944699999999997</v>
      </c>
      <c r="CA91">
        <v>0.87011511100097283</v>
      </c>
      <c r="CE91">
        <v>1.3335533378406192</v>
      </c>
      <c r="CM91">
        <v>0.35329210183794046</v>
      </c>
      <c r="CN91">
        <v>1.4237469618042953</v>
      </c>
      <c r="CO91">
        <v>1.4237469618042953</v>
      </c>
      <c r="CP91">
        <v>1.0000000000000001E-5</v>
      </c>
      <c r="CQ91">
        <v>0.57099999999999995</v>
      </c>
      <c r="CR91">
        <v>0.57099999999999995</v>
      </c>
      <c r="CS91">
        <v>0.01</v>
      </c>
      <c r="CT91">
        <v>0.3</v>
      </c>
      <c r="CU91">
        <v>0.3</v>
      </c>
      <c r="CV91">
        <v>0.3</v>
      </c>
    </row>
    <row r="92" spans="1:100" x14ac:dyDescent="0.25">
      <c r="A92">
        <v>8</v>
      </c>
      <c r="B92">
        <v>145</v>
      </c>
      <c r="C92" t="s">
        <v>121</v>
      </c>
      <c r="D92">
        <v>1.0668</v>
      </c>
      <c r="E92">
        <v>1066.8</v>
      </c>
      <c r="I92">
        <v>100</v>
      </c>
      <c r="AI92">
        <v>0.65</v>
      </c>
      <c r="AV92">
        <v>-3.8540037440000008</v>
      </c>
      <c r="AW92">
        <v>0.423146776</v>
      </c>
      <c r="BT92">
        <v>0</v>
      </c>
      <c r="BZ92">
        <v>3.4479699999999998</v>
      </c>
      <c r="CA92">
        <v>0.99282210341376143</v>
      </c>
      <c r="CE92">
        <v>2.8131503349727711</v>
      </c>
      <c r="CM92">
        <v>2.6481667698509677</v>
      </c>
      <c r="CN92">
        <v>14.128114804444175</v>
      </c>
      <c r="CO92">
        <v>14.128114804444175</v>
      </c>
      <c r="CP92">
        <v>1.0000000000000001E-5</v>
      </c>
      <c r="CQ92">
        <v>0.57099999999999995</v>
      </c>
      <c r="CR92">
        <v>0.57099999999999995</v>
      </c>
      <c r="CS92">
        <v>0.01</v>
      </c>
      <c r="CT92">
        <v>0.3</v>
      </c>
      <c r="CU92">
        <v>0.3</v>
      </c>
      <c r="CV92">
        <v>0.3</v>
      </c>
    </row>
    <row r="93" spans="1:100" x14ac:dyDescent="0.25">
      <c r="A93">
        <v>9</v>
      </c>
      <c r="B93">
        <v>165</v>
      </c>
      <c r="C93" t="s">
        <v>121</v>
      </c>
      <c r="D93">
        <v>0.60960000000000003</v>
      </c>
      <c r="E93">
        <v>609.6</v>
      </c>
      <c r="I93">
        <v>150</v>
      </c>
      <c r="AI93">
        <v>0.54</v>
      </c>
      <c r="AV93">
        <v>-3.5047235680000006</v>
      </c>
      <c r="AW93">
        <v>0.57156387200000003</v>
      </c>
      <c r="BT93">
        <v>0</v>
      </c>
      <c r="BZ93">
        <v>2.9014699999999998</v>
      </c>
      <c r="CA93">
        <v>0.99554275197613074</v>
      </c>
      <c r="CE93">
        <v>3.0520699039355779</v>
      </c>
      <c r="CM93">
        <v>1.3398579816737923</v>
      </c>
      <c r="CN93">
        <v>3.8185011697117019</v>
      </c>
      <c r="CO93">
        <v>3.8185011697117019</v>
      </c>
      <c r="CP93">
        <v>1.0000000000000001E-5</v>
      </c>
      <c r="CQ93">
        <v>0.57099999999999995</v>
      </c>
      <c r="CR93">
        <v>0.57099999999999995</v>
      </c>
      <c r="CS93">
        <v>0.01</v>
      </c>
      <c r="CT93">
        <v>0.3</v>
      </c>
      <c r="CU93">
        <v>0.3</v>
      </c>
      <c r="CV93">
        <v>0.3</v>
      </c>
    </row>
    <row r="94" spans="1:100" x14ac:dyDescent="0.25">
      <c r="A94">
        <v>10</v>
      </c>
      <c r="B94">
        <v>105</v>
      </c>
      <c r="C94" t="s">
        <v>121</v>
      </c>
      <c r="D94">
        <v>0.60960000000000003</v>
      </c>
      <c r="E94">
        <v>609.6</v>
      </c>
      <c r="I94">
        <v>200</v>
      </c>
      <c r="AI94">
        <v>0.5</v>
      </c>
      <c r="AV94">
        <v>-2.0179735680000004</v>
      </c>
      <c r="AW94">
        <v>0.62956387200000008</v>
      </c>
      <c r="BT94">
        <v>-15</v>
      </c>
      <c r="BZ94">
        <v>2.3549699999999998</v>
      </c>
      <c r="CA94">
        <v>0.56256614200607868</v>
      </c>
      <c r="CE94">
        <v>0.63657959947907028</v>
      </c>
      <c r="CM94">
        <v>-2.9888562101621514</v>
      </c>
      <c r="CN94">
        <v>5.034498788963291E-2</v>
      </c>
      <c r="CO94">
        <v>5.034498788963291E-2</v>
      </c>
      <c r="CP94">
        <v>1.0000000000000001E-5</v>
      </c>
      <c r="CQ94">
        <v>0.57099999999999995</v>
      </c>
      <c r="CR94">
        <v>0.57099999999999995</v>
      </c>
      <c r="CS94">
        <v>0.01</v>
      </c>
      <c r="CT94">
        <v>0.3</v>
      </c>
      <c r="CU94">
        <v>0.3</v>
      </c>
      <c r="CV94">
        <v>0.3</v>
      </c>
    </row>
    <row r="95" spans="1:100" x14ac:dyDescent="0.25">
      <c r="A95">
        <v>11</v>
      </c>
      <c r="B95">
        <v>145</v>
      </c>
      <c r="C95" t="s">
        <v>121</v>
      </c>
      <c r="D95">
        <v>0.20319999999999999</v>
      </c>
      <c r="E95">
        <v>203.2</v>
      </c>
      <c r="I95">
        <v>15</v>
      </c>
      <c r="AI95">
        <v>0.7</v>
      </c>
      <c r="AV95">
        <v>-6.0671578560000006</v>
      </c>
      <c r="AW95">
        <v>0.34998462400000002</v>
      </c>
      <c r="BT95">
        <v>0</v>
      </c>
      <c r="BZ95">
        <v>4.3770199999999999</v>
      </c>
      <c r="CA95">
        <v>1.3046508611021352</v>
      </c>
      <c r="CE95">
        <v>5</v>
      </c>
      <c r="CM95">
        <v>10.286341905123237</v>
      </c>
      <c r="CN95">
        <v>100</v>
      </c>
      <c r="CO95">
        <v>100</v>
      </c>
      <c r="CP95">
        <v>1.0000000000000001E-5</v>
      </c>
      <c r="CQ95">
        <v>0.57099999999999995</v>
      </c>
      <c r="CR95">
        <v>0.57099999999999995</v>
      </c>
      <c r="CS95">
        <v>0.01</v>
      </c>
      <c r="CT95">
        <v>0.3</v>
      </c>
      <c r="CU95">
        <v>0.3</v>
      </c>
      <c r="CV95">
        <v>0.3</v>
      </c>
    </row>
    <row r="96" spans="1:100" x14ac:dyDescent="0.25">
      <c r="A96">
        <v>12</v>
      </c>
      <c r="B96">
        <v>165</v>
      </c>
      <c r="C96" t="s">
        <v>121</v>
      </c>
      <c r="D96">
        <v>0.30480000000000002</v>
      </c>
      <c r="E96">
        <v>304.8</v>
      </c>
      <c r="I96">
        <v>30</v>
      </c>
      <c r="AI96">
        <v>0.6</v>
      </c>
      <c r="AV96">
        <v>-5.7267367840000007</v>
      </c>
      <c r="AW96">
        <v>0.36844193599999997</v>
      </c>
      <c r="BT96">
        <v>0</v>
      </c>
      <c r="BZ96">
        <v>4.2130700000000001</v>
      </c>
      <c r="CA96">
        <v>1.2380309750927494</v>
      </c>
      <c r="CE96">
        <v>5</v>
      </c>
      <c r="CM96">
        <v>9.570659339929211</v>
      </c>
      <c r="CN96">
        <v>100</v>
      </c>
      <c r="CO96">
        <v>100</v>
      </c>
      <c r="CP96">
        <v>1.0000000000000001E-5</v>
      </c>
      <c r="CQ96">
        <v>0.57099999999999995</v>
      </c>
      <c r="CR96">
        <v>0.57099999999999995</v>
      </c>
      <c r="CS96">
        <v>0.01</v>
      </c>
      <c r="CT96">
        <v>0.3</v>
      </c>
      <c r="CU96">
        <v>0.3</v>
      </c>
      <c r="CV96">
        <v>0.3</v>
      </c>
    </row>
    <row r="97" spans="1:100" x14ac:dyDescent="0.25">
      <c r="A97">
        <v>13</v>
      </c>
      <c r="B97">
        <v>105</v>
      </c>
      <c r="C97" t="s">
        <v>121</v>
      </c>
      <c r="D97">
        <v>0.40639999999999998</v>
      </c>
      <c r="E97">
        <v>406.4</v>
      </c>
      <c r="I97">
        <v>50</v>
      </c>
      <c r="AI97">
        <v>0.5</v>
      </c>
      <c r="AV97">
        <v>-4.6200157119999998</v>
      </c>
      <c r="AW97">
        <v>0.35624924800000002</v>
      </c>
      <c r="BT97">
        <v>-15</v>
      </c>
      <c r="BZ97">
        <v>3.9944699999999997</v>
      </c>
      <c r="CA97">
        <v>0.98307623575594627</v>
      </c>
      <c r="CE97">
        <v>2.3818428849754718</v>
      </c>
      <c r="CM97">
        <v>2.6858888779337766</v>
      </c>
      <c r="CN97">
        <v>14.671236524486245</v>
      </c>
      <c r="CO97">
        <v>14.671236524486245</v>
      </c>
      <c r="CP97">
        <v>1.0000000000000001E-5</v>
      </c>
      <c r="CQ97">
        <v>0.57099999999999995</v>
      </c>
      <c r="CR97">
        <v>0.57099999999999995</v>
      </c>
      <c r="CS97">
        <v>0.01</v>
      </c>
      <c r="CT97">
        <v>0.3</v>
      </c>
      <c r="CU97">
        <v>0.3</v>
      </c>
      <c r="CV97">
        <v>0.3</v>
      </c>
    </row>
    <row r="98" spans="1:100" x14ac:dyDescent="0.25">
      <c r="A98">
        <v>14</v>
      </c>
      <c r="B98">
        <v>145</v>
      </c>
      <c r="C98" t="s">
        <v>121</v>
      </c>
      <c r="D98">
        <v>0.50800000000000001</v>
      </c>
      <c r="E98">
        <v>508</v>
      </c>
      <c r="I98">
        <v>100</v>
      </c>
      <c r="AI98">
        <v>0.2</v>
      </c>
      <c r="AV98">
        <v>-4.4054946400000006</v>
      </c>
      <c r="AW98">
        <v>0.48415656000000001</v>
      </c>
      <c r="BT98">
        <v>0</v>
      </c>
      <c r="BZ98">
        <v>3.4479699999999998</v>
      </c>
      <c r="CA98">
        <v>0.81092838034144732</v>
      </c>
      <c r="CE98">
        <v>1.129734513403053</v>
      </c>
      <c r="CM98">
        <v>-1.6665925720327883</v>
      </c>
      <c r="CN98">
        <v>0.18888959802468036</v>
      </c>
      <c r="CO98">
        <v>0.18888959802468036</v>
      </c>
      <c r="CP98">
        <v>1.0000000000000001E-5</v>
      </c>
      <c r="CQ98">
        <v>0.57099999999999995</v>
      </c>
      <c r="CR98">
        <v>0.57099999999999995</v>
      </c>
      <c r="CS98">
        <v>0.01</v>
      </c>
      <c r="CT98">
        <v>0.3</v>
      </c>
      <c r="CU98">
        <v>0.3</v>
      </c>
      <c r="CV98">
        <v>0.3</v>
      </c>
    </row>
    <row r="99" spans="1:100" x14ac:dyDescent="0.25">
      <c r="A99">
        <v>15</v>
      </c>
      <c r="B99">
        <v>165</v>
      </c>
      <c r="C99" t="s">
        <v>121</v>
      </c>
      <c r="D99">
        <v>0.60960000000000003</v>
      </c>
      <c r="E99">
        <v>609.6</v>
      </c>
      <c r="I99">
        <v>15</v>
      </c>
      <c r="AI99">
        <v>0.4</v>
      </c>
      <c r="AV99">
        <v>-5.6660735680000007</v>
      </c>
      <c r="AW99">
        <v>0.30561387200000001</v>
      </c>
      <c r="BT99">
        <v>0</v>
      </c>
      <c r="BZ99">
        <v>4.3770199999999999</v>
      </c>
      <c r="CA99">
        <v>1.0851636127150084</v>
      </c>
      <c r="CE99">
        <v>5</v>
      </c>
      <c r="CM99">
        <v>12.360513897091685</v>
      </c>
      <c r="CN99">
        <v>100</v>
      </c>
      <c r="CO99">
        <v>100</v>
      </c>
      <c r="CP99">
        <v>1.0000000000000001E-5</v>
      </c>
      <c r="CQ99">
        <v>0.57099999999999995</v>
      </c>
      <c r="CR99">
        <v>0.57099999999999995</v>
      </c>
      <c r="CS99">
        <v>0.01</v>
      </c>
      <c r="CT99">
        <v>0.3</v>
      </c>
      <c r="CU99">
        <v>0.3</v>
      </c>
      <c r="CV99">
        <v>0.3</v>
      </c>
    </row>
    <row r="100" spans="1:100" x14ac:dyDescent="0.25">
      <c r="A100">
        <v>16</v>
      </c>
      <c r="B100">
        <v>105</v>
      </c>
      <c r="C100" t="s">
        <v>121</v>
      </c>
      <c r="D100">
        <v>0.76200000000000001</v>
      </c>
      <c r="E100">
        <v>762</v>
      </c>
      <c r="I100">
        <v>30</v>
      </c>
      <c r="AI100">
        <v>0.3</v>
      </c>
      <c r="AV100">
        <v>-4.5892669600000007</v>
      </c>
      <c r="AW100">
        <v>0.27802484</v>
      </c>
      <c r="BT100">
        <v>-15</v>
      </c>
      <c r="BZ100">
        <v>4.2130700000000001</v>
      </c>
      <c r="CA100">
        <v>0.80352193428404106</v>
      </c>
      <c r="CE100">
        <v>1.1084729310554529</v>
      </c>
      <c r="CM100">
        <v>-1.3043542960215593E-2</v>
      </c>
      <c r="CN100">
        <v>0.98704115539080384</v>
      </c>
      <c r="CO100">
        <v>0.98704115539080384</v>
      </c>
      <c r="CP100">
        <v>1.0000000000000001E-5</v>
      </c>
      <c r="CQ100">
        <v>0.57099999999999995</v>
      </c>
      <c r="CR100">
        <v>0.57099999999999995</v>
      </c>
      <c r="CS100">
        <v>0.01</v>
      </c>
      <c r="CT100">
        <v>0.3</v>
      </c>
      <c r="CU100">
        <v>0.3</v>
      </c>
      <c r="CV100">
        <v>0.3</v>
      </c>
    </row>
    <row r="101" spans="1:100" x14ac:dyDescent="0.25">
      <c r="A101">
        <v>17</v>
      </c>
      <c r="B101">
        <v>145</v>
      </c>
      <c r="C101" t="s">
        <v>121</v>
      </c>
      <c r="D101">
        <v>0.86360000000000003</v>
      </c>
      <c r="E101">
        <v>863.6</v>
      </c>
      <c r="I101">
        <v>50</v>
      </c>
      <c r="AI101">
        <v>0.5</v>
      </c>
      <c r="AV101">
        <v>-4.8550458880000011</v>
      </c>
      <c r="AW101">
        <v>0.34683215199999995</v>
      </c>
      <c r="BT101">
        <v>0</v>
      </c>
      <c r="BZ101">
        <v>3.9944699999999997</v>
      </c>
      <c r="CA101">
        <v>1.0419151245196625</v>
      </c>
      <c r="CE101">
        <v>5</v>
      </c>
      <c r="CM101">
        <v>10.416195185964192</v>
      </c>
      <c r="CN101">
        <v>100</v>
      </c>
      <c r="CO101">
        <v>100</v>
      </c>
      <c r="CP101">
        <v>1.0000000000000001E-5</v>
      </c>
      <c r="CQ101">
        <v>0.57099999999999995</v>
      </c>
      <c r="CR101">
        <v>0.57099999999999995</v>
      </c>
      <c r="CS101">
        <v>0.01</v>
      </c>
      <c r="CT101">
        <v>0.3</v>
      </c>
      <c r="CU101">
        <v>0.3</v>
      </c>
      <c r="CV101">
        <v>0.3</v>
      </c>
    </row>
    <row r="102" spans="1:100" x14ac:dyDescent="0.25">
      <c r="A102">
        <v>18</v>
      </c>
      <c r="B102">
        <v>165</v>
      </c>
      <c r="C102" t="s">
        <v>121</v>
      </c>
      <c r="D102">
        <v>1.0668</v>
      </c>
      <c r="E102">
        <v>1066.8</v>
      </c>
      <c r="I102">
        <v>100</v>
      </c>
      <c r="AI102">
        <v>0.7</v>
      </c>
      <c r="AV102">
        <v>-3.8540037440000008</v>
      </c>
      <c r="AW102">
        <v>0.423146776</v>
      </c>
      <c r="BT102">
        <v>0</v>
      </c>
      <c r="BZ102">
        <v>3.4479699999999998</v>
      </c>
      <c r="CA102">
        <v>1.0143153217868104</v>
      </c>
      <c r="CE102">
        <v>5</v>
      </c>
      <c r="CM102">
        <v>7.8162308768246405</v>
      </c>
      <c r="CN102">
        <v>100</v>
      </c>
      <c r="CO102">
        <v>100</v>
      </c>
      <c r="CP102">
        <v>1.0000000000000001E-5</v>
      </c>
      <c r="CQ102">
        <v>0.57099999999999995</v>
      </c>
      <c r="CR102">
        <v>0.57099999999999995</v>
      </c>
      <c r="CS102">
        <v>0.01</v>
      </c>
      <c r="CT102">
        <v>0.3</v>
      </c>
      <c r="CU102">
        <v>0.3</v>
      </c>
      <c r="CV102">
        <v>0.3</v>
      </c>
    </row>
    <row r="103" spans="1:100" x14ac:dyDescent="0.25">
      <c r="A103">
        <v>19</v>
      </c>
      <c r="B103">
        <v>115</v>
      </c>
      <c r="C103" t="s">
        <v>121</v>
      </c>
      <c r="D103">
        <v>0.60960000000000003</v>
      </c>
      <c r="E103">
        <v>609.6</v>
      </c>
      <c r="I103">
        <v>150</v>
      </c>
      <c r="AI103">
        <v>0.6</v>
      </c>
      <c r="AV103">
        <v>-3.2759735680000004</v>
      </c>
      <c r="AW103">
        <v>0.55806387200000007</v>
      </c>
      <c r="BT103">
        <v>-5</v>
      </c>
      <c r="BZ103">
        <v>2.9014699999999998</v>
      </c>
      <c r="CA103">
        <v>0.95301621048434415</v>
      </c>
      <c r="CE103">
        <v>1.8636637964233149</v>
      </c>
      <c r="CM103">
        <v>-0.66048298424285967</v>
      </c>
      <c r="CN103">
        <v>0.51660176371546651</v>
      </c>
      <c r="CO103">
        <v>0.51660176371546651</v>
      </c>
      <c r="CP103">
        <v>1.0000000000000001E-5</v>
      </c>
      <c r="CQ103">
        <v>0.57099999999999995</v>
      </c>
      <c r="CR103">
        <v>0.57099999999999995</v>
      </c>
      <c r="CS103">
        <v>0.01</v>
      </c>
      <c r="CT103">
        <v>0.3</v>
      </c>
      <c r="CU103">
        <v>0.3</v>
      </c>
      <c r="CV103">
        <v>0.3</v>
      </c>
    </row>
    <row r="104" spans="1:100" x14ac:dyDescent="0.25">
      <c r="A104">
        <v>20</v>
      </c>
      <c r="B104">
        <v>135</v>
      </c>
      <c r="C104" t="s">
        <v>121</v>
      </c>
      <c r="D104">
        <v>0.60960000000000003</v>
      </c>
      <c r="E104">
        <v>609.6</v>
      </c>
      <c r="I104">
        <v>200</v>
      </c>
      <c r="AI104">
        <v>1.5</v>
      </c>
      <c r="AV104">
        <v>-2.7042235680000006</v>
      </c>
      <c r="AW104">
        <v>0.67006387200000006</v>
      </c>
      <c r="BT104">
        <v>0</v>
      </c>
      <c r="BZ104">
        <v>2.3549699999999998</v>
      </c>
      <c r="CA104">
        <v>1.3204791042383408</v>
      </c>
      <c r="CE104">
        <v>5</v>
      </c>
      <c r="CM104">
        <v>3.4619752070441425</v>
      </c>
      <c r="CN104">
        <v>31.879883737745445</v>
      </c>
      <c r="CO104">
        <v>31.879883737745445</v>
      </c>
      <c r="CP104">
        <v>1.0000000000000001E-5</v>
      </c>
      <c r="CQ104">
        <v>0.57099999999999995</v>
      </c>
      <c r="CR104">
        <v>0.57099999999999995</v>
      </c>
      <c r="CS104">
        <v>0.01</v>
      </c>
      <c r="CT104">
        <v>0.3</v>
      </c>
      <c r="CU104">
        <v>0.3</v>
      </c>
      <c r="CV104">
        <v>0.3</v>
      </c>
    </row>
    <row r="105" spans="1:100" x14ac:dyDescent="0.25">
      <c r="A105">
        <v>21</v>
      </c>
      <c r="B105">
        <v>15</v>
      </c>
      <c r="C105" t="s">
        <v>122</v>
      </c>
      <c r="D105">
        <v>0.20319999999999999</v>
      </c>
      <c r="E105">
        <v>203.2</v>
      </c>
      <c r="F105">
        <v>5.5599999999999998E-3</v>
      </c>
      <c r="G105">
        <v>5.56</v>
      </c>
      <c r="H105">
        <v>36.546762589928058</v>
      </c>
      <c r="I105">
        <v>15</v>
      </c>
      <c r="J105" t="s">
        <v>70</v>
      </c>
      <c r="K105">
        <v>8</v>
      </c>
      <c r="L105">
        <v>10</v>
      </c>
      <c r="M105">
        <v>359000</v>
      </c>
      <c r="N105">
        <v>455000</v>
      </c>
      <c r="O105">
        <v>1.9969902892117808</v>
      </c>
      <c r="S105" t="s">
        <v>78</v>
      </c>
      <c r="T105" t="s">
        <v>79</v>
      </c>
      <c r="U105">
        <v>18</v>
      </c>
      <c r="V105">
        <v>37</v>
      </c>
      <c r="W105">
        <v>0</v>
      </c>
      <c r="X105">
        <v>0</v>
      </c>
      <c r="Y105">
        <v>0.9</v>
      </c>
      <c r="Z105">
        <v>1</v>
      </c>
      <c r="AB105">
        <v>7.5479720641402661</v>
      </c>
      <c r="AI105">
        <v>0.75</v>
      </c>
      <c r="AK105">
        <v>8.2856107139974745E-3</v>
      </c>
      <c r="AQ105">
        <v>1.5646389426880153E-2</v>
      </c>
      <c r="AR105">
        <v>1.0156463894268801</v>
      </c>
      <c r="AV105">
        <v>-2.307229</v>
      </c>
      <c r="AW105">
        <v>0.5852366</v>
      </c>
      <c r="AX105">
        <v>0.201322</v>
      </c>
      <c r="BJ105">
        <v>1.4274935</v>
      </c>
      <c r="BK105">
        <v>-7.1050000000000002E-3</v>
      </c>
      <c r="BL105">
        <v>5.1415999999999996E-3</v>
      </c>
      <c r="BM105">
        <v>-1.4290590000000001</v>
      </c>
      <c r="BN105">
        <v>4.9200300000000002E-2</v>
      </c>
      <c r="BO105">
        <v>0.14513599999999999</v>
      </c>
      <c r="BP105">
        <v>2.0170299999999999E-2</v>
      </c>
      <c r="BQ105">
        <v>-1.032025</v>
      </c>
      <c r="BR105">
        <v>-0.47373050310383741</v>
      </c>
      <c r="BS105">
        <v>0</v>
      </c>
      <c r="BU105">
        <v>1</v>
      </c>
      <c r="BV105">
        <v>0</v>
      </c>
      <c r="BW105">
        <v>1</v>
      </c>
      <c r="BZ105">
        <v>-0.47373050310383741</v>
      </c>
      <c r="CM105">
        <v>-0.14957085894174343</v>
      </c>
      <c r="CN105">
        <v>0.86107742082312089</v>
      </c>
      <c r="CO105">
        <v>1.0000000000000001E-5</v>
      </c>
      <c r="CP105">
        <v>0.86107742082312089</v>
      </c>
      <c r="CQ105">
        <v>0.72299999999999998</v>
      </c>
      <c r="CR105">
        <v>0.01</v>
      </c>
      <c r="CS105">
        <v>0.72299999999999998</v>
      </c>
      <c r="CT105">
        <v>0.3</v>
      </c>
      <c r="CU105">
        <v>0.3</v>
      </c>
      <c r="CV105">
        <v>0.3</v>
      </c>
    </row>
    <row r="106" spans="1:100" x14ac:dyDescent="0.25">
      <c r="A106">
        <v>22</v>
      </c>
      <c r="B106">
        <v>15</v>
      </c>
      <c r="C106" t="s">
        <v>122</v>
      </c>
      <c r="D106">
        <v>0.30480000000000002</v>
      </c>
      <c r="E106">
        <v>304.8</v>
      </c>
      <c r="F106">
        <v>7.1399999999999996E-3</v>
      </c>
      <c r="G106">
        <v>7.14</v>
      </c>
      <c r="H106">
        <v>42.689075630252105</v>
      </c>
      <c r="I106">
        <v>30</v>
      </c>
      <c r="J106" t="s">
        <v>73</v>
      </c>
      <c r="K106">
        <v>8</v>
      </c>
      <c r="L106">
        <v>12</v>
      </c>
      <c r="M106">
        <v>414000</v>
      </c>
      <c r="N106">
        <v>517000</v>
      </c>
      <c r="O106">
        <v>2.5466769467238102</v>
      </c>
      <c r="S106" t="s">
        <v>78</v>
      </c>
      <c r="T106" t="s">
        <v>79</v>
      </c>
      <c r="U106">
        <v>18</v>
      </c>
      <c r="V106">
        <v>37</v>
      </c>
      <c r="W106">
        <v>0</v>
      </c>
      <c r="X106">
        <v>0</v>
      </c>
      <c r="Y106">
        <v>0.9</v>
      </c>
      <c r="Z106">
        <v>2</v>
      </c>
      <c r="AB106">
        <v>22.6439161924208</v>
      </c>
      <c r="AI106">
        <v>0.75</v>
      </c>
      <c r="AK106">
        <v>2.1276810678546657E-2</v>
      </c>
      <c r="AQ106">
        <v>0.10176623528675607</v>
      </c>
      <c r="AR106">
        <v>1.1017662352867561</v>
      </c>
      <c r="AV106">
        <v>-2.307229</v>
      </c>
      <c r="AW106">
        <v>0.5852366</v>
      </c>
      <c r="AX106">
        <v>0.201322</v>
      </c>
      <c r="BJ106">
        <v>1.4274935</v>
      </c>
      <c r="BK106">
        <v>-7.1050000000000002E-3</v>
      </c>
      <c r="BL106">
        <v>5.1415999999999996E-3</v>
      </c>
      <c r="BM106">
        <v>-1.4290590000000001</v>
      </c>
      <c r="BN106">
        <v>4.9200300000000002E-2</v>
      </c>
      <c r="BO106">
        <v>0.14513599999999999</v>
      </c>
      <c r="BP106">
        <v>2.0170299999999999E-2</v>
      </c>
      <c r="BQ106">
        <v>-1.032025</v>
      </c>
      <c r="BR106">
        <v>-0.57875859530607965</v>
      </c>
      <c r="BS106">
        <v>0</v>
      </c>
      <c r="BU106">
        <v>1</v>
      </c>
      <c r="BV106">
        <v>0</v>
      </c>
      <c r="BW106">
        <v>1</v>
      </c>
      <c r="BZ106">
        <v>-0.57875859530607965</v>
      </c>
      <c r="CM106">
        <v>8.374965841113402E-2</v>
      </c>
      <c r="CN106">
        <v>1.0873566491419566</v>
      </c>
      <c r="CO106">
        <v>1.0000000000000001E-5</v>
      </c>
      <c r="CP106">
        <v>1.0873566491419566</v>
      </c>
      <c r="CQ106">
        <v>0.72299999999999998</v>
      </c>
      <c r="CR106">
        <v>0.01</v>
      </c>
      <c r="CS106">
        <v>0.72299999999999998</v>
      </c>
      <c r="CT106">
        <v>0.3</v>
      </c>
      <c r="CU106">
        <v>0.3</v>
      </c>
      <c r="CV106">
        <v>0.3</v>
      </c>
    </row>
    <row r="107" spans="1:100" x14ac:dyDescent="0.25">
      <c r="A107">
        <v>23</v>
      </c>
      <c r="B107">
        <v>15</v>
      </c>
      <c r="C107" t="s">
        <v>122</v>
      </c>
      <c r="D107">
        <v>0.40639999999999998</v>
      </c>
      <c r="E107">
        <v>406.4</v>
      </c>
      <c r="F107">
        <v>9.5299999999999985E-3</v>
      </c>
      <c r="G107">
        <v>9.5299999999999994</v>
      </c>
      <c r="H107">
        <v>42.644281217208821</v>
      </c>
      <c r="I107">
        <v>50</v>
      </c>
      <c r="J107" t="s">
        <v>75</v>
      </c>
      <c r="K107">
        <v>14</v>
      </c>
      <c r="L107">
        <v>15</v>
      </c>
      <c r="M107">
        <v>483000</v>
      </c>
      <c r="N107">
        <v>565000</v>
      </c>
      <c r="O107">
        <v>2.8799444073326219</v>
      </c>
      <c r="S107" t="s">
        <v>78</v>
      </c>
      <c r="T107" t="s">
        <v>79</v>
      </c>
      <c r="U107">
        <v>18</v>
      </c>
      <c r="V107">
        <v>37</v>
      </c>
      <c r="W107">
        <v>0</v>
      </c>
      <c r="X107">
        <v>0</v>
      </c>
      <c r="Y107">
        <v>0.9</v>
      </c>
      <c r="Z107">
        <v>1</v>
      </c>
      <c r="AB107">
        <v>15.095944128280532</v>
      </c>
      <c r="AI107">
        <v>0.75</v>
      </c>
      <c r="AK107">
        <v>1.5549115655496644E-2</v>
      </c>
      <c r="AQ107">
        <v>0.10682672704917365</v>
      </c>
      <c r="AR107">
        <v>1.1068267270491736</v>
      </c>
      <c r="AV107">
        <v>-2.307229</v>
      </c>
      <c r="AW107">
        <v>0.5852366</v>
      </c>
      <c r="AX107">
        <v>0.201322</v>
      </c>
      <c r="BJ107">
        <v>1.4274935</v>
      </c>
      <c r="BK107">
        <v>-7.1050000000000002E-3</v>
      </c>
      <c r="BL107">
        <v>5.1415999999999996E-3</v>
      </c>
      <c r="BM107">
        <v>-1.4290590000000001</v>
      </c>
      <c r="BN107">
        <v>4.9200300000000002E-2</v>
      </c>
      <c r="BO107">
        <v>0.14513599999999999</v>
      </c>
      <c r="BP107">
        <v>2.0170299999999999E-2</v>
      </c>
      <c r="BQ107">
        <v>-1.032025</v>
      </c>
      <c r="BR107">
        <v>-0.60734497651924468</v>
      </c>
      <c r="BS107">
        <v>0</v>
      </c>
      <c r="BU107">
        <v>1</v>
      </c>
      <c r="BV107">
        <v>0</v>
      </c>
      <c r="BW107">
        <v>1</v>
      </c>
      <c r="BZ107">
        <v>-0.60734497651924468</v>
      </c>
      <c r="CM107">
        <v>-1.9933595677024019E-2</v>
      </c>
      <c r="CN107">
        <v>0.9802637648971958</v>
      </c>
      <c r="CO107">
        <v>1.0000000000000001E-5</v>
      </c>
      <c r="CP107">
        <v>0.9802637648971958</v>
      </c>
      <c r="CQ107">
        <v>0.72299999999999998</v>
      </c>
      <c r="CR107">
        <v>0.01</v>
      </c>
      <c r="CS107">
        <v>0.72299999999999998</v>
      </c>
      <c r="CT107">
        <v>0.3</v>
      </c>
      <c r="CU107">
        <v>0.3</v>
      </c>
      <c r="CV107">
        <v>0.3</v>
      </c>
    </row>
    <row r="108" spans="1:100" x14ac:dyDescent="0.25">
      <c r="A108">
        <v>24</v>
      </c>
      <c r="B108">
        <v>30</v>
      </c>
      <c r="C108" t="s">
        <v>122</v>
      </c>
      <c r="D108">
        <v>0.50800000000000001</v>
      </c>
      <c r="E108">
        <v>508</v>
      </c>
      <c r="F108">
        <v>1.1130000000000001E-2</v>
      </c>
      <c r="G108">
        <v>11.13</v>
      </c>
      <c r="H108">
        <v>45.642407906558844</v>
      </c>
      <c r="I108">
        <v>100</v>
      </c>
      <c r="J108" t="s">
        <v>77</v>
      </c>
      <c r="K108">
        <v>15</v>
      </c>
      <c r="L108">
        <v>20</v>
      </c>
      <c r="M108">
        <v>552000</v>
      </c>
      <c r="N108">
        <v>625000</v>
      </c>
      <c r="O108">
        <v>2.9888368774026359</v>
      </c>
      <c r="S108" t="s">
        <v>78</v>
      </c>
      <c r="T108" t="s">
        <v>79</v>
      </c>
      <c r="U108">
        <v>18</v>
      </c>
      <c r="V108">
        <v>37</v>
      </c>
      <c r="W108">
        <v>0</v>
      </c>
      <c r="X108">
        <v>0</v>
      </c>
      <c r="Y108">
        <v>0.9</v>
      </c>
      <c r="Z108">
        <v>2</v>
      </c>
      <c r="AB108">
        <v>37.739860320701332</v>
      </c>
      <c r="AI108">
        <v>0.75</v>
      </c>
      <c r="AK108">
        <v>3.4007223585342139E-2</v>
      </c>
      <c r="AQ108">
        <v>0.21447307251904243</v>
      </c>
      <c r="AR108">
        <v>1.7144730725190425</v>
      </c>
      <c r="AV108">
        <v>-2.307229</v>
      </c>
      <c r="AW108">
        <v>0.5852366</v>
      </c>
      <c r="AX108">
        <v>0.201322</v>
      </c>
      <c r="BJ108">
        <v>1.4274935</v>
      </c>
      <c r="BK108">
        <v>-7.1050000000000002E-3</v>
      </c>
      <c r="BL108">
        <v>5.1415999999999996E-3</v>
      </c>
      <c r="BM108">
        <v>-1.4290590000000001</v>
      </c>
      <c r="BN108">
        <v>4.9200300000000002E-2</v>
      </c>
      <c r="BO108">
        <v>0.14513599999999999</v>
      </c>
      <c r="BP108">
        <v>2.0170299999999999E-2</v>
      </c>
      <c r="BQ108">
        <v>-1.032025</v>
      </c>
      <c r="BR108">
        <v>-0.70001772829745168</v>
      </c>
      <c r="BS108">
        <v>0</v>
      </c>
      <c r="BU108">
        <v>1</v>
      </c>
      <c r="BV108">
        <v>0</v>
      </c>
      <c r="BW108">
        <v>1</v>
      </c>
      <c r="BZ108">
        <v>-0.70001772829745168</v>
      </c>
      <c r="CM108">
        <v>0.13479469944695044</v>
      </c>
      <c r="CN108">
        <v>1.1443018344350007</v>
      </c>
      <c r="CO108">
        <v>1.0000000000000001E-5</v>
      </c>
      <c r="CP108">
        <v>1.1443018344350007</v>
      </c>
      <c r="CQ108">
        <v>0.72299999999999998</v>
      </c>
      <c r="CR108">
        <v>0.01</v>
      </c>
      <c r="CS108">
        <v>0.72299999999999998</v>
      </c>
      <c r="CT108">
        <v>0.3</v>
      </c>
      <c r="CU108">
        <v>0.3</v>
      </c>
      <c r="CV108">
        <v>0.3</v>
      </c>
    </row>
    <row r="109" spans="1:100" x14ac:dyDescent="0.25">
      <c r="A109">
        <v>25</v>
      </c>
      <c r="B109">
        <v>30</v>
      </c>
      <c r="C109" t="s">
        <v>122</v>
      </c>
      <c r="D109">
        <v>0.60960000000000003</v>
      </c>
      <c r="E109">
        <v>609.6</v>
      </c>
      <c r="F109">
        <v>9.5299999999999985E-3</v>
      </c>
      <c r="G109">
        <v>9.5299999999999994</v>
      </c>
      <c r="H109">
        <v>63.966421825813235</v>
      </c>
      <c r="I109">
        <v>15</v>
      </c>
      <c r="J109" t="s">
        <v>70</v>
      </c>
      <c r="K109">
        <v>8</v>
      </c>
      <c r="L109">
        <v>10</v>
      </c>
      <c r="M109">
        <v>359000</v>
      </c>
      <c r="N109">
        <v>455000</v>
      </c>
      <c r="O109">
        <v>1.9969902892117808</v>
      </c>
      <c r="S109" t="s">
        <v>78</v>
      </c>
      <c r="T109" t="s">
        <v>80</v>
      </c>
      <c r="U109">
        <v>18.5</v>
      </c>
      <c r="V109">
        <v>40</v>
      </c>
      <c r="W109">
        <v>0</v>
      </c>
      <c r="X109">
        <v>0</v>
      </c>
      <c r="Y109">
        <v>0.9</v>
      </c>
      <c r="Z109">
        <v>1</v>
      </c>
      <c r="AB109">
        <v>25.741129539100392</v>
      </c>
      <c r="AI109">
        <v>2.75</v>
      </c>
      <c r="AK109">
        <v>2.3022068268715178E-2</v>
      </c>
      <c r="AQ109">
        <v>8.1563860325678486E-2</v>
      </c>
      <c r="AR109">
        <v>1.0815638603256785</v>
      </c>
      <c r="AV109">
        <v>-2.307229</v>
      </c>
      <c r="AW109">
        <v>0.5852366</v>
      </c>
      <c r="AX109">
        <v>0.201322</v>
      </c>
      <c r="BJ109">
        <v>1.4274935</v>
      </c>
      <c r="BK109">
        <v>-7.1050000000000002E-3</v>
      </c>
      <c r="BL109">
        <v>5.1415999999999996E-3</v>
      </c>
      <c r="BM109">
        <v>-1.4290590000000001</v>
      </c>
      <c r="BN109">
        <v>4.9200300000000002E-2</v>
      </c>
      <c r="BO109">
        <v>0.14513599999999999</v>
      </c>
      <c r="BP109">
        <v>2.0170299999999999E-2</v>
      </c>
      <c r="BQ109">
        <v>-1.032025</v>
      </c>
      <c r="BR109">
        <v>0</v>
      </c>
      <c r="BS109">
        <v>0</v>
      </c>
      <c r="BU109">
        <v>0</v>
      </c>
      <c r="BV109">
        <v>0</v>
      </c>
      <c r="BW109">
        <v>1</v>
      </c>
      <c r="BZ109">
        <v>0</v>
      </c>
      <c r="CM109">
        <v>0.78030645715329561</v>
      </c>
      <c r="CN109">
        <v>2.1821408957267043</v>
      </c>
      <c r="CO109">
        <v>1.0000000000000001E-5</v>
      </c>
      <c r="CP109">
        <v>2.1821408957267043</v>
      </c>
      <c r="CQ109">
        <v>0.72299999999999998</v>
      </c>
      <c r="CR109">
        <v>0.01</v>
      </c>
      <c r="CS109">
        <v>0.72299999999999998</v>
      </c>
      <c r="CT109">
        <v>0.3</v>
      </c>
      <c r="CU109">
        <v>0.3</v>
      </c>
      <c r="CV109">
        <v>0.3</v>
      </c>
    </row>
    <row r="110" spans="1:100" x14ac:dyDescent="0.25">
      <c r="A110">
        <v>26</v>
      </c>
      <c r="B110">
        <v>30</v>
      </c>
      <c r="C110" t="s">
        <v>122</v>
      </c>
      <c r="D110">
        <v>0.76200000000000001</v>
      </c>
      <c r="E110">
        <v>762</v>
      </c>
      <c r="F110">
        <v>1.2699999999999999E-2</v>
      </c>
      <c r="G110">
        <v>12.7</v>
      </c>
      <c r="H110">
        <v>60</v>
      </c>
      <c r="I110">
        <v>30</v>
      </c>
      <c r="J110" t="s">
        <v>73</v>
      </c>
      <c r="K110">
        <v>8</v>
      </c>
      <c r="L110">
        <v>12</v>
      </c>
      <c r="M110">
        <v>414000</v>
      </c>
      <c r="N110">
        <v>517000</v>
      </c>
      <c r="O110">
        <v>2.5466769467238102</v>
      </c>
      <c r="S110" t="s">
        <v>78</v>
      </c>
      <c r="T110" t="s">
        <v>80</v>
      </c>
      <c r="U110">
        <v>18.5</v>
      </c>
      <c r="V110">
        <v>40</v>
      </c>
      <c r="W110">
        <v>0</v>
      </c>
      <c r="X110">
        <v>0</v>
      </c>
      <c r="Y110">
        <v>0.9</v>
      </c>
      <c r="Z110">
        <v>2</v>
      </c>
      <c r="AB110">
        <v>64.352823847750969</v>
      </c>
      <c r="AI110">
        <v>3.5</v>
      </c>
      <c r="AK110">
        <v>5.5061025879364095E-2</v>
      </c>
      <c r="AQ110">
        <v>0.24733311166742666</v>
      </c>
      <c r="AR110">
        <v>1.2473331116674267</v>
      </c>
      <c r="AV110">
        <v>-2.307229</v>
      </c>
      <c r="AW110">
        <v>0.5852366</v>
      </c>
      <c r="AX110">
        <v>0.201322</v>
      </c>
      <c r="BJ110">
        <v>1.4274935</v>
      </c>
      <c r="BK110">
        <v>-7.1050000000000002E-3</v>
      </c>
      <c r="BL110">
        <v>5.1415999999999996E-3</v>
      </c>
      <c r="BM110">
        <v>-1.4290590000000001</v>
      </c>
      <c r="BN110">
        <v>4.9200300000000002E-2</v>
      </c>
      <c r="BO110">
        <v>0.14513599999999999</v>
      </c>
      <c r="BP110">
        <v>2.0170299999999999E-2</v>
      </c>
      <c r="BQ110">
        <v>-1.032025</v>
      </c>
      <c r="BR110">
        <v>0</v>
      </c>
      <c r="BS110">
        <v>3.440732629929924E-2</v>
      </c>
      <c r="BU110">
        <v>0</v>
      </c>
      <c r="BV110">
        <v>1</v>
      </c>
      <c r="BW110">
        <v>1</v>
      </c>
      <c r="BZ110">
        <v>3.440732629929924E-2</v>
      </c>
      <c r="CM110">
        <v>1.0477384074527265</v>
      </c>
      <c r="CN110">
        <v>2.8511955782437828</v>
      </c>
      <c r="CO110">
        <v>1.0000000000000001E-5</v>
      </c>
      <c r="CP110">
        <v>2.8511955782437828</v>
      </c>
      <c r="CQ110">
        <v>0.72299999999999998</v>
      </c>
      <c r="CR110">
        <v>0.01</v>
      </c>
      <c r="CS110">
        <v>0.72299999999999998</v>
      </c>
      <c r="CT110">
        <v>0.3</v>
      </c>
      <c r="CU110">
        <v>0.3</v>
      </c>
      <c r="CV110">
        <v>0.3</v>
      </c>
    </row>
    <row r="111" spans="1:100" x14ac:dyDescent="0.25">
      <c r="A111">
        <v>27</v>
      </c>
      <c r="B111">
        <v>45</v>
      </c>
      <c r="C111" t="s">
        <v>122</v>
      </c>
      <c r="D111">
        <v>0.86360000000000003</v>
      </c>
      <c r="E111">
        <v>863.6</v>
      </c>
      <c r="F111">
        <v>1.1130000000000001E-2</v>
      </c>
      <c r="G111">
        <v>11.13</v>
      </c>
      <c r="H111">
        <v>77.592093441150041</v>
      </c>
      <c r="I111">
        <v>50</v>
      </c>
      <c r="J111" t="s">
        <v>75</v>
      </c>
      <c r="K111">
        <v>14</v>
      </c>
      <c r="L111">
        <v>15</v>
      </c>
      <c r="M111">
        <v>483000</v>
      </c>
      <c r="N111">
        <v>565000</v>
      </c>
      <c r="O111">
        <v>2.8799444073326219</v>
      </c>
      <c r="S111" t="s">
        <v>78</v>
      </c>
      <c r="T111" t="s">
        <v>80</v>
      </c>
      <c r="U111">
        <v>18.5</v>
      </c>
      <c r="V111">
        <v>40</v>
      </c>
      <c r="W111">
        <v>0</v>
      </c>
      <c r="X111">
        <v>0</v>
      </c>
      <c r="Y111">
        <v>0.9</v>
      </c>
      <c r="Z111">
        <v>1</v>
      </c>
      <c r="AB111">
        <v>36.46660018039222</v>
      </c>
      <c r="AI111">
        <v>1.5</v>
      </c>
      <c r="AK111">
        <v>3.2859347057707114E-2</v>
      </c>
      <c r="AQ111">
        <v>0.19145887314252977</v>
      </c>
      <c r="AR111">
        <v>1.1914588731425297</v>
      </c>
      <c r="AV111">
        <v>-2.307229</v>
      </c>
      <c r="AW111">
        <v>0.5852366</v>
      </c>
      <c r="AX111">
        <v>0.201322</v>
      </c>
      <c r="BJ111">
        <v>1.4274935</v>
      </c>
      <c r="BK111">
        <v>-7.1050000000000002E-3</v>
      </c>
      <c r="BL111">
        <v>5.1415999999999996E-3</v>
      </c>
      <c r="BM111">
        <v>-1.4290590000000001</v>
      </c>
      <c r="BN111">
        <v>4.9200300000000002E-2</v>
      </c>
      <c r="BO111">
        <v>0.14513599999999999</v>
      </c>
      <c r="BP111">
        <v>2.0170299999999999E-2</v>
      </c>
      <c r="BQ111">
        <v>-1.032025</v>
      </c>
      <c r="BR111">
        <v>0</v>
      </c>
      <c r="BS111">
        <v>0</v>
      </c>
      <c r="BU111">
        <v>0</v>
      </c>
      <c r="BV111">
        <v>0</v>
      </c>
      <c r="BW111">
        <v>1</v>
      </c>
      <c r="BZ111">
        <v>0</v>
      </c>
      <c r="CM111">
        <v>0.963441685919739</v>
      </c>
      <c r="CN111">
        <v>2.6207005981990892</v>
      </c>
      <c r="CO111">
        <v>1.0000000000000001E-5</v>
      </c>
      <c r="CP111">
        <v>2.6207005981990892</v>
      </c>
      <c r="CQ111">
        <v>0.72299999999999998</v>
      </c>
      <c r="CR111">
        <v>0.01</v>
      </c>
      <c r="CS111">
        <v>0.72299999999999998</v>
      </c>
      <c r="CT111">
        <v>0.3</v>
      </c>
      <c r="CU111">
        <v>0.3</v>
      </c>
      <c r="CV111">
        <v>0.3</v>
      </c>
    </row>
    <row r="112" spans="1:100" x14ac:dyDescent="0.25">
      <c r="A112">
        <v>28</v>
      </c>
      <c r="B112">
        <v>45</v>
      </c>
      <c r="C112" t="s">
        <v>122</v>
      </c>
      <c r="D112">
        <v>1.0668</v>
      </c>
      <c r="E112">
        <v>1066.8</v>
      </c>
      <c r="F112">
        <v>1.2699999999999999E-2</v>
      </c>
      <c r="G112">
        <v>12.7</v>
      </c>
      <c r="H112">
        <v>84</v>
      </c>
      <c r="I112">
        <v>100</v>
      </c>
      <c r="J112" t="s">
        <v>77</v>
      </c>
      <c r="K112">
        <v>15</v>
      </c>
      <c r="L112">
        <v>20</v>
      </c>
      <c r="M112">
        <v>552000</v>
      </c>
      <c r="N112">
        <v>625000</v>
      </c>
      <c r="O112">
        <v>2.9888368774026359</v>
      </c>
      <c r="S112" t="s">
        <v>78</v>
      </c>
      <c r="T112" t="s">
        <v>81</v>
      </c>
      <c r="U112">
        <v>19</v>
      </c>
      <c r="V112">
        <v>43</v>
      </c>
      <c r="W112">
        <v>0</v>
      </c>
      <c r="X112">
        <v>0</v>
      </c>
      <c r="Y112">
        <v>0.9</v>
      </c>
      <c r="Z112">
        <v>2</v>
      </c>
      <c r="AB112">
        <v>102.03070645435936</v>
      </c>
      <c r="AI112">
        <v>1.5</v>
      </c>
      <c r="AK112">
        <v>8.6082808953605136E-2</v>
      </c>
      <c r="AQ112">
        <v>0.46595416078021362</v>
      </c>
      <c r="AR112">
        <v>1.9659541607802136</v>
      </c>
      <c r="AV112">
        <v>-2.307229</v>
      </c>
      <c r="AW112">
        <v>0.5852366</v>
      </c>
      <c r="AX112">
        <v>0.201322</v>
      </c>
      <c r="BJ112">
        <v>1.4274935</v>
      </c>
      <c r="BK112">
        <v>-7.1050000000000002E-3</v>
      </c>
      <c r="BL112">
        <v>5.1415999999999996E-3</v>
      </c>
      <c r="BM112">
        <v>-1.4290590000000001</v>
      </c>
      <c r="BN112">
        <v>4.9200300000000002E-2</v>
      </c>
      <c r="BO112">
        <v>0.14513599999999999</v>
      </c>
      <c r="BP112">
        <v>2.0170299999999999E-2</v>
      </c>
      <c r="BQ112">
        <v>-1.032025</v>
      </c>
      <c r="BR112">
        <v>-6.8622394401109219E-2</v>
      </c>
      <c r="BS112">
        <v>0</v>
      </c>
      <c r="BU112">
        <v>1</v>
      </c>
      <c r="BV112">
        <v>0</v>
      </c>
      <c r="BW112">
        <v>1</v>
      </c>
      <c r="BZ112">
        <v>-6.8622394401109219E-2</v>
      </c>
      <c r="CM112">
        <v>1.1140829412852633</v>
      </c>
      <c r="CN112">
        <v>3.0467728280542432</v>
      </c>
      <c r="CO112">
        <v>1.0000000000000001E-5</v>
      </c>
      <c r="CP112">
        <v>3.0467728280542432</v>
      </c>
      <c r="CQ112">
        <v>0.72299999999999998</v>
      </c>
      <c r="CR112">
        <v>0.01</v>
      </c>
      <c r="CS112">
        <v>0.72299999999999998</v>
      </c>
      <c r="CT112">
        <v>0.3</v>
      </c>
      <c r="CU112">
        <v>0.3</v>
      </c>
      <c r="CV112">
        <v>0.3</v>
      </c>
    </row>
    <row r="113" spans="1:100" x14ac:dyDescent="0.25">
      <c r="A113">
        <v>29</v>
      </c>
      <c r="B113">
        <v>45</v>
      </c>
      <c r="C113" t="s">
        <v>122</v>
      </c>
      <c r="D113">
        <v>0.60960000000000003</v>
      </c>
      <c r="E113">
        <v>609.6</v>
      </c>
      <c r="F113">
        <v>1.1130000000000001E-2</v>
      </c>
      <c r="G113">
        <v>11.13</v>
      </c>
      <c r="H113">
        <v>54.770889487870619</v>
      </c>
      <c r="I113">
        <v>150</v>
      </c>
      <c r="J113" t="s">
        <v>100</v>
      </c>
      <c r="K113">
        <v>3</v>
      </c>
      <c r="L113">
        <v>9</v>
      </c>
      <c r="M113">
        <v>290000</v>
      </c>
      <c r="N113">
        <v>414000</v>
      </c>
      <c r="O113">
        <v>1.7363704307629526</v>
      </c>
      <c r="S113" t="s">
        <v>78</v>
      </c>
      <c r="T113" t="s">
        <v>81</v>
      </c>
      <c r="U113">
        <v>19</v>
      </c>
      <c r="V113">
        <v>43</v>
      </c>
      <c r="W113">
        <v>0</v>
      </c>
      <c r="X113">
        <v>0</v>
      </c>
      <c r="Y113">
        <v>0.9</v>
      </c>
      <c r="Z113">
        <v>1</v>
      </c>
      <c r="AB113">
        <v>29.151630415531248</v>
      </c>
      <c r="AI113">
        <v>1.5</v>
      </c>
      <c r="AK113">
        <v>2.5345463138869703E-2</v>
      </c>
      <c r="AQ113">
        <v>0.20709526914689702</v>
      </c>
      <c r="AR113">
        <v>1.707095269146897</v>
      </c>
      <c r="AV113">
        <v>-2.307229</v>
      </c>
      <c r="AW113">
        <v>0.5852366</v>
      </c>
      <c r="AX113">
        <v>0.201322</v>
      </c>
      <c r="BJ113">
        <v>1.4274935</v>
      </c>
      <c r="BK113">
        <v>-7.1050000000000002E-3</v>
      </c>
      <c r="BL113">
        <v>5.1415999999999996E-3</v>
      </c>
      <c r="BM113">
        <v>-1.4290590000000001</v>
      </c>
      <c r="BN113">
        <v>4.9200300000000002E-2</v>
      </c>
      <c r="BO113">
        <v>0.14513599999999999</v>
      </c>
      <c r="BP113">
        <v>2.0170299999999999E-2</v>
      </c>
      <c r="BQ113">
        <v>-1.032025</v>
      </c>
      <c r="BR113">
        <v>0</v>
      </c>
      <c r="BS113">
        <v>0</v>
      </c>
      <c r="BU113">
        <v>0</v>
      </c>
      <c r="BV113">
        <v>0</v>
      </c>
      <c r="BW113">
        <v>1</v>
      </c>
      <c r="BZ113">
        <v>0</v>
      </c>
      <c r="CM113">
        <v>0.71452669621160059</v>
      </c>
      <c r="CN113">
        <v>2.0432193898872777</v>
      </c>
      <c r="CO113">
        <v>1.0000000000000001E-5</v>
      </c>
      <c r="CP113">
        <v>2.0432193898872777</v>
      </c>
      <c r="CQ113">
        <v>0.72299999999999998</v>
      </c>
      <c r="CR113">
        <v>0.01</v>
      </c>
      <c r="CS113">
        <v>0.72299999999999998</v>
      </c>
      <c r="CT113">
        <v>0.3</v>
      </c>
      <c r="CU113">
        <v>0.3</v>
      </c>
      <c r="CV113">
        <v>0.3</v>
      </c>
    </row>
    <row r="114" spans="1:100" x14ac:dyDescent="0.25">
      <c r="A114">
        <v>30</v>
      </c>
      <c r="B114">
        <v>60</v>
      </c>
      <c r="C114" t="s">
        <v>122</v>
      </c>
      <c r="D114">
        <v>0.60960000000000003</v>
      </c>
      <c r="E114">
        <v>609.6</v>
      </c>
      <c r="F114">
        <v>1.1130000000000001E-2</v>
      </c>
      <c r="G114">
        <v>11.13</v>
      </c>
      <c r="H114">
        <v>54.770889487870619</v>
      </c>
      <c r="I114">
        <v>200</v>
      </c>
      <c r="J114" t="s">
        <v>101</v>
      </c>
      <c r="K114">
        <v>3</v>
      </c>
      <c r="L114">
        <v>8</v>
      </c>
      <c r="M114">
        <v>241000</v>
      </c>
      <c r="N114">
        <v>344000</v>
      </c>
      <c r="O114">
        <v>1.1599577949833839</v>
      </c>
      <c r="S114" t="s">
        <v>78</v>
      </c>
      <c r="T114" t="s">
        <v>81</v>
      </c>
      <c r="U114">
        <v>19</v>
      </c>
      <c r="V114">
        <v>43</v>
      </c>
      <c r="W114">
        <v>0</v>
      </c>
      <c r="X114">
        <v>0</v>
      </c>
      <c r="Y114">
        <v>0.9</v>
      </c>
      <c r="Z114">
        <v>2</v>
      </c>
      <c r="AB114">
        <v>58.303260831062495</v>
      </c>
      <c r="AI114">
        <v>2.75</v>
      </c>
      <c r="AK114">
        <v>4.7691565842539682E-2</v>
      </c>
      <c r="AQ114">
        <v>0.31151836593386051</v>
      </c>
      <c r="AR114">
        <v>1.8115183659338605</v>
      </c>
      <c r="AV114">
        <v>-2.307229</v>
      </c>
      <c r="AW114">
        <v>0.5852366</v>
      </c>
      <c r="AX114">
        <v>0.201322</v>
      </c>
      <c r="BJ114">
        <v>1.4274935</v>
      </c>
      <c r="BK114">
        <v>-7.1050000000000002E-3</v>
      </c>
      <c r="BL114">
        <v>5.1415999999999996E-3</v>
      </c>
      <c r="BM114">
        <v>-1.4290590000000001</v>
      </c>
      <c r="BN114">
        <v>4.9200300000000002E-2</v>
      </c>
      <c r="BO114">
        <v>0.14513599999999999</v>
      </c>
      <c r="BP114">
        <v>2.0170299999999999E-2</v>
      </c>
      <c r="BQ114">
        <v>-1.032025</v>
      </c>
      <c r="BR114">
        <v>0</v>
      </c>
      <c r="BS114">
        <v>0</v>
      </c>
      <c r="BU114">
        <v>0</v>
      </c>
      <c r="BV114">
        <v>0</v>
      </c>
      <c r="BW114">
        <v>1</v>
      </c>
      <c r="BZ114">
        <v>0</v>
      </c>
      <c r="CM114">
        <v>0.85407247289628985</v>
      </c>
      <c r="CN114">
        <v>2.3491944282446702</v>
      </c>
      <c r="CO114">
        <v>1.0000000000000001E-5</v>
      </c>
      <c r="CP114">
        <v>2.3491944282446702</v>
      </c>
      <c r="CQ114">
        <v>0.72299999999999998</v>
      </c>
      <c r="CR114">
        <v>0.01</v>
      </c>
      <c r="CS114">
        <v>0.72299999999999998</v>
      </c>
      <c r="CT114">
        <v>0.3</v>
      </c>
      <c r="CU114">
        <v>0.3</v>
      </c>
      <c r="CV114">
        <v>0.3</v>
      </c>
    </row>
    <row r="115" spans="1:100" x14ac:dyDescent="0.25">
      <c r="A115">
        <v>31</v>
      </c>
      <c r="B115">
        <v>60</v>
      </c>
      <c r="C115" t="s">
        <v>122</v>
      </c>
      <c r="D115">
        <v>0.20319999999999999</v>
      </c>
      <c r="E115">
        <v>203.2</v>
      </c>
      <c r="F115">
        <v>5.5599999999999998E-3</v>
      </c>
      <c r="G115">
        <v>5.56</v>
      </c>
      <c r="H115">
        <v>36.546762589928058</v>
      </c>
      <c r="I115">
        <v>15</v>
      </c>
      <c r="J115" t="s">
        <v>70</v>
      </c>
      <c r="K115">
        <v>8</v>
      </c>
      <c r="L115">
        <v>10</v>
      </c>
      <c r="M115">
        <v>359000</v>
      </c>
      <c r="N115">
        <v>455000</v>
      </c>
      <c r="O115">
        <v>1.9969902892117808</v>
      </c>
      <c r="S115" t="s">
        <v>71</v>
      </c>
      <c r="T115" t="s">
        <v>72</v>
      </c>
      <c r="U115">
        <v>17.5</v>
      </c>
      <c r="V115">
        <v>0</v>
      </c>
      <c r="W115">
        <v>37.5</v>
      </c>
      <c r="X115">
        <v>1.1000000000000001</v>
      </c>
      <c r="Y115">
        <v>0.9</v>
      </c>
      <c r="Z115">
        <v>0</v>
      </c>
      <c r="AB115">
        <v>26.332829622389642</v>
      </c>
      <c r="AI115">
        <v>0.75</v>
      </c>
      <c r="AK115">
        <v>2.350134533617947E-2</v>
      </c>
      <c r="AQ115">
        <v>7.0401619555061065E-2</v>
      </c>
      <c r="AR115">
        <v>1.070401619555061</v>
      </c>
      <c r="AV115">
        <v>-2.307229</v>
      </c>
      <c r="AW115">
        <v>0.5852366</v>
      </c>
      <c r="AX115">
        <v>0.201322</v>
      </c>
      <c r="BJ115">
        <v>1.4274935</v>
      </c>
      <c r="BK115">
        <v>-7.1050000000000002E-3</v>
      </c>
      <c r="BL115">
        <v>5.1415999999999996E-3</v>
      </c>
      <c r="BM115">
        <v>-1.4290590000000001</v>
      </c>
      <c r="BN115">
        <v>4.9200300000000002E-2</v>
      </c>
      <c r="BO115">
        <v>0.14513599999999999</v>
      </c>
      <c r="BP115">
        <v>2.0170299999999999E-2</v>
      </c>
      <c r="BQ115">
        <v>-1.032025</v>
      </c>
      <c r="BR115">
        <v>-0.51145365159113909</v>
      </c>
      <c r="BS115">
        <v>0</v>
      </c>
      <c r="BU115">
        <v>1</v>
      </c>
      <c r="BV115">
        <v>0</v>
      </c>
      <c r="BW115">
        <v>0</v>
      </c>
      <c r="BZ115">
        <v>-0.51145365159113909</v>
      </c>
      <c r="CM115">
        <v>-0.58479113632895929</v>
      </c>
      <c r="CN115">
        <v>0.55722223314007857</v>
      </c>
      <c r="CO115">
        <v>1.0000000000000001E-5</v>
      </c>
      <c r="CP115">
        <v>0.55722223314007857</v>
      </c>
      <c r="CQ115">
        <v>0.72299999999999998</v>
      </c>
      <c r="CR115">
        <v>0.01</v>
      </c>
      <c r="CS115">
        <v>0.72299999999999998</v>
      </c>
      <c r="CT115">
        <v>0.3</v>
      </c>
      <c r="CU115">
        <v>0.3</v>
      </c>
      <c r="CV115">
        <v>0.3</v>
      </c>
    </row>
    <row r="116" spans="1:100" x14ac:dyDescent="0.25">
      <c r="A116">
        <v>32</v>
      </c>
      <c r="B116">
        <v>60</v>
      </c>
      <c r="C116" t="s">
        <v>122</v>
      </c>
      <c r="D116">
        <v>0.30480000000000002</v>
      </c>
      <c r="E116">
        <v>304.8</v>
      </c>
      <c r="F116">
        <v>7.1399999999999996E-3</v>
      </c>
      <c r="G116">
        <v>7.14</v>
      </c>
      <c r="H116">
        <v>42.689075630252105</v>
      </c>
      <c r="I116">
        <v>30</v>
      </c>
      <c r="J116" t="s">
        <v>73</v>
      </c>
      <c r="K116">
        <v>8</v>
      </c>
      <c r="L116">
        <v>12</v>
      </c>
      <c r="M116">
        <v>414000</v>
      </c>
      <c r="N116">
        <v>517000</v>
      </c>
      <c r="O116">
        <v>2.5466769467238102</v>
      </c>
      <c r="S116" t="s">
        <v>71</v>
      </c>
      <c r="T116" t="s">
        <v>72</v>
      </c>
      <c r="U116">
        <v>17.5</v>
      </c>
      <c r="V116">
        <v>0</v>
      </c>
      <c r="W116">
        <v>37.5</v>
      </c>
      <c r="X116">
        <v>1.1000000000000001</v>
      </c>
      <c r="Y116">
        <v>0.9</v>
      </c>
      <c r="Z116">
        <v>0</v>
      </c>
      <c r="AB116">
        <v>39.499244433584465</v>
      </c>
      <c r="AI116">
        <v>0.75</v>
      </c>
      <c r="AK116">
        <v>3.4929626553889231E-2</v>
      </c>
      <c r="AQ116">
        <v>0.15301812852026347</v>
      </c>
      <c r="AR116">
        <v>1.1530181285202634</v>
      </c>
      <c r="AV116">
        <v>-2.307229</v>
      </c>
      <c r="AW116">
        <v>0.5852366</v>
      </c>
      <c r="AX116">
        <v>0.201322</v>
      </c>
      <c r="BJ116">
        <v>1.4274935</v>
      </c>
      <c r="BK116">
        <v>-7.1050000000000002E-3</v>
      </c>
      <c r="BL116">
        <v>5.1415999999999996E-3</v>
      </c>
      <c r="BM116">
        <v>-1.4290590000000001</v>
      </c>
      <c r="BN116">
        <v>4.9200300000000002E-2</v>
      </c>
      <c r="BO116">
        <v>0.14513599999999999</v>
      </c>
      <c r="BP116">
        <v>2.0170299999999999E-2</v>
      </c>
      <c r="BQ116">
        <v>-1.032025</v>
      </c>
      <c r="BR116">
        <v>-0.60214698226649055</v>
      </c>
      <c r="BS116">
        <v>0</v>
      </c>
      <c r="BU116">
        <v>1</v>
      </c>
      <c r="BV116">
        <v>0</v>
      </c>
      <c r="BW116">
        <v>0</v>
      </c>
      <c r="BZ116">
        <v>-0.60214698226649055</v>
      </c>
      <c r="CM116">
        <v>-0.56189437101015471</v>
      </c>
      <c r="CN116">
        <v>0.57012800624291049</v>
      </c>
      <c r="CO116">
        <v>1.0000000000000001E-5</v>
      </c>
      <c r="CP116">
        <v>0.57012800624291049</v>
      </c>
      <c r="CQ116">
        <v>0.72299999999999998</v>
      </c>
      <c r="CR116">
        <v>0.01</v>
      </c>
      <c r="CS116">
        <v>0.72299999999999998</v>
      </c>
      <c r="CT116">
        <v>0.3</v>
      </c>
      <c r="CU116">
        <v>0.3</v>
      </c>
      <c r="CV116">
        <v>0.3</v>
      </c>
    </row>
    <row r="117" spans="1:100" x14ac:dyDescent="0.25">
      <c r="A117">
        <v>33</v>
      </c>
      <c r="B117">
        <v>75</v>
      </c>
      <c r="C117" t="s">
        <v>122</v>
      </c>
      <c r="D117">
        <v>0.40639999999999998</v>
      </c>
      <c r="E117">
        <v>406.4</v>
      </c>
      <c r="F117">
        <v>9.5299999999999985E-3</v>
      </c>
      <c r="G117">
        <v>9.5299999999999994</v>
      </c>
      <c r="H117">
        <v>42.644281217208821</v>
      </c>
      <c r="I117">
        <v>50</v>
      </c>
      <c r="J117" t="s">
        <v>75</v>
      </c>
      <c r="K117">
        <v>14</v>
      </c>
      <c r="L117">
        <v>15</v>
      </c>
      <c r="M117">
        <v>483000</v>
      </c>
      <c r="N117">
        <v>565000</v>
      </c>
      <c r="O117">
        <v>2.8799444073326219</v>
      </c>
      <c r="S117" t="s">
        <v>71</v>
      </c>
      <c r="T117" t="s">
        <v>72</v>
      </c>
      <c r="U117">
        <v>17.5</v>
      </c>
      <c r="V117">
        <v>0</v>
      </c>
      <c r="W117">
        <v>37.5</v>
      </c>
      <c r="X117">
        <v>1.1000000000000001</v>
      </c>
      <c r="Y117">
        <v>0.9</v>
      </c>
      <c r="Z117">
        <v>0</v>
      </c>
      <c r="AB117">
        <v>52.665659244779285</v>
      </c>
      <c r="AI117">
        <v>0.75</v>
      </c>
      <c r="AK117">
        <v>4.5980584899860635E-2</v>
      </c>
      <c r="AQ117">
        <v>0.22103278039106702</v>
      </c>
      <c r="AR117">
        <v>1.221032780391067</v>
      </c>
      <c r="AV117">
        <v>-2.307229</v>
      </c>
      <c r="AW117">
        <v>0.5852366</v>
      </c>
      <c r="AX117">
        <v>0.201322</v>
      </c>
      <c r="BJ117">
        <v>1.4274935</v>
      </c>
      <c r="BK117">
        <v>-7.1050000000000002E-3</v>
      </c>
      <c r="BL117">
        <v>5.1415999999999996E-3</v>
      </c>
      <c r="BM117">
        <v>-1.4290590000000001</v>
      </c>
      <c r="BN117">
        <v>4.9200300000000002E-2</v>
      </c>
      <c r="BO117">
        <v>0.14513599999999999</v>
      </c>
      <c r="BP117">
        <v>2.0170299999999999E-2</v>
      </c>
      <c r="BQ117">
        <v>-1.032025</v>
      </c>
      <c r="BR117">
        <v>-0.6473721201748025</v>
      </c>
      <c r="BS117">
        <v>0</v>
      </c>
      <c r="BU117">
        <v>1</v>
      </c>
      <c r="BV117">
        <v>0</v>
      </c>
      <c r="BW117">
        <v>0</v>
      </c>
      <c r="BZ117">
        <v>-0.6473721201748025</v>
      </c>
      <c r="CM117">
        <v>-0.59642764612512122</v>
      </c>
      <c r="CN117">
        <v>0.55077569153060479</v>
      </c>
      <c r="CO117">
        <v>1.0000000000000001E-5</v>
      </c>
      <c r="CP117">
        <v>0.55077569153060479</v>
      </c>
      <c r="CQ117">
        <v>0.72299999999999998</v>
      </c>
      <c r="CR117">
        <v>0.01</v>
      </c>
      <c r="CS117">
        <v>0.72299999999999998</v>
      </c>
      <c r="CT117">
        <v>0.3</v>
      </c>
      <c r="CU117">
        <v>0.3</v>
      </c>
      <c r="CV117">
        <v>0.3</v>
      </c>
    </row>
    <row r="118" spans="1:100" x14ac:dyDescent="0.25">
      <c r="A118">
        <v>34</v>
      </c>
      <c r="B118">
        <v>75</v>
      </c>
      <c r="C118" t="s">
        <v>122</v>
      </c>
      <c r="D118">
        <v>0.50800000000000001</v>
      </c>
      <c r="E118">
        <v>508</v>
      </c>
      <c r="F118">
        <v>1.1130000000000001E-2</v>
      </c>
      <c r="G118">
        <v>11.13</v>
      </c>
      <c r="H118">
        <v>45.642407906558844</v>
      </c>
      <c r="I118">
        <v>100</v>
      </c>
      <c r="J118" t="s">
        <v>77</v>
      </c>
      <c r="K118">
        <v>15</v>
      </c>
      <c r="L118">
        <v>20</v>
      </c>
      <c r="M118">
        <v>552000</v>
      </c>
      <c r="N118">
        <v>625000</v>
      </c>
      <c r="O118">
        <v>2.9888368774026359</v>
      </c>
      <c r="S118" t="s">
        <v>71</v>
      </c>
      <c r="T118" t="s">
        <v>72</v>
      </c>
      <c r="U118">
        <v>17.5</v>
      </c>
      <c r="V118">
        <v>0</v>
      </c>
      <c r="W118">
        <v>37.5</v>
      </c>
      <c r="X118">
        <v>1.1000000000000001</v>
      </c>
      <c r="Y118">
        <v>0.9</v>
      </c>
      <c r="Z118">
        <v>0</v>
      </c>
      <c r="AB118">
        <v>65.832074055974104</v>
      </c>
      <c r="AI118">
        <v>0.75</v>
      </c>
      <c r="AK118">
        <v>5.6761916710913081E-2</v>
      </c>
      <c r="AQ118">
        <v>0.30141505236031529</v>
      </c>
      <c r="AR118">
        <v>1.8014150523603152</v>
      </c>
      <c r="AV118">
        <v>-2.307229</v>
      </c>
      <c r="AW118">
        <v>0.5852366</v>
      </c>
      <c r="AX118">
        <v>0.201322</v>
      </c>
      <c r="BJ118">
        <v>1.4274935</v>
      </c>
      <c r="BK118">
        <v>-7.1050000000000002E-3</v>
      </c>
      <c r="BL118">
        <v>5.1415999999999996E-3</v>
      </c>
      <c r="BM118">
        <v>-1.4290590000000001</v>
      </c>
      <c r="BN118">
        <v>4.9200300000000002E-2</v>
      </c>
      <c r="BO118">
        <v>0.14513599999999999</v>
      </c>
      <c r="BP118">
        <v>2.0170299999999999E-2</v>
      </c>
      <c r="BQ118">
        <v>-1.032025</v>
      </c>
      <c r="BR118">
        <v>-0.70363623213972026</v>
      </c>
      <c r="BS118">
        <v>0</v>
      </c>
      <c r="BU118">
        <v>1</v>
      </c>
      <c r="BV118">
        <v>0</v>
      </c>
      <c r="BW118">
        <v>0</v>
      </c>
      <c r="BZ118">
        <v>-0.70363623213972026</v>
      </c>
      <c r="CM118">
        <v>-0.59886235386354869</v>
      </c>
      <c r="CN118">
        <v>0.54943634481282166</v>
      </c>
      <c r="CO118">
        <v>1.0000000000000001E-5</v>
      </c>
      <c r="CP118">
        <v>0.54943634481282166</v>
      </c>
      <c r="CQ118">
        <v>0.72299999999999998</v>
      </c>
      <c r="CR118">
        <v>0.01</v>
      </c>
      <c r="CS118">
        <v>0.72299999999999998</v>
      </c>
      <c r="CT118">
        <v>0.3</v>
      </c>
      <c r="CU118">
        <v>0.3</v>
      </c>
      <c r="CV118">
        <v>0.3</v>
      </c>
    </row>
    <row r="119" spans="1:100" x14ac:dyDescent="0.25">
      <c r="A119">
        <v>35</v>
      </c>
      <c r="B119">
        <v>75</v>
      </c>
      <c r="C119" t="s">
        <v>122</v>
      </c>
      <c r="D119">
        <v>0.60960000000000003</v>
      </c>
      <c r="E119">
        <v>609.6</v>
      </c>
      <c r="F119">
        <v>9.5299999999999985E-3</v>
      </c>
      <c r="G119">
        <v>9.5299999999999994</v>
      </c>
      <c r="H119">
        <v>63.966421825813235</v>
      </c>
      <c r="I119">
        <v>15</v>
      </c>
      <c r="J119" t="s">
        <v>70</v>
      </c>
      <c r="K119">
        <v>8</v>
      </c>
      <c r="L119">
        <v>10</v>
      </c>
      <c r="M119">
        <v>359000</v>
      </c>
      <c r="N119">
        <v>455000</v>
      </c>
      <c r="O119">
        <v>1.9969902892117808</v>
      </c>
      <c r="S119" t="s">
        <v>71</v>
      </c>
      <c r="T119" t="s">
        <v>74</v>
      </c>
      <c r="U119">
        <v>18</v>
      </c>
      <c r="V119">
        <v>0</v>
      </c>
      <c r="W119">
        <v>75</v>
      </c>
      <c r="X119">
        <v>0.72</v>
      </c>
      <c r="Y119">
        <v>0.9</v>
      </c>
      <c r="Z119">
        <v>0</v>
      </c>
      <c r="AB119">
        <v>103.41620360793024</v>
      </c>
      <c r="AI119">
        <v>0.75</v>
      </c>
      <c r="AK119">
        <v>8.5938878264467361E-2</v>
      </c>
      <c r="AQ119">
        <v>0.34319449854464201</v>
      </c>
      <c r="AR119">
        <v>1.343194498544642</v>
      </c>
      <c r="AV119">
        <v>-2.307229</v>
      </c>
      <c r="AW119">
        <v>0.5852366</v>
      </c>
      <c r="AX119">
        <v>0.201322</v>
      </c>
      <c r="BJ119">
        <v>1.4274935</v>
      </c>
      <c r="BK119">
        <v>-7.1050000000000002E-3</v>
      </c>
      <c r="BL119">
        <v>5.1415999999999996E-3</v>
      </c>
      <c r="BM119">
        <v>-1.4290590000000001</v>
      </c>
      <c r="BN119">
        <v>4.9200300000000002E-2</v>
      </c>
      <c r="BO119">
        <v>0.14513599999999999</v>
      </c>
      <c r="BP119">
        <v>2.0170299999999999E-2</v>
      </c>
      <c r="BQ119">
        <v>-1.032025</v>
      </c>
      <c r="BR119">
        <v>-0.64451052521418639</v>
      </c>
      <c r="BS119">
        <v>0</v>
      </c>
      <c r="BU119">
        <v>1</v>
      </c>
      <c r="BV119">
        <v>0</v>
      </c>
      <c r="BW119">
        <v>0</v>
      </c>
      <c r="BZ119">
        <v>-0.64451052521418639</v>
      </c>
      <c r="CM119">
        <v>-0.35698842861680458</v>
      </c>
      <c r="CN119">
        <v>0.69978059511718083</v>
      </c>
      <c r="CO119">
        <v>1.0000000000000001E-5</v>
      </c>
      <c r="CP119">
        <v>0.69978059511718083</v>
      </c>
      <c r="CQ119">
        <v>0.72299999999999998</v>
      </c>
      <c r="CR119">
        <v>0.01</v>
      </c>
      <c r="CS119">
        <v>0.72299999999999998</v>
      </c>
      <c r="CT119">
        <v>0.3</v>
      </c>
      <c r="CU119">
        <v>0.3</v>
      </c>
      <c r="CV119">
        <v>0.3</v>
      </c>
    </row>
    <row r="120" spans="1:100" x14ac:dyDescent="0.25">
      <c r="A120">
        <v>36</v>
      </c>
      <c r="B120">
        <v>80</v>
      </c>
      <c r="C120" t="s">
        <v>122</v>
      </c>
      <c r="D120">
        <v>0.76200000000000001</v>
      </c>
      <c r="E120">
        <v>762</v>
      </c>
      <c r="F120">
        <v>1.2699999999999999E-2</v>
      </c>
      <c r="G120">
        <v>12.7</v>
      </c>
      <c r="H120">
        <v>60</v>
      </c>
      <c r="I120">
        <v>30</v>
      </c>
      <c r="J120" t="s">
        <v>73</v>
      </c>
      <c r="K120">
        <v>8</v>
      </c>
      <c r="L120">
        <v>12</v>
      </c>
      <c r="M120">
        <v>414000</v>
      </c>
      <c r="N120">
        <v>517000</v>
      </c>
      <c r="O120">
        <v>2.5466769467238102</v>
      </c>
      <c r="S120" t="s">
        <v>71</v>
      </c>
      <c r="T120" t="s">
        <v>74</v>
      </c>
      <c r="U120">
        <v>18</v>
      </c>
      <c r="V120">
        <v>0</v>
      </c>
      <c r="W120">
        <v>75</v>
      </c>
      <c r="X120">
        <v>0.72</v>
      </c>
      <c r="Y120">
        <v>0.9</v>
      </c>
      <c r="Z120">
        <v>0</v>
      </c>
      <c r="AB120">
        <v>129.2702545099128</v>
      </c>
      <c r="AI120">
        <v>1.5</v>
      </c>
      <c r="AK120">
        <v>0.10764414471571518</v>
      </c>
      <c r="AQ120">
        <v>0.46262651833971924</v>
      </c>
      <c r="AR120">
        <v>1.4626265183397194</v>
      </c>
      <c r="AV120">
        <v>-2.307229</v>
      </c>
      <c r="AW120">
        <v>0.5852366</v>
      </c>
      <c r="AX120">
        <v>0.201322</v>
      </c>
      <c r="BJ120">
        <v>1.4274935</v>
      </c>
      <c r="BK120">
        <v>-7.1050000000000002E-3</v>
      </c>
      <c r="BL120">
        <v>5.1415999999999996E-3</v>
      </c>
      <c r="BM120">
        <v>-1.4290590000000001</v>
      </c>
      <c r="BN120">
        <v>4.9200300000000002E-2</v>
      </c>
      <c r="BO120">
        <v>0.14513599999999999</v>
      </c>
      <c r="BP120">
        <v>2.0170299999999999E-2</v>
      </c>
      <c r="BQ120">
        <v>-1.032025</v>
      </c>
      <c r="BR120">
        <v>-4.6730844270599627E-2</v>
      </c>
      <c r="BS120">
        <v>0</v>
      </c>
      <c r="BU120">
        <v>1</v>
      </c>
      <c r="BV120">
        <v>0</v>
      </c>
      <c r="BW120">
        <v>0</v>
      </c>
      <c r="BZ120">
        <v>-4.6730844270599627E-2</v>
      </c>
      <c r="CM120">
        <v>1.8835024417450885E-2</v>
      </c>
      <c r="CN120">
        <v>1.0190135223999457</v>
      </c>
      <c r="CO120">
        <v>1.0000000000000001E-5</v>
      </c>
      <c r="CP120">
        <v>1.0190135223999457</v>
      </c>
      <c r="CQ120">
        <v>0.72299999999999998</v>
      </c>
      <c r="CR120">
        <v>0.01</v>
      </c>
      <c r="CS120">
        <v>0.72299999999999998</v>
      </c>
      <c r="CT120">
        <v>0.3</v>
      </c>
      <c r="CU120">
        <v>0.3</v>
      </c>
      <c r="CV120">
        <v>0.3</v>
      </c>
    </row>
    <row r="121" spans="1:100" x14ac:dyDescent="0.25">
      <c r="A121">
        <v>37</v>
      </c>
      <c r="B121">
        <v>80</v>
      </c>
      <c r="C121" t="s">
        <v>122</v>
      </c>
      <c r="D121">
        <v>0.86360000000000003</v>
      </c>
      <c r="E121">
        <v>863.6</v>
      </c>
      <c r="F121">
        <v>1.1130000000000001E-2</v>
      </c>
      <c r="G121">
        <v>11.13</v>
      </c>
      <c r="H121">
        <v>77.592093441150041</v>
      </c>
      <c r="I121">
        <v>50</v>
      </c>
      <c r="J121" t="s">
        <v>75</v>
      </c>
      <c r="K121">
        <v>14</v>
      </c>
      <c r="L121">
        <v>15</v>
      </c>
      <c r="M121">
        <v>483000</v>
      </c>
      <c r="N121">
        <v>565000</v>
      </c>
      <c r="O121">
        <v>2.8799444073326219</v>
      </c>
      <c r="S121" t="s">
        <v>71</v>
      </c>
      <c r="T121" t="s">
        <v>74</v>
      </c>
      <c r="U121">
        <v>18</v>
      </c>
      <c r="V121">
        <v>0</v>
      </c>
      <c r="W121">
        <v>75</v>
      </c>
      <c r="X121">
        <v>0.72</v>
      </c>
      <c r="Y121">
        <v>0.9</v>
      </c>
      <c r="Z121">
        <v>0</v>
      </c>
      <c r="AB121">
        <v>146.50628844456784</v>
      </c>
      <c r="AI121">
        <v>1.5</v>
      </c>
      <c r="AK121">
        <v>0.12199149455168937</v>
      </c>
      <c r="AQ121">
        <v>0.57931434087634726</v>
      </c>
      <c r="AR121">
        <v>1.5793143408763473</v>
      </c>
      <c r="AV121">
        <v>-2.307229</v>
      </c>
      <c r="AW121">
        <v>0.5852366</v>
      </c>
      <c r="AX121">
        <v>0.201322</v>
      </c>
      <c r="BJ121">
        <v>1.4274935</v>
      </c>
      <c r="BK121">
        <v>-7.1050000000000002E-3</v>
      </c>
      <c r="BL121">
        <v>5.1415999999999996E-3</v>
      </c>
      <c r="BM121">
        <v>-1.4290590000000001</v>
      </c>
      <c r="BN121">
        <v>4.9200300000000002E-2</v>
      </c>
      <c r="BO121">
        <v>0.14513599999999999</v>
      </c>
      <c r="BP121">
        <v>2.0170299999999999E-2</v>
      </c>
      <c r="BQ121">
        <v>-1.032025</v>
      </c>
      <c r="BR121">
        <v>-0.13656097636803749</v>
      </c>
      <c r="BS121">
        <v>0</v>
      </c>
      <c r="BU121">
        <v>1</v>
      </c>
      <c r="BV121">
        <v>0</v>
      </c>
      <c r="BW121">
        <v>0</v>
      </c>
      <c r="BZ121">
        <v>-0.13656097636803749</v>
      </c>
      <c r="CM121">
        <v>3.4566429204756499E-2</v>
      </c>
      <c r="CN121">
        <v>1.0351707916646211</v>
      </c>
      <c r="CO121">
        <v>1.0000000000000001E-5</v>
      </c>
      <c r="CP121">
        <v>1.0351707916646211</v>
      </c>
      <c r="CQ121">
        <v>0.72299999999999998</v>
      </c>
      <c r="CR121">
        <v>0.01</v>
      </c>
      <c r="CS121">
        <v>0.72299999999999998</v>
      </c>
      <c r="CT121">
        <v>0.3</v>
      </c>
      <c r="CU121">
        <v>0.3</v>
      </c>
      <c r="CV121">
        <v>0.3</v>
      </c>
    </row>
    <row r="122" spans="1:100" x14ac:dyDescent="0.25">
      <c r="A122">
        <v>38</v>
      </c>
      <c r="B122">
        <v>85</v>
      </c>
      <c r="C122" t="s">
        <v>122</v>
      </c>
      <c r="D122">
        <v>1.0668</v>
      </c>
      <c r="E122">
        <v>1066.8</v>
      </c>
      <c r="F122">
        <v>1.2699999999999999E-2</v>
      </c>
      <c r="G122">
        <v>12.7</v>
      </c>
      <c r="H122">
        <v>84</v>
      </c>
      <c r="I122">
        <v>100</v>
      </c>
      <c r="J122" t="s">
        <v>77</v>
      </c>
      <c r="K122">
        <v>15</v>
      </c>
      <c r="L122">
        <v>20</v>
      </c>
      <c r="M122">
        <v>552000</v>
      </c>
      <c r="N122">
        <v>625000</v>
      </c>
      <c r="O122">
        <v>2.9888368774026359</v>
      </c>
      <c r="S122" t="s">
        <v>71</v>
      </c>
      <c r="T122" t="s">
        <v>76</v>
      </c>
      <c r="U122">
        <v>18.5</v>
      </c>
      <c r="V122">
        <v>0</v>
      </c>
      <c r="W122">
        <v>125</v>
      </c>
      <c r="X122">
        <v>0.4</v>
      </c>
      <c r="Y122">
        <v>0.9</v>
      </c>
      <c r="Z122">
        <v>0</v>
      </c>
      <c r="AB122">
        <v>167.57255214247957</v>
      </c>
      <c r="AI122">
        <v>1.5</v>
      </c>
      <c r="AK122">
        <v>0.13917170396098252</v>
      </c>
      <c r="AQ122">
        <v>0.70118132861093019</v>
      </c>
      <c r="AR122">
        <v>2.2011813286109301</v>
      </c>
      <c r="AV122">
        <v>-2.307229</v>
      </c>
      <c r="AW122">
        <v>0.5852366</v>
      </c>
      <c r="AX122">
        <v>0.201322</v>
      </c>
      <c r="BJ122">
        <v>1.4274935</v>
      </c>
      <c r="BK122">
        <v>-7.1050000000000002E-3</v>
      </c>
      <c r="BL122">
        <v>5.1415999999999996E-3</v>
      </c>
      <c r="BM122">
        <v>-1.4290590000000001</v>
      </c>
      <c r="BN122">
        <v>4.9200300000000002E-2</v>
      </c>
      <c r="BO122">
        <v>0.14513599999999999</v>
      </c>
      <c r="BP122">
        <v>2.0170299999999999E-2</v>
      </c>
      <c r="BQ122">
        <v>-1.032025</v>
      </c>
      <c r="BR122">
        <v>-0.19777054799268215</v>
      </c>
      <c r="BS122">
        <v>0</v>
      </c>
      <c r="BU122">
        <v>1</v>
      </c>
      <c r="BV122">
        <v>0</v>
      </c>
      <c r="BW122">
        <v>0</v>
      </c>
      <c r="BZ122">
        <v>-0.19777054799268215</v>
      </c>
      <c r="CM122">
        <v>-1.0808663411078889E-2</v>
      </c>
      <c r="CN122">
        <v>0.98924954030109691</v>
      </c>
      <c r="CO122">
        <v>1.0000000000000001E-5</v>
      </c>
      <c r="CP122">
        <v>0.98924954030109691</v>
      </c>
      <c r="CQ122">
        <v>0.72299999999999998</v>
      </c>
      <c r="CR122">
        <v>0.01</v>
      </c>
      <c r="CS122">
        <v>0.72299999999999998</v>
      </c>
      <c r="CT122">
        <v>0.3</v>
      </c>
      <c r="CU122">
        <v>0.3</v>
      </c>
      <c r="CV122">
        <v>0.3</v>
      </c>
    </row>
    <row r="123" spans="1:100" x14ac:dyDescent="0.25">
      <c r="A123">
        <v>39</v>
      </c>
      <c r="B123">
        <v>85</v>
      </c>
      <c r="C123" t="s">
        <v>122</v>
      </c>
      <c r="D123">
        <v>0.60960000000000003</v>
      </c>
      <c r="E123">
        <v>609.6</v>
      </c>
      <c r="F123">
        <v>1.1130000000000001E-2</v>
      </c>
      <c r="G123">
        <v>11.13</v>
      </c>
      <c r="H123">
        <v>54.770889487870619</v>
      </c>
      <c r="I123">
        <v>150</v>
      </c>
      <c r="J123" t="s">
        <v>100</v>
      </c>
      <c r="K123">
        <v>3</v>
      </c>
      <c r="L123">
        <v>9</v>
      </c>
      <c r="M123">
        <v>290000</v>
      </c>
      <c r="N123">
        <v>414000</v>
      </c>
      <c r="O123">
        <v>1.7363704307629526</v>
      </c>
      <c r="S123" t="s">
        <v>71</v>
      </c>
      <c r="T123" t="s">
        <v>76</v>
      </c>
      <c r="U123">
        <v>18.5</v>
      </c>
      <c r="V123">
        <v>0</v>
      </c>
      <c r="W123">
        <v>125</v>
      </c>
      <c r="X123">
        <v>0.4</v>
      </c>
      <c r="Y123">
        <v>0.9</v>
      </c>
      <c r="Z123">
        <v>0</v>
      </c>
      <c r="AB123">
        <v>95.755744081416907</v>
      </c>
      <c r="AI123">
        <v>7.5</v>
      </c>
      <c r="AK123">
        <v>7.9294795208237082E-2</v>
      </c>
      <c r="AQ123">
        <v>0.42306301468311602</v>
      </c>
      <c r="AR123">
        <v>1.923063014683116</v>
      </c>
      <c r="AV123">
        <v>-2.307229</v>
      </c>
      <c r="AW123">
        <v>0.5852366</v>
      </c>
      <c r="AX123">
        <v>0.201322</v>
      </c>
      <c r="BJ123">
        <v>1.4274935</v>
      </c>
      <c r="BK123">
        <v>-7.1050000000000002E-3</v>
      </c>
      <c r="BL123">
        <v>5.1415999999999996E-3</v>
      </c>
      <c r="BM123">
        <v>-1.4290590000000001</v>
      </c>
      <c r="BN123">
        <v>4.9200300000000002E-2</v>
      </c>
      <c r="BO123">
        <v>0.14513599999999999</v>
      </c>
      <c r="BP123">
        <v>2.0170299999999999E-2</v>
      </c>
      <c r="BQ123">
        <v>-1.032025</v>
      </c>
      <c r="BR123">
        <v>0</v>
      </c>
      <c r="BS123">
        <v>2.3499863959925666</v>
      </c>
      <c r="BU123">
        <v>0</v>
      </c>
      <c r="BV123">
        <v>1</v>
      </c>
      <c r="BW123">
        <v>0</v>
      </c>
      <c r="BZ123">
        <v>2.3499863959925666</v>
      </c>
      <c r="CM123">
        <v>17.660464038190291</v>
      </c>
      <c r="CN123">
        <v>40</v>
      </c>
      <c r="CO123">
        <v>1.0000000000000001E-5</v>
      </c>
      <c r="CP123">
        <v>40</v>
      </c>
      <c r="CQ123">
        <v>0.72299999999999998</v>
      </c>
      <c r="CR123">
        <v>0.01</v>
      </c>
      <c r="CS123">
        <v>0.72299999999999998</v>
      </c>
      <c r="CT123">
        <v>0.3</v>
      </c>
      <c r="CU123">
        <v>0.3</v>
      </c>
      <c r="CV123">
        <v>0.3</v>
      </c>
    </row>
    <row r="124" spans="1:100" x14ac:dyDescent="0.25">
      <c r="A124">
        <v>40</v>
      </c>
      <c r="B124">
        <v>85</v>
      </c>
      <c r="C124" t="s">
        <v>122</v>
      </c>
      <c r="D124">
        <v>0.60960000000000003</v>
      </c>
      <c r="E124">
        <v>609.6</v>
      </c>
      <c r="F124">
        <v>1.1130000000000001E-2</v>
      </c>
      <c r="G124">
        <v>11.13</v>
      </c>
      <c r="H124">
        <v>54.770889487870619</v>
      </c>
      <c r="I124">
        <v>200</v>
      </c>
      <c r="J124" t="s">
        <v>101</v>
      </c>
      <c r="K124">
        <v>3</v>
      </c>
      <c r="L124">
        <v>8</v>
      </c>
      <c r="M124">
        <v>241000</v>
      </c>
      <c r="N124">
        <v>344000</v>
      </c>
      <c r="O124">
        <v>1.1599577949833839</v>
      </c>
      <c r="S124" t="s">
        <v>71</v>
      </c>
      <c r="T124" t="s">
        <v>76</v>
      </c>
      <c r="U124">
        <v>18.5</v>
      </c>
      <c r="V124">
        <v>0</v>
      </c>
      <c r="W124">
        <v>125</v>
      </c>
      <c r="X124">
        <v>0.4</v>
      </c>
      <c r="Y124">
        <v>0.9</v>
      </c>
      <c r="Z124">
        <v>0</v>
      </c>
      <c r="AB124">
        <v>95.755744081416907</v>
      </c>
      <c r="AI124">
        <v>3.5</v>
      </c>
      <c r="AK124">
        <v>7.8028077275326749E-2</v>
      </c>
      <c r="AQ124">
        <v>0.43296023982302467</v>
      </c>
      <c r="AR124">
        <v>1.9329602398230246</v>
      </c>
      <c r="AV124">
        <v>-2.307229</v>
      </c>
      <c r="AW124">
        <v>0.5852366</v>
      </c>
      <c r="AX124">
        <v>0.201322</v>
      </c>
      <c r="BJ124">
        <v>1.4274935</v>
      </c>
      <c r="BK124">
        <v>-7.1050000000000002E-3</v>
      </c>
      <c r="BL124">
        <v>5.1415999999999996E-3</v>
      </c>
      <c r="BM124">
        <v>-1.4290590000000001</v>
      </c>
      <c r="BN124">
        <v>4.9200300000000002E-2</v>
      </c>
      <c r="BO124">
        <v>0.14513599999999999</v>
      </c>
      <c r="BP124">
        <v>2.0170299999999999E-2</v>
      </c>
      <c r="BQ124">
        <v>-1.032025</v>
      </c>
      <c r="BR124">
        <v>0</v>
      </c>
      <c r="BS124">
        <v>0</v>
      </c>
      <c r="BU124">
        <v>0</v>
      </c>
      <c r="BV124">
        <v>0</v>
      </c>
      <c r="BW124">
        <v>0</v>
      </c>
      <c r="BZ124">
        <v>0</v>
      </c>
      <c r="CM124">
        <v>3.5566068246042359E-2</v>
      </c>
      <c r="CN124">
        <v>1.0362061061865622</v>
      </c>
      <c r="CO124">
        <v>1.0000000000000001E-5</v>
      </c>
      <c r="CP124">
        <v>1.0362061061865622</v>
      </c>
      <c r="CQ124">
        <v>0.72299999999999998</v>
      </c>
      <c r="CR124">
        <v>0.01</v>
      </c>
      <c r="CS124">
        <v>0.72299999999999998</v>
      </c>
      <c r="CT124">
        <v>0.3</v>
      </c>
      <c r="CU124">
        <v>0.3</v>
      </c>
      <c r="CV124">
        <v>0.3</v>
      </c>
    </row>
    <row r="125" spans="1:100" x14ac:dyDescent="0.25">
      <c r="A125">
        <v>41</v>
      </c>
      <c r="B125">
        <v>170</v>
      </c>
      <c r="C125" t="s">
        <v>123</v>
      </c>
      <c r="D125">
        <v>0.20319999999999999</v>
      </c>
      <c r="E125">
        <v>203.2</v>
      </c>
      <c r="F125">
        <v>1.11252E-2</v>
      </c>
      <c r="G125">
        <v>11.1252</v>
      </c>
      <c r="H125">
        <v>18.264840182648403</v>
      </c>
      <c r="I125">
        <v>30</v>
      </c>
      <c r="R125">
        <v>75</v>
      </c>
      <c r="S125" t="s">
        <v>78</v>
      </c>
      <c r="T125" t="s">
        <v>79</v>
      </c>
      <c r="U125">
        <v>18</v>
      </c>
      <c r="V125">
        <v>37</v>
      </c>
      <c r="W125">
        <v>0</v>
      </c>
      <c r="X125">
        <v>0</v>
      </c>
      <c r="Y125">
        <v>0.9</v>
      </c>
      <c r="Z125">
        <v>1</v>
      </c>
      <c r="AB125">
        <v>7.5479720641402661</v>
      </c>
      <c r="AH125">
        <v>2.0212789264051603</v>
      </c>
      <c r="AI125">
        <v>0.1</v>
      </c>
      <c r="AS125">
        <v>-15</v>
      </c>
      <c r="AT125">
        <v>1</v>
      </c>
      <c r="AU125">
        <v>2.9049779102855271</v>
      </c>
      <c r="AV125">
        <v>-4.4880595200000002</v>
      </c>
      <c r="AW125">
        <v>0.28637503999999997</v>
      </c>
      <c r="AX125">
        <v>3.4085807039999998</v>
      </c>
      <c r="AY125">
        <v>0.30408470123424092</v>
      </c>
      <c r="BZ125">
        <v>3.6339003999999999</v>
      </c>
      <c r="CB125">
        <v>-2.3025850929940455</v>
      </c>
      <c r="CC125">
        <v>2.1854744270059547</v>
      </c>
      <c r="CD125">
        <v>0.60141285848284531</v>
      </c>
      <c r="CE125">
        <v>0.69535770349394732</v>
      </c>
      <c r="CF125">
        <v>2.4281365565027855</v>
      </c>
      <c r="CM125">
        <v>-0.6763594462629734</v>
      </c>
      <c r="CN125">
        <v>0.50846472008565746</v>
      </c>
      <c r="CO125">
        <v>0.50846472008565746</v>
      </c>
      <c r="CP125">
        <v>1.0000000000000001E-5</v>
      </c>
      <c r="CQ125">
        <v>0.57229738456854751</v>
      </c>
      <c r="CR125">
        <v>0.57229738456854751</v>
      </c>
      <c r="CS125">
        <v>0.01</v>
      </c>
      <c r="CT125">
        <v>0.3</v>
      </c>
      <c r="CU125">
        <v>0.3</v>
      </c>
      <c r="CV125">
        <v>0.3</v>
      </c>
    </row>
    <row r="126" spans="1:100" x14ac:dyDescent="0.25">
      <c r="A126">
        <v>42</v>
      </c>
      <c r="B126">
        <v>180</v>
      </c>
      <c r="C126" t="s">
        <v>123</v>
      </c>
      <c r="D126">
        <v>0.30480000000000002</v>
      </c>
      <c r="E126">
        <v>304.8</v>
      </c>
      <c r="F126">
        <v>7.1399999999999996E-3</v>
      </c>
      <c r="G126">
        <v>7.14</v>
      </c>
      <c r="H126">
        <v>42.689075630252105</v>
      </c>
      <c r="I126">
        <v>30</v>
      </c>
      <c r="R126">
        <v>65</v>
      </c>
      <c r="S126" t="s">
        <v>78</v>
      </c>
      <c r="T126" t="s">
        <v>80</v>
      </c>
      <c r="U126">
        <v>18.5</v>
      </c>
      <c r="V126">
        <v>40</v>
      </c>
      <c r="W126">
        <v>0</v>
      </c>
      <c r="X126">
        <v>0</v>
      </c>
      <c r="Y126">
        <v>0.9</v>
      </c>
      <c r="Z126">
        <v>1.2</v>
      </c>
      <c r="AB126">
        <v>15.444677723460234</v>
      </c>
      <c r="AH126">
        <v>2.7372644600771081</v>
      </c>
      <c r="AI126">
        <v>0.1</v>
      </c>
      <c r="AS126">
        <v>-5</v>
      </c>
      <c r="AT126">
        <v>1</v>
      </c>
      <c r="AU126">
        <v>3.7539430474609983</v>
      </c>
      <c r="AV126">
        <v>-4.0370092800000004</v>
      </c>
      <c r="AW126">
        <v>0.41667756</v>
      </c>
      <c r="AX126">
        <v>2.8294460559999997</v>
      </c>
      <c r="AY126">
        <v>0.66852317696108277</v>
      </c>
      <c r="BZ126">
        <v>2.7090505999999994</v>
      </c>
      <c r="CB126">
        <v>-2.3025850929940455</v>
      </c>
      <c r="CC126">
        <v>1.7344241870059549</v>
      </c>
      <c r="CD126">
        <v>0.64023321934479749</v>
      </c>
      <c r="CE126">
        <v>0.75856886381101818</v>
      </c>
      <c r="CF126">
        <v>1.8205176775322822</v>
      </c>
      <c r="CM126">
        <v>-0.34040520150663467</v>
      </c>
      <c r="CN126">
        <v>0.71148197077972275</v>
      </c>
      <c r="CO126">
        <v>0.71148197077972275</v>
      </c>
      <c r="CP126">
        <v>1.0000000000000001E-5</v>
      </c>
      <c r="CQ126">
        <v>0.57229738456854751</v>
      </c>
      <c r="CR126">
        <v>0.57229738456854751</v>
      </c>
      <c r="CS126">
        <v>0.01</v>
      </c>
      <c r="CT126">
        <v>0.3</v>
      </c>
      <c r="CU126">
        <v>0.3</v>
      </c>
      <c r="CV126">
        <v>0.3</v>
      </c>
    </row>
    <row r="127" spans="1:100" x14ac:dyDescent="0.25">
      <c r="A127">
        <v>43</v>
      </c>
      <c r="B127">
        <v>175</v>
      </c>
      <c r="C127" t="s">
        <v>123</v>
      </c>
      <c r="D127">
        <v>0.40639999999999998</v>
      </c>
      <c r="E127">
        <v>406.4</v>
      </c>
      <c r="F127">
        <v>9.5299999999999985E-3</v>
      </c>
      <c r="G127">
        <v>9.5299999999999994</v>
      </c>
      <c r="H127">
        <v>42.644281217208821</v>
      </c>
      <c r="I127">
        <v>50</v>
      </c>
      <c r="R127">
        <v>58</v>
      </c>
      <c r="S127" t="s">
        <v>78</v>
      </c>
      <c r="T127" t="s">
        <v>81</v>
      </c>
      <c r="U127">
        <v>19</v>
      </c>
      <c r="V127">
        <v>43</v>
      </c>
      <c r="W127">
        <v>0</v>
      </c>
      <c r="X127">
        <v>0</v>
      </c>
      <c r="Y127">
        <v>0.9</v>
      </c>
      <c r="Z127">
        <v>1.5</v>
      </c>
      <c r="AB127">
        <v>29.151630415531248</v>
      </c>
      <c r="AH127">
        <v>3.3725108431545396</v>
      </c>
      <c r="AI127">
        <v>0.15</v>
      </c>
      <c r="AS127">
        <v>0</v>
      </c>
      <c r="AT127">
        <v>1</v>
      </c>
      <c r="AU127">
        <v>3.7528931785981614</v>
      </c>
      <c r="AV127">
        <v>-3.7245790400000001</v>
      </c>
      <c r="AW127">
        <v>0.49883007999999995</v>
      </c>
      <c r="AX127">
        <v>2.538611408</v>
      </c>
      <c r="AY127">
        <v>0.43474883354399235</v>
      </c>
      <c r="BZ127">
        <v>2.2234507999999997</v>
      </c>
      <c r="CB127">
        <v>-1.8971199848858813</v>
      </c>
      <c r="CC127">
        <v>1.8274590551141188</v>
      </c>
      <c r="CD127">
        <v>0.82190217796324483</v>
      </c>
      <c r="CE127">
        <v>1.1626517128318059</v>
      </c>
      <c r="CF127">
        <v>2.3307570241790674</v>
      </c>
      <c r="CM127">
        <v>0.22689444972305978</v>
      </c>
      <c r="CN127">
        <v>1.2546974272899019</v>
      </c>
      <c r="CO127">
        <v>1.2546974272899019</v>
      </c>
      <c r="CP127">
        <v>1.0000000000000001E-5</v>
      </c>
      <c r="CQ127">
        <v>0.57229738456854751</v>
      </c>
      <c r="CR127">
        <v>0.57229738456854751</v>
      </c>
      <c r="CS127">
        <v>0.01</v>
      </c>
      <c r="CT127">
        <v>0.3</v>
      </c>
      <c r="CU127">
        <v>0.3</v>
      </c>
      <c r="CV127">
        <v>0.3</v>
      </c>
    </row>
    <row r="128" spans="1:100" x14ac:dyDescent="0.25">
      <c r="A128">
        <v>44</v>
      </c>
      <c r="B128">
        <v>172</v>
      </c>
      <c r="C128" t="s">
        <v>123</v>
      </c>
      <c r="D128">
        <v>0.50800000000000001</v>
      </c>
      <c r="E128">
        <v>508</v>
      </c>
      <c r="F128">
        <v>1.1130000000000001E-2</v>
      </c>
      <c r="G128">
        <v>11.13</v>
      </c>
      <c r="H128">
        <v>45.642407906558844</v>
      </c>
      <c r="I128">
        <v>100</v>
      </c>
      <c r="R128">
        <v>51</v>
      </c>
      <c r="S128" t="s">
        <v>78</v>
      </c>
      <c r="T128" t="s">
        <v>79</v>
      </c>
      <c r="U128">
        <v>18</v>
      </c>
      <c r="V128">
        <v>37</v>
      </c>
      <c r="W128">
        <v>0</v>
      </c>
      <c r="X128">
        <v>0</v>
      </c>
      <c r="Y128">
        <v>0.9</v>
      </c>
      <c r="Z128">
        <v>1</v>
      </c>
      <c r="AB128">
        <v>18.869930160350666</v>
      </c>
      <c r="AH128">
        <v>2.9375696582793154</v>
      </c>
      <c r="AI128">
        <v>0.2</v>
      </c>
      <c r="AS128">
        <v>0</v>
      </c>
      <c r="AT128">
        <v>0</v>
      </c>
      <c r="AU128">
        <v>3.8208372822910284</v>
      </c>
      <c r="AV128">
        <v>-3.5227188000000003</v>
      </c>
      <c r="AW128">
        <v>0.53883259999999999</v>
      </c>
      <c r="AX128">
        <v>2.5446767599999998</v>
      </c>
      <c r="AY128">
        <v>-0.50855733307133744</v>
      </c>
      <c r="BZ128">
        <v>2.1667009999999998</v>
      </c>
      <c r="CB128">
        <v>-1.6094379124341003</v>
      </c>
      <c r="CC128">
        <v>1.9132808875659</v>
      </c>
      <c r="CD128">
        <v>0.88303872457062615</v>
      </c>
      <c r="CE128">
        <v>1.3893995965142862</v>
      </c>
      <c r="CF128">
        <v>2.5785366299557344</v>
      </c>
      <c r="CM128">
        <v>-0.47469746311560279</v>
      </c>
      <c r="CN128">
        <v>0.62207322809545029</v>
      </c>
      <c r="CO128">
        <v>0.62207322809545029</v>
      </c>
      <c r="CP128">
        <v>1.0000000000000001E-5</v>
      </c>
      <c r="CQ128">
        <v>0.57229738456854751</v>
      </c>
      <c r="CR128">
        <v>0.57229738456854751</v>
      </c>
      <c r="CS128">
        <v>0.01</v>
      </c>
      <c r="CT128">
        <v>0.3</v>
      </c>
      <c r="CU128">
        <v>0.3</v>
      </c>
      <c r="CV128">
        <v>0.3</v>
      </c>
    </row>
    <row r="129" spans="1:100" x14ac:dyDescent="0.25">
      <c r="A129">
        <v>45</v>
      </c>
      <c r="B129">
        <v>172</v>
      </c>
      <c r="C129" t="s">
        <v>123</v>
      </c>
      <c r="D129">
        <v>0.60960000000000003</v>
      </c>
      <c r="E129">
        <v>609.6</v>
      </c>
      <c r="F129">
        <v>9.5299999999999985E-3</v>
      </c>
      <c r="G129">
        <v>9.5299999999999994</v>
      </c>
      <c r="H129">
        <v>63.966421825813235</v>
      </c>
      <c r="I129">
        <v>15</v>
      </c>
      <c r="R129">
        <v>44</v>
      </c>
      <c r="S129" t="s">
        <v>78</v>
      </c>
      <c r="T129" t="s">
        <v>80</v>
      </c>
      <c r="U129">
        <v>18.5</v>
      </c>
      <c r="V129">
        <v>40</v>
      </c>
      <c r="W129">
        <v>0</v>
      </c>
      <c r="X129">
        <v>0</v>
      </c>
      <c r="Y129">
        <v>0.9</v>
      </c>
      <c r="Z129">
        <v>1.2</v>
      </c>
      <c r="AB129">
        <v>30.889355446920469</v>
      </c>
      <c r="AH129">
        <v>3.4304116406370531</v>
      </c>
      <c r="AI129">
        <v>0.2</v>
      </c>
      <c r="AS129">
        <v>0</v>
      </c>
      <c r="AT129">
        <v>0</v>
      </c>
      <c r="AU129">
        <v>4.158358286706326</v>
      </c>
      <c r="AV129">
        <v>-3.6995335599999999</v>
      </c>
      <c r="AW129">
        <v>0.49783511999999996</v>
      </c>
      <c r="AX129">
        <v>2.4346421120000001</v>
      </c>
      <c r="AY129">
        <v>-7.1844603442407146E-2</v>
      </c>
      <c r="BZ129">
        <v>2.2503511999999999</v>
      </c>
      <c r="CB129">
        <v>-1.6094379124341003</v>
      </c>
      <c r="CC129">
        <v>2.0900956475658994</v>
      </c>
      <c r="CD129">
        <v>0.92878642567697856</v>
      </c>
      <c r="CE129">
        <v>1.6494814191438925</v>
      </c>
      <c r="CF129">
        <v>3.3133086696332161</v>
      </c>
      <c r="CM129">
        <v>0.80682195419080882</v>
      </c>
      <c r="CN129">
        <v>2.2407753720113077</v>
      </c>
      <c r="CO129">
        <v>2.2407753720113077</v>
      </c>
      <c r="CP129">
        <v>1.0000000000000001E-5</v>
      </c>
      <c r="CQ129">
        <v>0.57229738456854751</v>
      </c>
      <c r="CR129">
        <v>0.57229738456854751</v>
      </c>
      <c r="CS129">
        <v>0.01</v>
      </c>
      <c r="CT129">
        <v>0.3</v>
      </c>
      <c r="CU129">
        <v>0.3</v>
      </c>
      <c r="CV129">
        <v>0.3</v>
      </c>
    </row>
    <row r="130" spans="1:100" x14ac:dyDescent="0.25">
      <c r="A130">
        <v>46</v>
      </c>
      <c r="B130">
        <v>170</v>
      </c>
      <c r="C130" t="s">
        <v>123</v>
      </c>
      <c r="D130">
        <v>0.76200000000000001</v>
      </c>
      <c r="E130">
        <v>762</v>
      </c>
      <c r="F130">
        <v>1.2699999999999999E-2</v>
      </c>
      <c r="G130">
        <v>12.7</v>
      </c>
      <c r="H130">
        <v>60</v>
      </c>
      <c r="I130">
        <v>30</v>
      </c>
      <c r="R130">
        <v>37</v>
      </c>
      <c r="S130" t="s">
        <v>78</v>
      </c>
      <c r="T130" t="s">
        <v>81</v>
      </c>
      <c r="U130">
        <v>19</v>
      </c>
      <c r="V130">
        <v>43</v>
      </c>
      <c r="W130">
        <v>0</v>
      </c>
      <c r="X130">
        <v>0</v>
      </c>
      <c r="Y130">
        <v>0.9</v>
      </c>
      <c r="Z130">
        <v>1.5</v>
      </c>
      <c r="AB130">
        <v>54.659307029121074</v>
      </c>
      <c r="AH130">
        <v>4.0011195025769135</v>
      </c>
      <c r="AI130">
        <v>0.25</v>
      </c>
      <c r="AS130">
        <v>0</v>
      </c>
      <c r="AT130">
        <v>0</v>
      </c>
      <c r="AU130">
        <v>4.0943445622221004</v>
      </c>
      <c r="AV130">
        <v>-3.5650431999999999</v>
      </c>
      <c r="AW130">
        <v>0.52183889999999999</v>
      </c>
      <c r="AX130">
        <v>2.3921401399999995</v>
      </c>
      <c r="AY130">
        <v>0.15973147209986455</v>
      </c>
      <c r="BZ130">
        <v>2.2276265</v>
      </c>
      <c r="CB130">
        <v>-1.3862943611198906</v>
      </c>
      <c r="CC130">
        <v>2.1787488388801091</v>
      </c>
      <c r="CD130">
        <v>0.97805841279052352</v>
      </c>
      <c r="CE130">
        <v>2.2507436237850884</v>
      </c>
      <c r="CF130">
        <v>4.3131005062771068</v>
      </c>
      <c r="CM130">
        <v>2.0806918383769717</v>
      </c>
      <c r="CN130">
        <v>8.0100086291512458</v>
      </c>
      <c r="CO130">
        <v>8.0100086291512458</v>
      </c>
      <c r="CP130">
        <v>1.0000000000000001E-5</v>
      </c>
      <c r="CQ130">
        <v>0.57229738456854751</v>
      </c>
      <c r="CR130">
        <v>0.57229738456854751</v>
      </c>
      <c r="CS130">
        <v>0.01</v>
      </c>
      <c r="CT130">
        <v>0.3</v>
      </c>
      <c r="CU130">
        <v>0.3</v>
      </c>
      <c r="CV130">
        <v>0.3</v>
      </c>
    </row>
    <row r="131" spans="1:100" x14ac:dyDescent="0.25">
      <c r="A131">
        <v>47</v>
      </c>
      <c r="B131">
        <v>175</v>
      </c>
      <c r="C131" t="s">
        <v>123</v>
      </c>
      <c r="D131">
        <v>0.86360000000000003</v>
      </c>
      <c r="E131">
        <v>863.6</v>
      </c>
      <c r="F131">
        <v>1.1130000000000001E-2</v>
      </c>
      <c r="G131">
        <v>11.13</v>
      </c>
      <c r="H131">
        <v>77.592093441150041</v>
      </c>
      <c r="I131">
        <v>50</v>
      </c>
      <c r="R131">
        <v>30</v>
      </c>
      <c r="S131" t="s">
        <v>78</v>
      </c>
      <c r="T131" t="s">
        <v>79</v>
      </c>
      <c r="U131">
        <v>18</v>
      </c>
      <c r="V131">
        <v>37</v>
      </c>
      <c r="W131">
        <v>0</v>
      </c>
      <c r="X131">
        <v>0</v>
      </c>
      <c r="Y131">
        <v>0.9</v>
      </c>
      <c r="Z131">
        <v>1</v>
      </c>
      <c r="AB131">
        <v>32.078881272596128</v>
      </c>
      <c r="AH131">
        <v>3.4681979093414856</v>
      </c>
      <c r="AI131">
        <v>0.28000000000000003</v>
      </c>
      <c r="AS131">
        <v>0</v>
      </c>
      <c r="AT131">
        <v>0</v>
      </c>
      <c r="AU131">
        <v>4.3514655333531991</v>
      </c>
      <c r="AV131">
        <v>-3.4473329600000002</v>
      </c>
      <c r="AW131">
        <v>0.54384142000000002</v>
      </c>
      <c r="AX131">
        <v>2.3724054919999999</v>
      </c>
      <c r="AY131">
        <v>5.9360032168138954E-2</v>
      </c>
      <c r="BZ131">
        <v>2.2020766999999997</v>
      </c>
      <c r="CB131">
        <v>-1.2729656758128873</v>
      </c>
      <c r="CC131">
        <v>2.1743672841871131</v>
      </c>
      <c r="CD131">
        <v>0.98741668906769386</v>
      </c>
      <c r="CE131">
        <v>2.5311097606942257</v>
      </c>
      <c r="CF131">
        <v>4.6541320090960072</v>
      </c>
      <c r="CM131">
        <v>2.3410865492641464</v>
      </c>
      <c r="CN131">
        <v>10.392522417888488</v>
      </c>
      <c r="CO131">
        <v>10.392522417888488</v>
      </c>
      <c r="CP131">
        <v>1.0000000000000001E-5</v>
      </c>
      <c r="CQ131">
        <v>0.57229738456854751</v>
      </c>
      <c r="CR131">
        <v>0.57229738456854751</v>
      </c>
      <c r="CS131">
        <v>0.01</v>
      </c>
      <c r="CT131">
        <v>0.3</v>
      </c>
      <c r="CU131">
        <v>0.3</v>
      </c>
      <c r="CV131">
        <v>0.3</v>
      </c>
    </row>
    <row r="132" spans="1:100" x14ac:dyDescent="0.25">
      <c r="A132">
        <v>48</v>
      </c>
      <c r="B132">
        <v>180</v>
      </c>
      <c r="C132" t="s">
        <v>123</v>
      </c>
      <c r="D132">
        <v>1.0668</v>
      </c>
      <c r="E132">
        <v>1066.8</v>
      </c>
      <c r="F132">
        <v>1.2699999999999999E-2</v>
      </c>
      <c r="G132">
        <v>12.7</v>
      </c>
      <c r="H132">
        <v>84</v>
      </c>
      <c r="I132">
        <v>100</v>
      </c>
      <c r="R132">
        <v>23</v>
      </c>
      <c r="S132" t="s">
        <v>78</v>
      </c>
      <c r="T132" t="s">
        <v>80</v>
      </c>
      <c r="U132">
        <v>18.5</v>
      </c>
      <c r="V132">
        <v>40</v>
      </c>
      <c r="W132">
        <v>0</v>
      </c>
      <c r="X132">
        <v>0</v>
      </c>
      <c r="Y132">
        <v>0.9</v>
      </c>
      <c r="Z132">
        <v>1.2</v>
      </c>
      <c r="AB132">
        <v>54.056372032110822</v>
      </c>
      <c r="AH132">
        <v>3.9900274285724762</v>
      </c>
      <c r="AI132">
        <v>0.18</v>
      </c>
      <c r="AS132">
        <v>0</v>
      </c>
      <c r="AT132">
        <v>0</v>
      </c>
      <c r="AU132">
        <v>4.4308167988433134</v>
      </c>
      <c r="AV132">
        <v>-3.1838624800000002</v>
      </c>
      <c r="AW132">
        <v>0.59384645999999996</v>
      </c>
      <c r="AX132">
        <v>2.3415361959999998</v>
      </c>
      <c r="AY132">
        <v>0.35113717457456706</v>
      </c>
      <c r="BZ132">
        <v>2.1405770999999998</v>
      </c>
      <c r="CB132">
        <v>-1.7147984280919266</v>
      </c>
      <c r="CC132">
        <v>1.4690640519080735</v>
      </c>
      <c r="CD132">
        <v>0.68629345418488952</v>
      </c>
      <c r="CE132">
        <v>0.8409150977233486</v>
      </c>
      <c r="CF132">
        <v>1.416048009654463</v>
      </c>
      <c r="CM132">
        <v>-0.57435101177096981</v>
      </c>
      <c r="CN132">
        <v>0.56307017617049704</v>
      </c>
      <c r="CO132">
        <v>0.56307017617049704</v>
      </c>
      <c r="CP132">
        <v>1.0000000000000001E-5</v>
      </c>
      <c r="CQ132">
        <v>0.57229738456854751</v>
      </c>
      <c r="CR132">
        <v>0.57229738456854751</v>
      </c>
      <c r="CS132">
        <v>0.01</v>
      </c>
      <c r="CT132">
        <v>0.3</v>
      </c>
      <c r="CU132">
        <v>0.3</v>
      </c>
      <c r="CV132">
        <v>0.3</v>
      </c>
    </row>
    <row r="133" spans="1:100" x14ac:dyDescent="0.25">
      <c r="A133">
        <v>49</v>
      </c>
      <c r="B133">
        <v>180</v>
      </c>
      <c r="C133" t="s">
        <v>123</v>
      </c>
      <c r="D133">
        <v>0.60960000000000003</v>
      </c>
      <c r="E133">
        <v>609.6</v>
      </c>
      <c r="F133">
        <v>1.1130000000000001E-2</v>
      </c>
      <c r="G133">
        <v>11.13</v>
      </c>
      <c r="H133">
        <v>54.770889487870619</v>
      </c>
      <c r="I133">
        <v>150</v>
      </c>
      <c r="R133">
        <v>16</v>
      </c>
      <c r="S133" t="s">
        <v>78</v>
      </c>
      <c r="T133" t="s">
        <v>81</v>
      </c>
      <c r="U133">
        <v>19</v>
      </c>
      <c r="V133">
        <v>43</v>
      </c>
      <c r="W133">
        <v>0</v>
      </c>
      <c r="X133">
        <v>0</v>
      </c>
      <c r="Y133">
        <v>0.9</v>
      </c>
      <c r="Z133">
        <v>1.5</v>
      </c>
      <c r="AB133">
        <v>43.727445623296873</v>
      </c>
      <c r="AH133">
        <v>3.7779759512627038</v>
      </c>
      <c r="AI133">
        <v>0.4</v>
      </c>
      <c r="AS133">
        <v>0</v>
      </c>
      <c r="AT133">
        <v>0</v>
      </c>
      <c r="AU133">
        <v>4.0031588390849828</v>
      </c>
      <c r="AV133">
        <v>-3.32085856</v>
      </c>
      <c r="AW133">
        <v>0.57883511999999993</v>
      </c>
      <c r="AX133">
        <v>2.550742112</v>
      </c>
      <c r="AY133">
        <v>1.3729882151536921E-3</v>
      </c>
      <c r="BZ133">
        <v>2.1099511999999998</v>
      </c>
      <c r="CB133">
        <v>-0.916290731874155</v>
      </c>
      <c r="CC133">
        <v>2.4045678281258449</v>
      </c>
      <c r="CD133">
        <v>1.13963196311168</v>
      </c>
      <c r="CE133">
        <v>5</v>
      </c>
      <c r="CF133">
        <v>8.6380384106617445</v>
      </c>
      <c r="CM133">
        <v>6.0886692868768986</v>
      </c>
      <c r="CN133">
        <v>440.83439654198293</v>
      </c>
      <c r="CO133">
        <v>440.83439654198293</v>
      </c>
      <c r="CP133">
        <v>1.0000000000000001E-5</v>
      </c>
      <c r="CQ133">
        <v>0.57229738456854751</v>
      </c>
      <c r="CR133">
        <v>0.57229738456854751</v>
      </c>
      <c r="CS133">
        <v>0.01</v>
      </c>
      <c r="CT133">
        <v>0.3</v>
      </c>
      <c r="CU133">
        <v>0.3</v>
      </c>
      <c r="CV133">
        <v>0.3</v>
      </c>
    </row>
    <row r="134" spans="1:100" x14ac:dyDescent="0.25">
      <c r="A134">
        <v>50</v>
      </c>
      <c r="B134">
        <v>179</v>
      </c>
      <c r="C134" t="s">
        <v>123</v>
      </c>
      <c r="D134">
        <v>0.60960000000000003</v>
      </c>
      <c r="E134">
        <v>609.6</v>
      </c>
      <c r="F134">
        <v>1.1130000000000001E-2</v>
      </c>
      <c r="G134">
        <v>11.13</v>
      </c>
      <c r="H134">
        <v>54.770889487870619</v>
      </c>
      <c r="I134">
        <v>200</v>
      </c>
      <c r="R134">
        <v>15</v>
      </c>
      <c r="S134" t="s">
        <v>78</v>
      </c>
      <c r="T134" t="s">
        <v>79</v>
      </c>
      <c r="U134">
        <v>18</v>
      </c>
      <c r="V134">
        <v>37</v>
      </c>
      <c r="W134">
        <v>0</v>
      </c>
      <c r="X134">
        <v>0</v>
      </c>
      <c r="Y134">
        <v>0.9</v>
      </c>
      <c r="Z134">
        <v>1.2</v>
      </c>
      <c r="AB134">
        <v>27.172699430904952</v>
      </c>
      <c r="AH134">
        <v>3.3022127718672243</v>
      </c>
      <c r="AI134">
        <v>1.2</v>
      </c>
      <c r="AS134">
        <v>0</v>
      </c>
      <c r="AT134">
        <v>0</v>
      </c>
      <c r="AU134">
        <v>4.0031588390849828</v>
      </c>
      <c r="AV134">
        <v>-3.18060856</v>
      </c>
      <c r="AW134">
        <v>0.60883511999999995</v>
      </c>
      <c r="AX134">
        <v>2.5937421120000002</v>
      </c>
      <c r="AY134">
        <v>-0.22283177455187525</v>
      </c>
      <c r="BZ134">
        <v>2.0579511999999998</v>
      </c>
      <c r="CB134">
        <v>0.18232155679395459</v>
      </c>
      <c r="CC134">
        <v>3.3629301167939545</v>
      </c>
      <c r="CD134">
        <v>1.6341155790253699</v>
      </c>
      <c r="CE134">
        <v>5</v>
      </c>
      <c r="CF134">
        <v>8.2124040413437385</v>
      </c>
      <c r="CM134">
        <v>5.395830154791863</v>
      </c>
      <c r="CN134">
        <v>220.48510791195636</v>
      </c>
      <c r="CO134">
        <v>220.48510791195636</v>
      </c>
      <c r="CP134">
        <v>1.0000000000000001E-5</v>
      </c>
      <c r="CQ134">
        <v>0.57229738456854751</v>
      </c>
      <c r="CR134">
        <v>0.57229738456854751</v>
      </c>
      <c r="CS134">
        <v>0.01</v>
      </c>
      <c r="CT134">
        <v>0.3</v>
      </c>
      <c r="CU134">
        <v>0.3</v>
      </c>
      <c r="CV134">
        <v>0.3</v>
      </c>
    </row>
    <row r="135" spans="1:100" x14ac:dyDescent="0.25">
      <c r="A135">
        <v>51</v>
      </c>
      <c r="B135">
        <v>170</v>
      </c>
      <c r="C135" t="s">
        <v>123</v>
      </c>
      <c r="D135">
        <v>0.20319999999999999</v>
      </c>
      <c r="E135">
        <v>203.2</v>
      </c>
      <c r="F135">
        <v>5.5599999999999998E-3</v>
      </c>
      <c r="G135">
        <v>5.56</v>
      </c>
      <c r="H135">
        <v>36.546762589928058</v>
      </c>
      <c r="I135">
        <v>15</v>
      </c>
      <c r="R135">
        <v>72</v>
      </c>
      <c r="S135" t="s">
        <v>71</v>
      </c>
      <c r="T135" t="s">
        <v>72</v>
      </c>
      <c r="U135">
        <v>17.5</v>
      </c>
      <c r="V135">
        <v>0</v>
      </c>
      <c r="W135">
        <v>37.5</v>
      </c>
      <c r="X135">
        <v>1.1000000000000001</v>
      </c>
      <c r="Y135">
        <v>0.9</v>
      </c>
      <c r="Z135">
        <v>0</v>
      </c>
      <c r="AB135">
        <v>26.332829622389646</v>
      </c>
      <c r="AH135">
        <v>3.2708164353522799</v>
      </c>
      <c r="AI135">
        <v>0.05</v>
      </c>
      <c r="AS135">
        <v>-12</v>
      </c>
      <c r="AT135">
        <v>1</v>
      </c>
      <c r="AU135">
        <v>3.598592607441836</v>
      </c>
      <c r="AV135">
        <v>-4.4133025200000002</v>
      </c>
      <c r="AW135">
        <v>0.31346503999999997</v>
      </c>
      <c r="AX135">
        <v>3.2330207040000003</v>
      </c>
      <c r="AY135">
        <v>1.3547345147356484</v>
      </c>
      <c r="BZ135">
        <v>3.3734704</v>
      </c>
      <c r="CB135">
        <v>-2.9957322735539909</v>
      </c>
      <c r="CC135">
        <v>1.4175702464460094</v>
      </c>
      <c r="CD135">
        <v>0.4202112597300422</v>
      </c>
      <c r="CE135">
        <v>0.44794855885624785</v>
      </c>
      <c r="CF135">
        <v>1.4290223843024021</v>
      </c>
      <c r="CM135">
        <v>-0.44926380496194973</v>
      </c>
      <c r="CN135">
        <v>0.63809774313738099</v>
      </c>
      <c r="CO135">
        <v>0.63809774313738099</v>
      </c>
      <c r="CP135">
        <v>1.0000000000000001E-5</v>
      </c>
      <c r="CQ135">
        <v>0.57229738456854751</v>
      </c>
      <c r="CR135">
        <v>0.57229738456854751</v>
      </c>
      <c r="CS135">
        <v>0.01</v>
      </c>
      <c r="CT135">
        <v>0.3</v>
      </c>
      <c r="CU135">
        <v>0.3</v>
      </c>
      <c r="CV135">
        <v>0.3</v>
      </c>
    </row>
    <row r="136" spans="1:100" x14ac:dyDescent="0.25">
      <c r="A136">
        <v>52</v>
      </c>
      <c r="B136">
        <v>180</v>
      </c>
      <c r="C136" t="s">
        <v>123</v>
      </c>
      <c r="D136">
        <v>0.30480000000000002</v>
      </c>
      <c r="E136">
        <v>304.8</v>
      </c>
      <c r="F136">
        <v>7.1399999999999996E-3</v>
      </c>
      <c r="G136">
        <v>7.14</v>
      </c>
      <c r="H136">
        <v>42.689075630252105</v>
      </c>
      <c r="I136">
        <v>30</v>
      </c>
      <c r="R136">
        <v>65</v>
      </c>
      <c r="S136" t="s">
        <v>71</v>
      </c>
      <c r="T136" t="s">
        <v>74</v>
      </c>
      <c r="U136">
        <v>18</v>
      </c>
      <c r="V136">
        <v>0</v>
      </c>
      <c r="W136">
        <v>75</v>
      </c>
      <c r="X136">
        <v>0.72</v>
      </c>
      <c r="Y136">
        <v>0.9</v>
      </c>
      <c r="Z136">
        <v>0</v>
      </c>
      <c r="AB136">
        <v>51.708101803965121</v>
      </c>
      <c r="AH136">
        <v>3.9456144772440287</v>
      </c>
      <c r="AI136">
        <v>0.1</v>
      </c>
      <c r="AS136">
        <v>-5</v>
      </c>
      <c r="AT136">
        <v>1</v>
      </c>
      <c r="AU136">
        <v>3.7539430474609983</v>
      </c>
      <c r="AV136">
        <v>-4.0370092800000004</v>
      </c>
      <c r="AW136">
        <v>0.41667756</v>
      </c>
      <c r="AX136">
        <v>2.8294460559999997</v>
      </c>
      <c r="AY136">
        <v>1.238139375053569</v>
      </c>
      <c r="BZ136">
        <v>2.7090505999999994</v>
      </c>
      <c r="CB136">
        <v>-2.3025850929940455</v>
      </c>
      <c r="CC136">
        <v>1.7344241870059549</v>
      </c>
      <c r="CD136">
        <v>0.64023321934479749</v>
      </c>
      <c r="CE136">
        <v>0.75856886381101818</v>
      </c>
      <c r="CF136">
        <v>1.8205176775322822</v>
      </c>
      <c r="CM136">
        <v>0.22921099658585153</v>
      </c>
      <c r="CN136">
        <v>1.257607361877443</v>
      </c>
      <c r="CO136">
        <v>1.257607361877443</v>
      </c>
      <c r="CP136">
        <v>1.0000000000000001E-5</v>
      </c>
      <c r="CQ136">
        <v>0.57229738456854751</v>
      </c>
      <c r="CR136">
        <v>0.57229738456854751</v>
      </c>
      <c r="CS136">
        <v>0.01</v>
      </c>
      <c r="CT136">
        <v>0.3</v>
      </c>
      <c r="CU136">
        <v>0.3</v>
      </c>
      <c r="CV136">
        <v>0.3</v>
      </c>
    </row>
    <row r="137" spans="1:100" x14ac:dyDescent="0.25">
      <c r="A137">
        <v>53</v>
      </c>
      <c r="B137">
        <v>175</v>
      </c>
      <c r="C137" t="s">
        <v>123</v>
      </c>
      <c r="D137">
        <v>0.40639999999999998</v>
      </c>
      <c r="E137">
        <v>406.4</v>
      </c>
      <c r="F137">
        <v>9.5299999999999985E-3</v>
      </c>
      <c r="G137">
        <v>9.5299999999999994</v>
      </c>
      <c r="H137">
        <v>42.644281217208821</v>
      </c>
      <c r="I137">
        <v>50</v>
      </c>
      <c r="R137">
        <v>58</v>
      </c>
      <c r="S137" t="s">
        <v>71</v>
      </c>
      <c r="T137" t="s">
        <v>76</v>
      </c>
      <c r="U137">
        <v>18.5</v>
      </c>
      <c r="V137">
        <v>0</v>
      </c>
      <c r="W137">
        <v>125</v>
      </c>
      <c r="X137">
        <v>0.4</v>
      </c>
      <c r="Y137">
        <v>0.9</v>
      </c>
      <c r="Z137">
        <v>0</v>
      </c>
      <c r="AB137">
        <v>63.837162720944598</v>
      </c>
      <c r="AH137">
        <v>4.1563355085596809</v>
      </c>
      <c r="AI137">
        <v>0.15</v>
      </c>
      <c r="AS137">
        <v>0</v>
      </c>
      <c r="AT137">
        <v>1</v>
      </c>
      <c r="AU137">
        <v>3.7528931785981614</v>
      </c>
      <c r="AV137">
        <v>-3.7245790400000001</v>
      </c>
      <c r="AW137">
        <v>0.49883007999999995</v>
      </c>
      <c r="AX137">
        <v>2.538611408</v>
      </c>
      <c r="AY137">
        <v>0.80424378081597592</v>
      </c>
      <c r="BZ137">
        <v>2.2234507999999997</v>
      </c>
      <c r="CB137">
        <v>-1.8971199848858813</v>
      </c>
      <c r="CC137">
        <v>1.8274590551141188</v>
      </c>
      <c r="CD137">
        <v>0.82190217796324483</v>
      </c>
      <c r="CE137">
        <v>1.1626517128318059</v>
      </c>
      <c r="CF137">
        <v>2.3307570241790674</v>
      </c>
      <c r="CM137">
        <v>0.59638939699504334</v>
      </c>
      <c r="CN137">
        <v>1.8155517154769825</v>
      </c>
      <c r="CO137">
        <v>1.8155517154769825</v>
      </c>
      <c r="CP137">
        <v>1.0000000000000001E-5</v>
      </c>
      <c r="CQ137">
        <v>0.57229738456854751</v>
      </c>
      <c r="CR137">
        <v>0.57229738456854751</v>
      </c>
      <c r="CS137">
        <v>0.01</v>
      </c>
      <c r="CT137">
        <v>0.3</v>
      </c>
      <c r="CU137">
        <v>0.3</v>
      </c>
      <c r="CV137">
        <v>0.3</v>
      </c>
    </row>
    <row r="138" spans="1:100" x14ac:dyDescent="0.25">
      <c r="A138">
        <v>54</v>
      </c>
      <c r="B138">
        <v>172</v>
      </c>
      <c r="C138" t="s">
        <v>123</v>
      </c>
      <c r="D138">
        <v>0.50800000000000001</v>
      </c>
      <c r="E138">
        <v>508</v>
      </c>
      <c r="F138">
        <v>1.1130000000000001E-2</v>
      </c>
      <c r="G138">
        <v>11.13</v>
      </c>
      <c r="H138">
        <v>45.642407906558844</v>
      </c>
      <c r="I138">
        <v>100</v>
      </c>
      <c r="R138">
        <v>51</v>
      </c>
      <c r="S138" t="s">
        <v>71</v>
      </c>
      <c r="T138" t="s">
        <v>72</v>
      </c>
      <c r="U138">
        <v>17.5</v>
      </c>
      <c r="V138">
        <v>0</v>
      </c>
      <c r="W138">
        <v>37.5</v>
      </c>
      <c r="X138">
        <v>1.1000000000000001</v>
      </c>
      <c r="Y138">
        <v>0.9</v>
      </c>
      <c r="Z138">
        <v>0</v>
      </c>
      <c r="AB138">
        <v>65.832074055974118</v>
      </c>
      <c r="AH138">
        <v>4.1871071672264346</v>
      </c>
      <c r="AI138">
        <v>0.2</v>
      </c>
      <c r="AS138">
        <v>0</v>
      </c>
      <c r="AT138">
        <v>0</v>
      </c>
      <c r="AU138">
        <v>3.8208372822910284</v>
      </c>
      <c r="AV138">
        <v>-3.5227188000000003</v>
      </c>
      <c r="AW138">
        <v>0.53883259999999999</v>
      </c>
      <c r="AX138">
        <v>2.5446767599999998</v>
      </c>
      <c r="AY138">
        <v>8.0474648646334468E-2</v>
      </c>
      <c r="BZ138">
        <v>2.1667009999999998</v>
      </c>
      <c r="CB138">
        <v>-1.6094379124341003</v>
      </c>
      <c r="CC138">
        <v>1.9132808875659</v>
      </c>
      <c r="CD138">
        <v>0.88303872457062615</v>
      </c>
      <c r="CE138">
        <v>1.3893995965142862</v>
      </c>
      <c r="CF138">
        <v>2.5785366299557344</v>
      </c>
      <c r="CM138">
        <v>0.11433451860206911</v>
      </c>
      <c r="CN138">
        <v>1.1211271000328198</v>
      </c>
      <c r="CO138">
        <v>1.1211271000328198</v>
      </c>
      <c r="CP138">
        <v>1.0000000000000001E-5</v>
      </c>
      <c r="CQ138">
        <v>0.57229738456854751</v>
      </c>
      <c r="CR138">
        <v>0.57229738456854751</v>
      </c>
      <c r="CS138">
        <v>0.01</v>
      </c>
      <c r="CT138">
        <v>0.3</v>
      </c>
      <c r="CU138">
        <v>0.3</v>
      </c>
      <c r="CV138">
        <v>0.3</v>
      </c>
    </row>
    <row r="139" spans="1:100" x14ac:dyDescent="0.25">
      <c r="A139">
        <v>55</v>
      </c>
      <c r="B139">
        <v>172</v>
      </c>
      <c r="C139" t="s">
        <v>123</v>
      </c>
      <c r="D139">
        <v>0.60960000000000003</v>
      </c>
      <c r="E139">
        <v>609.6</v>
      </c>
      <c r="F139">
        <v>9.5299999999999985E-3</v>
      </c>
      <c r="G139">
        <v>9.5299999999999994</v>
      </c>
      <c r="H139">
        <v>63.966421825813235</v>
      </c>
      <c r="I139">
        <v>15</v>
      </c>
      <c r="R139">
        <v>44</v>
      </c>
      <c r="S139" t="s">
        <v>71</v>
      </c>
      <c r="T139" t="s">
        <v>74</v>
      </c>
      <c r="U139">
        <v>18</v>
      </c>
      <c r="V139">
        <v>0</v>
      </c>
      <c r="W139">
        <v>75</v>
      </c>
      <c r="X139">
        <v>0.72</v>
      </c>
      <c r="Y139">
        <v>0.9</v>
      </c>
      <c r="Z139">
        <v>0</v>
      </c>
      <c r="AB139">
        <v>103.41620360793024</v>
      </c>
      <c r="AH139">
        <v>4.6387616578039736</v>
      </c>
      <c r="AI139">
        <v>0.2</v>
      </c>
      <c r="AS139">
        <v>0</v>
      </c>
      <c r="AT139">
        <v>0</v>
      </c>
      <c r="AU139">
        <v>4.158358286706326</v>
      </c>
      <c r="AV139">
        <v>-3.6995335599999999</v>
      </c>
      <c r="AW139">
        <v>0.49783511999999996</v>
      </c>
      <c r="AX139">
        <v>2.4346421120000001</v>
      </c>
      <c r="AY139">
        <v>0.49777159465007936</v>
      </c>
      <c r="BZ139">
        <v>2.2503511999999999</v>
      </c>
      <c r="CB139">
        <v>-1.6094379124341003</v>
      </c>
      <c r="CC139">
        <v>2.0900956475658994</v>
      </c>
      <c r="CD139">
        <v>0.92878642567697856</v>
      </c>
      <c r="CE139">
        <v>1.6494814191438925</v>
      </c>
      <c r="CF139">
        <v>3.3133086696332161</v>
      </c>
      <c r="CM139">
        <v>1.3764381522832954</v>
      </c>
      <c r="CN139">
        <v>3.9607688176086686</v>
      </c>
      <c r="CO139">
        <v>3.9607688176086686</v>
      </c>
      <c r="CP139">
        <v>1.0000000000000001E-5</v>
      </c>
      <c r="CQ139">
        <v>0.57229738456854751</v>
      </c>
      <c r="CR139">
        <v>0.57229738456854751</v>
      </c>
      <c r="CS139">
        <v>0.01</v>
      </c>
      <c r="CT139">
        <v>0.3</v>
      </c>
      <c r="CU139">
        <v>0.3</v>
      </c>
      <c r="CV139">
        <v>0.3</v>
      </c>
    </row>
    <row r="140" spans="1:100" x14ac:dyDescent="0.25">
      <c r="A140">
        <v>56</v>
      </c>
      <c r="B140">
        <v>170</v>
      </c>
      <c r="C140" t="s">
        <v>123</v>
      </c>
      <c r="D140">
        <v>0.76200000000000001</v>
      </c>
      <c r="E140">
        <v>762</v>
      </c>
      <c r="F140">
        <v>1.2699999999999999E-2</v>
      </c>
      <c r="G140">
        <v>12.7</v>
      </c>
      <c r="H140">
        <v>60</v>
      </c>
      <c r="I140">
        <v>30</v>
      </c>
      <c r="R140">
        <v>37</v>
      </c>
      <c r="S140" t="s">
        <v>71</v>
      </c>
      <c r="T140" t="s">
        <v>76</v>
      </c>
      <c r="U140">
        <v>18.5</v>
      </c>
      <c r="V140">
        <v>0</v>
      </c>
      <c r="W140">
        <v>125</v>
      </c>
      <c r="X140">
        <v>0.4</v>
      </c>
      <c r="Y140">
        <v>0.9</v>
      </c>
      <c r="Z140">
        <v>0</v>
      </c>
      <c r="AB140">
        <v>119.69468010177111</v>
      </c>
      <c r="AH140">
        <v>4.7849441679820552</v>
      </c>
      <c r="AI140">
        <v>0.25</v>
      </c>
      <c r="AS140">
        <v>0</v>
      </c>
      <c r="AT140">
        <v>0</v>
      </c>
      <c r="AU140">
        <v>4.0943445622221004</v>
      </c>
      <c r="AV140">
        <v>-3.5650431999999999</v>
      </c>
      <c r="AW140">
        <v>0.52183889999999999</v>
      </c>
      <c r="AX140">
        <v>2.3921401399999995</v>
      </c>
      <c r="AY140">
        <v>0.529226419371848</v>
      </c>
      <c r="BZ140">
        <v>2.2276265</v>
      </c>
      <c r="CB140">
        <v>-1.3862943611198906</v>
      </c>
      <c r="CC140">
        <v>2.1787488388801091</v>
      </c>
      <c r="CD140">
        <v>0.97805841279052352</v>
      </c>
      <c r="CE140">
        <v>2.2507436237850884</v>
      </c>
      <c r="CF140">
        <v>4.3131005062771068</v>
      </c>
      <c r="CM140">
        <v>2.4501867856489552</v>
      </c>
      <c r="CN140">
        <v>11.590511458250456</v>
      </c>
      <c r="CO140">
        <v>11.590511458250456</v>
      </c>
      <c r="CP140">
        <v>1.0000000000000001E-5</v>
      </c>
      <c r="CQ140">
        <v>0.57229738456854751</v>
      </c>
      <c r="CR140">
        <v>0.57229738456854751</v>
      </c>
      <c r="CS140">
        <v>0.01</v>
      </c>
      <c r="CT140">
        <v>0.3</v>
      </c>
      <c r="CU140">
        <v>0.3</v>
      </c>
      <c r="CV140">
        <v>0.3</v>
      </c>
    </row>
    <row r="141" spans="1:100" x14ac:dyDescent="0.25">
      <c r="A141">
        <v>57</v>
      </c>
      <c r="B141">
        <v>175</v>
      </c>
      <c r="C141" t="s">
        <v>123</v>
      </c>
      <c r="D141">
        <v>0.86360000000000003</v>
      </c>
      <c r="E141">
        <v>863.6</v>
      </c>
      <c r="F141">
        <v>1.1130000000000001E-2</v>
      </c>
      <c r="G141">
        <v>11.13</v>
      </c>
      <c r="H141">
        <v>77.592093441150041</v>
      </c>
      <c r="I141">
        <v>50</v>
      </c>
      <c r="R141">
        <v>30</v>
      </c>
      <c r="S141" t="s">
        <v>71</v>
      </c>
      <c r="T141" t="s">
        <v>72</v>
      </c>
      <c r="U141">
        <v>17.5</v>
      </c>
      <c r="V141">
        <v>0</v>
      </c>
      <c r="W141">
        <v>37.5</v>
      </c>
      <c r="X141">
        <v>1.1000000000000001</v>
      </c>
      <c r="Y141">
        <v>0.9</v>
      </c>
      <c r="Z141">
        <v>0</v>
      </c>
      <c r="AB141">
        <v>111.91452589515602</v>
      </c>
      <c r="AH141">
        <v>4.7177354182886058</v>
      </c>
      <c r="AI141">
        <v>0.28000000000000003</v>
      </c>
      <c r="AS141">
        <v>0</v>
      </c>
      <c r="AT141">
        <v>0</v>
      </c>
      <c r="AU141">
        <v>4.3514655333531991</v>
      </c>
      <c r="AV141">
        <v>-3.4473329600000002</v>
      </c>
      <c r="AW141">
        <v>0.54384142000000002</v>
      </c>
      <c r="AX141">
        <v>2.3724054919999999</v>
      </c>
      <c r="AY141">
        <v>0.64839201388581147</v>
      </c>
      <c r="BZ141">
        <v>2.2020766999999997</v>
      </c>
      <c r="CB141">
        <v>-1.2729656758128873</v>
      </c>
      <c r="CC141">
        <v>2.1743672841871131</v>
      </c>
      <c r="CD141">
        <v>0.98741668906769386</v>
      </c>
      <c r="CE141">
        <v>2.5311097606942257</v>
      </c>
      <c r="CF141">
        <v>4.6541320090960072</v>
      </c>
      <c r="CM141">
        <v>2.9301185309818187</v>
      </c>
      <c r="CN141">
        <v>18.729850432665824</v>
      </c>
      <c r="CO141">
        <v>18.729850432665824</v>
      </c>
      <c r="CP141">
        <v>1.0000000000000001E-5</v>
      </c>
      <c r="CQ141">
        <v>0.57229738456854751</v>
      </c>
      <c r="CR141">
        <v>0.57229738456854751</v>
      </c>
      <c r="CS141">
        <v>0.01</v>
      </c>
      <c r="CT141">
        <v>0.3</v>
      </c>
      <c r="CU141">
        <v>0.3</v>
      </c>
      <c r="CV141">
        <v>0.3</v>
      </c>
    </row>
    <row r="142" spans="1:100" x14ac:dyDescent="0.25">
      <c r="A142">
        <v>58</v>
      </c>
      <c r="B142">
        <v>180</v>
      </c>
      <c r="C142" t="s">
        <v>123</v>
      </c>
      <c r="D142">
        <v>1.0668</v>
      </c>
      <c r="E142">
        <v>1066.8</v>
      </c>
      <c r="F142">
        <v>1.2699999999999999E-2</v>
      </c>
      <c r="G142">
        <v>12.7</v>
      </c>
      <c r="H142">
        <v>84</v>
      </c>
      <c r="I142">
        <v>100</v>
      </c>
      <c r="R142">
        <v>23</v>
      </c>
      <c r="S142" t="s">
        <v>71</v>
      </c>
      <c r="T142" t="s">
        <v>74</v>
      </c>
      <c r="U142">
        <v>18</v>
      </c>
      <c r="V142">
        <v>0</v>
      </c>
      <c r="W142">
        <v>75</v>
      </c>
      <c r="X142">
        <v>0.72</v>
      </c>
      <c r="Y142">
        <v>0.9</v>
      </c>
      <c r="Z142">
        <v>0</v>
      </c>
      <c r="AB142">
        <v>180.97835631387795</v>
      </c>
      <c r="AH142">
        <v>5.1983774457393972</v>
      </c>
      <c r="AI142">
        <v>0.18</v>
      </c>
      <c r="AS142">
        <v>0</v>
      </c>
      <c r="AT142">
        <v>0</v>
      </c>
      <c r="AU142">
        <v>4.4308167988433134</v>
      </c>
      <c r="AV142">
        <v>-3.1838624800000002</v>
      </c>
      <c r="AW142">
        <v>0.59384645999999996</v>
      </c>
      <c r="AX142">
        <v>2.3415361959999998</v>
      </c>
      <c r="AY142">
        <v>0.92075337266705359</v>
      </c>
      <c r="BZ142">
        <v>2.1405770999999998</v>
      </c>
      <c r="CB142">
        <v>-1.7147984280919266</v>
      </c>
      <c r="CC142">
        <v>1.4690640519080735</v>
      </c>
      <c r="CD142">
        <v>0.68629345418488952</v>
      </c>
      <c r="CE142">
        <v>0.8409150977233486</v>
      </c>
      <c r="CF142">
        <v>1.416048009654463</v>
      </c>
      <c r="CM142">
        <v>-4.7348136784832739E-3</v>
      </c>
      <c r="CN142">
        <v>0.99527637788151735</v>
      </c>
      <c r="CO142">
        <v>0.99527637788151735</v>
      </c>
      <c r="CP142">
        <v>1.0000000000000001E-5</v>
      </c>
      <c r="CQ142">
        <v>0.57229738456854751</v>
      </c>
      <c r="CR142">
        <v>0.57229738456854751</v>
      </c>
      <c r="CS142">
        <v>0.01</v>
      </c>
      <c r="CT142">
        <v>0.3</v>
      </c>
      <c r="CU142">
        <v>0.3</v>
      </c>
      <c r="CV142">
        <v>0.3</v>
      </c>
    </row>
    <row r="143" spans="1:100" x14ac:dyDescent="0.25">
      <c r="A143">
        <v>59</v>
      </c>
      <c r="B143">
        <v>180</v>
      </c>
      <c r="C143" t="s">
        <v>123</v>
      </c>
      <c r="D143">
        <v>0.60960000000000003</v>
      </c>
      <c r="E143">
        <v>609.6</v>
      </c>
      <c r="F143">
        <v>1.1130000000000001E-2</v>
      </c>
      <c r="G143">
        <v>11.13</v>
      </c>
      <c r="H143">
        <v>54.770889487870619</v>
      </c>
      <c r="I143">
        <v>150</v>
      </c>
      <c r="R143">
        <v>16</v>
      </c>
      <c r="S143" t="s">
        <v>71</v>
      </c>
      <c r="T143" t="s">
        <v>76</v>
      </c>
      <c r="U143">
        <v>18.5</v>
      </c>
      <c r="V143">
        <v>0</v>
      </c>
      <c r="W143">
        <v>125</v>
      </c>
      <c r="X143">
        <v>0.4</v>
      </c>
      <c r="Y143">
        <v>0.9</v>
      </c>
      <c r="Z143">
        <v>0</v>
      </c>
      <c r="AB143">
        <v>95.755744081416907</v>
      </c>
      <c r="AH143">
        <v>4.5618006166678455</v>
      </c>
      <c r="AI143">
        <v>0.4</v>
      </c>
      <c r="AS143">
        <v>0</v>
      </c>
      <c r="AT143">
        <v>0</v>
      </c>
      <c r="AU143">
        <v>4.0031588390849828</v>
      </c>
      <c r="AV143">
        <v>-3.32085856</v>
      </c>
      <c r="AW143">
        <v>0.57883511999999993</v>
      </c>
      <c r="AX143">
        <v>2.550742112</v>
      </c>
      <c r="AY143">
        <v>0.37086793548713748</v>
      </c>
      <c r="BZ143">
        <v>2.1099511999999998</v>
      </c>
      <c r="CB143">
        <v>-0.916290731874155</v>
      </c>
      <c r="CC143">
        <v>2.4045678281258449</v>
      </c>
      <c r="CD143">
        <v>1.13963196311168</v>
      </c>
      <c r="CE143">
        <v>5</v>
      </c>
      <c r="CF143">
        <v>8.6380384106617445</v>
      </c>
      <c r="CM143">
        <v>6.4581642341488816</v>
      </c>
      <c r="CN143">
        <v>637.88896627595602</v>
      </c>
      <c r="CO143">
        <v>637.88896627595602</v>
      </c>
      <c r="CP143">
        <v>1.0000000000000001E-5</v>
      </c>
      <c r="CQ143">
        <v>0.57229738456854751</v>
      </c>
      <c r="CR143">
        <v>0.57229738456854751</v>
      </c>
      <c r="CS143">
        <v>0.01</v>
      </c>
      <c r="CT143">
        <v>0.3</v>
      </c>
      <c r="CU143">
        <v>0.3</v>
      </c>
      <c r="CV143">
        <v>0.3</v>
      </c>
    </row>
    <row r="144" spans="1:100" x14ac:dyDescent="0.25">
      <c r="A144">
        <v>60</v>
      </c>
      <c r="B144">
        <v>179</v>
      </c>
      <c r="C144" t="s">
        <v>123</v>
      </c>
      <c r="D144">
        <v>0.60960000000000003</v>
      </c>
      <c r="E144">
        <v>609.6</v>
      </c>
      <c r="F144">
        <v>1.1130000000000001E-2</v>
      </c>
      <c r="G144">
        <v>11.13</v>
      </c>
      <c r="H144">
        <v>54.770889487870619</v>
      </c>
      <c r="I144">
        <v>200</v>
      </c>
      <c r="R144">
        <v>15</v>
      </c>
      <c r="S144" t="s">
        <v>71</v>
      </c>
      <c r="T144" t="s">
        <v>72</v>
      </c>
      <c r="U144">
        <v>17.5</v>
      </c>
      <c r="V144">
        <v>0</v>
      </c>
      <c r="W144">
        <v>37.5</v>
      </c>
      <c r="X144">
        <v>1.1000000000000001</v>
      </c>
      <c r="Y144">
        <v>0.9</v>
      </c>
      <c r="Z144">
        <v>0</v>
      </c>
      <c r="AB144">
        <v>78.998488867168945</v>
      </c>
      <c r="AH144">
        <v>4.3694287240203895</v>
      </c>
      <c r="AI144">
        <v>1.2</v>
      </c>
      <c r="AS144">
        <v>0</v>
      </c>
      <c r="AT144">
        <v>0</v>
      </c>
      <c r="AU144">
        <v>4.0031588390849828</v>
      </c>
      <c r="AV144">
        <v>-3.18060856</v>
      </c>
      <c r="AW144">
        <v>0.60883511999999995</v>
      </c>
      <c r="AX144">
        <v>2.5937421120000002</v>
      </c>
      <c r="AY144">
        <v>0.28025382529312659</v>
      </c>
      <c r="BZ144">
        <v>2.0579511999999998</v>
      </c>
      <c r="CB144">
        <v>0.18232155679395459</v>
      </c>
      <c r="CC144">
        <v>3.3629301167939545</v>
      </c>
      <c r="CD144">
        <v>1.6341155790253699</v>
      </c>
      <c r="CE144">
        <v>5</v>
      </c>
      <c r="CF144">
        <v>8.2124040413437385</v>
      </c>
      <c r="CM144">
        <v>5.8989157546368647</v>
      </c>
      <c r="CN144">
        <v>364.64189217273321</v>
      </c>
      <c r="CO144">
        <v>364.64189217273321</v>
      </c>
      <c r="CP144">
        <v>1.0000000000000001E-5</v>
      </c>
      <c r="CQ144">
        <v>0.57229738456854751</v>
      </c>
      <c r="CR144">
        <v>0.57229738456854751</v>
      </c>
      <c r="CS144">
        <v>0.01</v>
      </c>
      <c r="CT144">
        <v>0.3</v>
      </c>
      <c r="CU144">
        <v>0.3</v>
      </c>
      <c r="CV144">
        <v>0.3</v>
      </c>
    </row>
    <row r="145" spans="1:100" x14ac:dyDescent="0.25">
      <c r="A145">
        <v>61</v>
      </c>
      <c r="B145">
        <v>0</v>
      </c>
      <c r="C145" t="s">
        <v>124</v>
      </c>
      <c r="D145">
        <v>1.0668</v>
      </c>
      <c r="E145">
        <v>1066.8</v>
      </c>
      <c r="F145">
        <v>9.5250000000000005E-3</v>
      </c>
      <c r="G145">
        <v>9.5250000000000004</v>
      </c>
      <c r="H145">
        <v>111.99999999999999</v>
      </c>
      <c r="I145">
        <v>30</v>
      </c>
      <c r="J145" t="s">
        <v>70</v>
      </c>
      <c r="K145">
        <v>8</v>
      </c>
      <c r="L145">
        <v>10</v>
      </c>
      <c r="M145">
        <v>359000</v>
      </c>
      <c r="N145">
        <v>455000</v>
      </c>
      <c r="O145">
        <v>1.9969902892117808</v>
      </c>
      <c r="P145">
        <v>1.9041242414694344</v>
      </c>
      <c r="Q145">
        <v>0.69164119173371341</v>
      </c>
      <c r="R145">
        <v>45</v>
      </c>
      <c r="S145" t="s">
        <v>71</v>
      </c>
      <c r="T145" t="s">
        <v>72</v>
      </c>
      <c r="U145">
        <v>17.5</v>
      </c>
      <c r="V145">
        <v>0</v>
      </c>
      <c r="W145">
        <v>37.5</v>
      </c>
      <c r="X145">
        <v>1.1000000000000001</v>
      </c>
      <c r="Y145">
        <v>0.9</v>
      </c>
      <c r="Z145">
        <v>0.78739999999999999</v>
      </c>
      <c r="AA145">
        <v>1.8</v>
      </c>
      <c r="AB145">
        <v>138.24735551754566</v>
      </c>
      <c r="AC145">
        <v>0</v>
      </c>
      <c r="AD145">
        <v>0</v>
      </c>
      <c r="AE145">
        <v>205.62569999999999</v>
      </c>
      <c r="AF145">
        <v>5.3260575257691611</v>
      </c>
      <c r="AG145">
        <v>4.7184988712950942</v>
      </c>
      <c r="AH145">
        <v>4.9290445119558122</v>
      </c>
      <c r="AI145">
        <v>2.2496671510000001</v>
      </c>
      <c r="AJ145">
        <v>3.7532999999999999</v>
      </c>
      <c r="AK145">
        <v>0.14510000000000001</v>
      </c>
      <c r="AL145">
        <v>1.2497</v>
      </c>
      <c r="AM145">
        <v>-0.46100000000000002</v>
      </c>
      <c r="AN145">
        <v>0.39140000000000003</v>
      </c>
      <c r="AO145">
        <v>-0.21310000000000001</v>
      </c>
      <c r="AP145">
        <v>-0.34139999999999998</v>
      </c>
      <c r="AR145">
        <v>-0.39465453966325215</v>
      </c>
      <c r="AV145">
        <v>-1.1082000000000001</v>
      </c>
      <c r="AW145">
        <v>0.10630000000000001</v>
      </c>
      <c r="AX145">
        <v>-0.1439</v>
      </c>
      <c r="AY145">
        <v>0.27879999999999999</v>
      </c>
      <c r="AZ145">
        <v>-0.31030000000000002</v>
      </c>
      <c r="BA145">
        <v>1.2553000000000001</v>
      </c>
      <c r="BB145">
        <v>2.9999999999999997E-4</v>
      </c>
      <c r="BC145">
        <v>5.1999999999999998E-3</v>
      </c>
      <c r="BD145">
        <v>-8.5900000000000004E-2</v>
      </c>
      <c r="BE145">
        <v>5.9999999999999995E-4</v>
      </c>
      <c r="BF145">
        <v>-0.21759999999999999</v>
      </c>
      <c r="BG145">
        <v>-2.69E-2</v>
      </c>
      <c r="BH145">
        <v>0.57389999999999997</v>
      </c>
      <c r="BI145">
        <v>0.34460000000000002</v>
      </c>
      <c r="BW145">
        <v>0</v>
      </c>
      <c r="BX145">
        <v>0</v>
      </c>
      <c r="BY145">
        <v>1</v>
      </c>
      <c r="BZ145">
        <v>1.9037395546714377</v>
      </c>
      <c r="CB145">
        <v>0.8107822723842909</v>
      </c>
      <c r="CG145">
        <v>1.2054368120475432</v>
      </c>
      <c r="CH145">
        <v>2.2948377397519475</v>
      </c>
      <c r="CI145">
        <v>0.50157643001866858</v>
      </c>
      <c r="CJ145">
        <v>0</v>
      </c>
      <c r="CK145">
        <v>1.4849048381844421</v>
      </c>
      <c r="CL145">
        <v>-2.0065088184971575E-2</v>
      </c>
      <c r="CM145">
        <v>3.1530539197700866</v>
      </c>
      <c r="CN145">
        <v>23.407439981823291</v>
      </c>
      <c r="CO145">
        <v>1.0000000000000001E-5</v>
      </c>
      <c r="CP145">
        <v>23.407439981823291</v>
      </c>
      <c r="CQ145">
        <v>0.3997</v>
      </c>
      <c r="CR145">
        <v>0.01</v>
      </c>
      <c r="CS145">
        <v>0.3997</v>
      </c>
      <c r="CT145">
        <v>0.3</v>
      </c>
      <c r="CU145">
        <v>0.3</v>
      </c>
      <c r="CV145">
        <v>0.3</v>
      </c>
    </row>
    <row r="146" spans="1:100" x14ac:dyDescent="0.25">
      <c r="A146">
        <v>62</v>
      </c>
      <c r="B146">
        <v>1</v>
      </c>
      <c r="C146" t="s">
        <v>124</v>
      </c>
      <c r="D146">
        <v>0.60960000000000003</v>
      </c>
      <c r="E146">
        <v>609.6</v>
      </c>
      <c r="F146">
        <v>9.5250000000000005E-3</v>
      </c>
      <c r="G146">
        <v>9.5250000000000004</v>
      </c>
      <c r="H146">
        <v>64</v>
      </c>
      <c r="I146">
        <v>50</v>
      </c>
      <c r="J146" t="s">
        <v>73</v>
      </c>
      <c r="K146">
        <v>8</v>
      </c>
      <c r="L146">
        <v>12</v>
      </c>
      <c r="M146">
        <v>414000</v>
      </c>
      <c r="N146">
        <v>517000</v>
      </c>
      <c r="O146">
        <v>2.5466769467238102</v>
      </c>
      <c r="P146">
        <v>2.4313344008036557</v>
      </c>
      <c r="Q146">
        <v>0.93478935117382533</v>
      </c>
      <c r="R146">
        <v>60</v>
      </c>
      <c r="S146" t="s">
        <v>71</v>
      </c>
      <c r="T146" t="s">
        <v>74</v>
      </c>
      <c r="U146">
        <v>18</v>
      </c>
      <c r="V146">
        <v>0</v>
      </c>
      <c r="W146">
        <v>75</v>
      </c>
      <c r="X146">
        <v>0.72</v>
      </c>
      <c r="Y146">
        <v>0.9</v>
      </c>
      <c r="Z146">
        <v>1</v>
      </c>
      <c r="AA146">
        <v>1.8</v>
      </c>
      <c r="AB146">
        <v>103.41620360793024</v>
      </c>
      <c r="AC146">
        <v>0</v>
      </c>
      <c r="AD146">
        <v>0</v>
      </c>
      <c r="AE146">
        <v>235.0008</v>
      </c>
      <c r="AF146">
        <v>5.4595889183936839</v>
      </c>
      <c r="AG146">
        <v>4.1588830833596715</v>
      </c>
      <c r="AH146">
        <v>4.6387616578039736</v>
      </c>
      <c r="AI146">
        <v>2.3997944580000001</v>
      </c>
      <c r="AJ146">
        <v>4.3182999999999998</v>
      </c>
      <c r="AK146">
        <v>-2.7900000000000001E-2</v>
      </c>
      <c r="AL146">
        <v>1.0497000000000001</v>
      </c>
      <c r="AM146">
        <v>-0.46910000000000002</v>
      </c>
      <c r="AN146">
        <v>0.29149999999999998</v>
      </c>
      <c r="AO146">
        <v>-0.28610000000000002</v>
      </c>
      <c r="AP146">
        <v>-0.1348</v>
      </c>
      <c r="AR146">
        <v>-0.17613126407050839</v>
      </c>
      <c r="AV146">
        <v>-2.1276999999999999</v>
      </c>
      <c r="AW146">
        <v>0.14760000000000001</v>
      </c>
      <c r="AX146">
        <v>-0.21829999999999999</v>
      </c>
      <c r="AY146">
        <v>0.42270000000000002</v>
      </c>
      <c r="AZ146">
        <v>-0.53720000000000001</v>
      </c>
      <c r="BA146">
        <v>1.252</v>
      </c>
      <c r="BB146">
        <v>-5.9999999999999995E-4</v>
      </c>
      <c r="BC146">
        <v>5.3E-3</v>
      </c>
      <c r="BD146">
        <v>-4.8500000000000001E-2</v>
      </c>
      <c r="BE146">
        <v>1.2999999999999999E-3</v>
      </c>
      <c r="BF146">
        <v>-0.56599999999999995</v>
      </c>
      <c r="BG146">
        <v>-3.2099999999999997E-2</v>
      </c>
      <c r="BH146">
        <v>0.84970000000000001</v>
      </c>
      <c r="BI146">
        <v>9.01E-2</v>
      </c>
      <c r="BW146">
        <v>0</v>
      </c>
      <c r="BX146">
        <v>0</v>
      </c>
      <c r="BY146">
        <v>1</v>
      </c>
      <c r="BZ146">
        <v>1.1232245205407614</v>
      </c>
      <c r="CB146">
        <v>0.8753830911863717</v>
      </c>
      <c r="CG146">
        <v>1.05151435525688</v>
      </c>
      <c r="CH146">
        <v>1.1810867075251368</v>
      </c>
      <c r="CI146">
        <v>0.61385114310388755</v>
      </c>
      <c r="CJ146">
        <v>0</v>
      </c>
      <c r="CK146">
        <v>2.3077682358050104</v>
      </c>
      <c r="CL146">
        <v>0.26588836192033111</v>
      </c>
      <c r="CM146">
        <v>2.240894448354366</v>
      </c>
      <c r="CN146">
        <v>9.4017368957857244</v>
      </c>
      <c r="CO146">
        <v>1.0000000000000001E-5</v>
      </c>
      <c r="CP146">
        <v>9.4017368957857244</v>
      </c>
      <c r="CQ146">
        <v>0.50170000000000003</v>
      </c>
      <c r="CR146">
        <v>0.01</v>
      </c>
      <c r="CS146">
        <v>0.50170000000000003</v>
      </c>
      <c r="CT146">
        <v>0.3</v>
      </c>
      <c r="CU146">
        <v>0.3</v>
      </c>
      <c r="CV146">
        <v>0.3</v>
      </c>
    </row>
    <row r="147" spans="1:100" x14ac:dyDescent="0.25">
      <c r="A147">
        <v>63</v>
      </c>
      <c r="B147">
        <v>2</v>
      </c>
      <c r="C147" t="s">
        <v>124</v>
      </c>
      <c r="D147">
        <v>0.40960000000000002</v>
      </c>
      <c r="E147">
        <v>409.6</v>
      </c>
      <c r="F147">
        <v>9.5250000000000005E-3</v>
      </c>
      <c r="G147">
        <v>9.5250000000000004</v>
      </c>
      <c r="H147">
        <v>43.00262467191601</v>
      </c>
      <c r="I147">
        <v>100</v>
      </c>
      <c r="J147" t="s">
        <v>75</v>
      </c>
      <c r="K147">
        <v>14</v>
      </c>
      <c r="L147">
        <v>15</v>
      </c>
      <c r="M147">
        <v>483000</v>
      </c>
      <c r="N147">
        <v>565000</v>
      </c>
      <c r="O147">
        <v>2.8799444073326219</v>
      </c>
      <c r="P147">
        <v>2.7690517990613435</v>
      </c>
      <c r="Q147">
        <v>1.0577709909520427</v>
      </c>
      <c r="R147">
        <v>75</v>
      </c>
      <c r="S147" t="s">
        <v>71</v>
      </c>
      <c r="T147" t="s">
        <v>76</v>
      </c>
      <c r="U147">
        <v>18.5</v>
      </c>
      <c r="V147">
        <v>0</v>
      </c>
      <c r="W147">
        <v>125</v>
      </c>
      <c r="X147">
        <v>0.4</v>
      </c>
      <c r="Y147">
        <v>0.9</v>
      </c>
      <c r="Z147">
        <v>1.2</v>
      </c>
      <c r="AA147">
        <v>2.9296874999999996</v>
      </c>
      <c r="AB147">
        <v>64.339817545518969</v>
      </c>
      <c r="AC147">
        <v>0</v>
      </c>
      <c r="AD147">
        <v>0</v>
      </c>
      <c r="AE147">
        <v>263.16800000000001</v>
      </c>
      <c r="AF147">
        <v>5.5727926115125355</v>
      </c>
      <c r="AG147">
        <v>3.7612611527125335</v>
      </c>
      <c r="AH147">
        <v>4.1641786860207075</v>
      </c>
      <c r="AI147">
        <v>2.5498958799999998</v>
      </c>
      <c r="AJ147">
        <v>5.5951000000000004</v>
      </c>
      <c r="AK147">
        <v>1.6E-2</v>
      </c>
      <c r="AL147">
        <v>1.2641</v>
      </c>
      <c r="AM147">
        <v>-0.52429999999999999</v>
      </c>
      <c r="AN147">
        <v>0.35830000000000001</v>
      </c>
      <c r="AO147">
        <v>-0.35920000000000002</v>
      </c>
      <c r="AP147">
        <v>-0.2482</v>
      </c>
      <c r="AR147">
        <v>-8.7846462124065994E-2</v>
      </c>
      <c r="AV147">
        <v>-2.3450000000000002</v>
      </c>
      <c r="AW147">
        <v>0.19470000000000001</v>
      </c>
      <c r="AX147">
        <v>-0.2044</v>
      </c>
      <c r="AY147">
        <v>0.4143</v>
      </c>
      <c r="AZ147">
        <v>-0.55710000000000004</v>
      </c>
      <c r="BA147">
        <v>1.0931</v>
      </c>
      <c r="BB147">
        <v>1E-4</v>
      </c>
      <c r="BC147">
        <v>3.5000000000000001E-3</v>
      </c>
      <c r="BD147">
        <v>-4.07E-2</v>
      </c>
      <c r="BE147">
        <v>1.6000000000000001E-3</v>
      </c>
      <c r="BF147">
        <v>-0.65949999999999998</v>
      </c>
      <c r="BG147">
        <v>-3.0099999999999998E-2</v>
      </c>
      <c r="BH147">
        <v>0.84219999999999995</v>
      </c>
      <c r="BI147">
        <v>0.50680000000000003</v>
      </c>
      <c r="BW147">
        <v>0</v>
      </c>
      <c r="BX147">
        <v>0</v>
      </c>
      <c r="BY147">
        <v>0</v>
      </c>
      <c r="BZ147">
        <v>0.71877833821449522</v>
      </c>
      <c r="CB147">
        <v>0.93605252696416252</v>
      </c>
      <c r="CG147">
        <v>1.0238989890882286</v>
      </c>
      <c r="CH147">
        <v>0.73595641387633859</v>
      </c>
      <c r="CI147">
        <v>0.7323175464331303</v>
      </c>
      <c r="CJ147">
        <v>0</v>
      </c>
      <c r="CK147">
        <v>2.3088079789496434</v>
      </c>
      <c r="CL147">
        <v>0.49725308974858501</v>
      </c>
      <c r="CM147">
        <v>1.9293350290076969</v>
      </c>
      <c r="CN147">
        <v>6.8849304400058262</v>
      </c>
      <c r="CO147">
        <v>1.0000000000000001E-5</v>
      </c>
      <c r="CP147">
        <v>6.8849304400058262</v>
      </c>
      <c r="CQ147">
        <v>0.43780000000000002</v>
      </c>
      <c r="CR147">
        <v>0.01</v>
      </c>
      <c r="CS147">
        <v>0.43780000000000002</v>
      </c>
      <c r="CT147">
        <v>0.3</v>
      </c>
      <c r="CU147">
        <v>0.3</v>
      </c>
      <c r="CV147">
        <v>0.3</v>
      </c>
    </row>
    <row r="148" spans="1:100" x14ac:dyDescent="0.25">
      <c r="A148">
        <v>64</v>
      </c>
      <c r="B148">
        <v>3</v>
      </c>
      <c r="C148" t="s">
        <v>124</v>
      </c>
      <c r="D148">
        <v>0.89600000000000002</v>
      </c>
      <c r="E148">
        <v>896</v>
      </c>
      <c r="F148">
        <v>9.5250000000000005E-3</v>
      </c>
      <c r="G148">
        <v>9.5250000000000004</v>
      </c>
      <c r="H148">
        <v>94.068241469816272</v>
      </c>
      <c r="I148">
        <v>300</v>
      </c>
      <c r="J148" t="s">
        <v>70</v>
      </c>
      <c r="K148">
        <v>8</v>
      </c>
      <c r="L148">
        <v>10</v>
      </c>
      <c r="M148">
        <v>359000</v>
      </c>
      <c r="N148">
        <v>455000</v>
      </c>
      <c r="O148">
        <v>1.9969902892117808</v>
      </c>
      <c r="P148">
        <v>1.9041242414694344</v>
      </c>
      <c r="Q148">
        <v>0.69164119173371341</v>
      </c>
      <c r="R148">
        <v>90</v>
      </c>
      <c r="S148" t="s">
        <v>71</v>
      </c>
      <c r="T148" t="s">
        <v>72</v>
      </c>
      <c r="U148">
        <v>17.5</v>
      </c>
      <c r="V148">
        <v>0</v>
      </c>
      <c r="W148">
        <v>37.5</v>
      </c>
      <c r="X148">
        <v>1.1000000000000001</v>
      </c>
      <c r="Y148">
        <v>0.9</v>
      </c>
      <c r="Z148">
        <v>2.5</v>
      </c>
      <c r="AA148">
        <v>2.7901785714285712</v>
      </c>
      <c r="AB148">
        <v>116.11326447667876</v>
      </c>
      <c r="AC148">
        <v>0</v>
      </c>
      <c r="AD148">
        <v>0</v>
      </c>
      <c r="AE148">
        <v>172.70400000000001</v>
      </c>
      <c r="AF148">
        <v>5.1515791464362319</v>
      </c>
      <c r="AG148">
        <v>4.5440204919621658</v>
      </c>
      <c r="AH148">
        <v>4.7545661326228839</v>
      </c>
      <c r="AI148">
        <v>2.699997304</v>
      </c>
      <c r="AJ148">
        <v>14.575100000000001</v>
      </c>
      <c r="AK148">
        <v>0.1356</v>
      </c>
      <c r="AL148">
        <v>2.9990000000000001</v>
      </c>
      <c r="AM148">
        <v>-0.94710000000000005</v>
      </c>
      <c r="AN148">
        <v>0.6603</v>
      </c>
      <c r="AO148">
        <v>-1.2488999999999999</v>
      </c>
      <c r="AP148">
        <v>-0.44140000000000001</v>
      </c>
      <c r="AR148">
        <v>2.6397743044482214</v>
      </c>
      <c r="AV148">
        <v>5.1353999999999997</v>
      </c>
      <c r="AW148">
        <v>-4.9599999999999998E-2</v>
      </c>
      <c r="AX148">
        <v>0.44590000000000002</v>
      </c>
      <c r="AY148">
        <v>-0.83709999999999996</v>
      </c>
      <c r="AZ148">
        <v>0.63090000000000002</v>
      </c>
      <c r="BA148">
        <v>0.91390000000000005</v>
      </c>
      <c r="BB148">
        <v>2.5000000000000001E-3</v>
      </c>
      <c r="BC148">
        <v>1.6000000000000001E-3</v>
      </c>
      <c r="BD148">
        <v>-9.7500000000000003E-2</v>
      </c>
      <c r="BE148">
        <v>1.1999999999999999E-3</v>
      </c>
      <c r="BF148">
        <v>0.46479999999999999</v>
      </c>
      <c r="BG148">
        <v>8.0000000000000004E-4</v>
      </c>
      <c r="BH148">
        <v>6.7900000000000002E-2</v>
      </c>
      <c r="BI148">
        <v>0.58979999999999999</v>
      </c>
      <c r="BW148">
        <v>0</v>
      </c>
      <c r="BX148">
        <v>1</v>
      </c>
      <c r="BY148">
        <v>0</v>
      </c>
      <c r="BZ148">
        <v>1.2195650509554765</v>
      </c>
      <c r="CB148">
        <v>0.99325077449126642</v>
      </c>
      <c r="CG148">
        <v>-1.6465235299569549</v>
      </c>
      <c r="CH148">
        <v>-2.0080425527113448</v>
      </c>
      <c r="CI148">
        <v>-0.22538341640132342</v>
      </c>
      <c r="CJ148">
        <v>0</v>
      </c>
      <c r="CK148">
        <v>-4.3123869034817695</v>
      </c>
      <c r="CL148">
        <v>-6.928219896394662E-2</v>
      </c>
      <c r="CM148">
        <v>-1.4796950715583848</v>
      </c>
      <c r="CN148">
        <v>0.22770711217349057</v>
      </c>
      <c r="CO148">
        <v>1.0000000000000001E-5</v>
      </c>
      <c r="CP148">
        <v>0.22770711217349057</v>
      </c>
      <c r="CQ148">
        <v>0.34749999999999998</v>
      </c>
      <c r="CR148">
        <v>0.01</v>
      </c>
      <c r="CS148">
        <v>0.34749999999999998</v>
      </c>
      <c r="CT148">
        <v>0.3</v>
      </c>
      <c r="CU148">
        <v>0.3</v>
      </c>
      <c r="CV148">
        <v>0.3</v>
      </c>
    </row>
    <row r="149" spans="1:100" x14ac:dyDescent="0.25">
      <c r="A149">
        <v>65</v>
      </c>
      <c r="B149">
        <v>4</v>
      </c>
      <c r="C149" t="s">
        <v>124</v>
      </c>
      <c r="D149">
        <v>0.5</v>
      </c>
      <c r="E149">
        <v>500</v>
      </c>
      <c r="F149">
        <v>9.5250000000000005E-3</v>
      </c>
      <c r="G149">
        <v>9.5250000000000004</v>
      </c>
      <c r="H149">
        <v>52.493438320209975</v>
      </c>
      <c r="I149">
        <v>30</v>
      </c>
      <c r="J149" t="s">
        <v>75</v>
      </c>
      <c r="K149">
        <v>14</v>
      </c>
      <c r="L149">
        <v>15</v>
      </c>
      <c r="M149">
        <v>483000</v>
      </c>
      <c r="N149">
        <v>565000</v>
      </c>
      <c r="O149">
        <v>2.8799444073326219</v>
      </c>
      <c r="P149">
        <v>2.7690517990613435</v>
      </c>
      <c r="Q149">
        <v>1.0577709909520427</v>
      </c>
      <c r="R149">
        <v>45</v>
      </c>
      <c r="S149" t="s">
        <v>71</v>
      </c>
      <c r="T149" t="s">
        <v>74</v>
      </c>
      <c r="U149">
        <v>18</v>
      </c>
      <c r="V149">
        <v>0</v>
      </c>
      <c r="W149">
        <v>75</v>
      </c>
      <c r="X149">
        <v>0.72</v>
      </c>
      <c r="Y149">
        <v>0.9</v>
      </c>
      <c r="Z149">
        <v>1</v>
      </c>
      <c r="AA149">
        <v>2</v>
      </c>
      <c r="AB149">
        <v>84.823001646924411</v>
      </c>
      <c r="AC149">
        <v>0</v>
      </c>
      <c r="AD149">
        <v>0</v>
      </c>
      <c r="AE149">
        <v>192.75</v>
      </c>
      <c r="AF149">
        <v>5.2613940124434393</v>
      </c>
      <c r="AG149">
        <v>3.9606881774094269</v>
      </c>
      <c r="AH149">
        <v>4.4405667518537291</v>
      </c>
      <c r="AI149">
        <v>2.8500987279999999</v>
      </c>
      <c r="AJ149">
        <v>3.7532999999999999</v>
      </c>
      <c r="AK149">
        <v>0.14510000000000001</v>
      </c>
      <c r="AL149">
        <v>1.2497</v>
      </c>
      <c r="AM149">
        <v>-0.46100000000000002</v>
      </c>
      <c r="AN149">
        <v>0.39140000000000003</v>
      </c>
      <c r="AO149">
        <v>-0.21310000000000001</v>
      </c>
      <c r="AP149">
        <v>-0.34139999999999998</v>
      </c>
      <c r="AR149">
        <v>-0.66849052852826096</v>
      </c>
      <c r="AV149">
        <v>-1.1082000000000001</v>
      </c>
      <c r="AW149">
        <v>0.10630000000000001</v>
      </c>
      <c r="AX149">
        <v>-0.1439</v>
      </c>
      <c r="AY149">
        <v>0.27879999999999999</v>
      </c>
      <c r="AZ149">
        <v>-0.31030000000000002</v>
      </c>
      <c r="BA149">
        <v>1.2553000000000001</v>
      </c>
      <c r="BB149">
        <v>2.9999999999999997E-4</v>
      </c>
      <c r="BC149">
        <v>5.1999999999999998E-3</v>
      </c>
      <c r="BD149">
        <v>-8.5900000000000004E-2</v>
      </c>
      <c r="BE149">
        <v>5.9999999999999995E-4</v>
      </c>
      <c r="BF149">
        <v>-0.21759999999999999</v>
      </c>
      <c r="BG149">
        <v>-2.69E-2</v>
      </c>
      <c r="BH149">
        <v>0.57389999999999997</v>
      </c>
      <c r="BI149">
        <v>0.34460000000000002</v>
      </c>
      <c r="BW149">
        <v>0</v>
      </c>
      <c r="BX149">
        <v>0</v>
      </c>
      <c r="BY149">
        <v>1</v>
      </c>
      <c r="BZ149">
        <v>2.0299078834820738</v>
      </c>
      <c r="CB149">
        <v>1.0473536350840684</v>
      </c>
      <c r="CG149">
        <v>1.7158441636123294</v>
      </c>
      <c r="CH149">
        <v>3.4830055945433727</v>
      </c>
      <c r="CI149">
        <v>0.42102115325862211</v>
      </c>
      <c r="CJ149">
        <v>0</v>
      </c>
      <c r="CK149">
        <v>1.4668766506692308</v>
      </c>
      <c r="CL149">
        <v>0.21508357012775103</v>
      </c>
      <c r="CM149">
        <v>4.4777869685989762</v>
      </c>
      <c r="CN149">
        <v>88.03962248006998</v>
      </c>
      <c r="CO149">
        <v>1.0000000000000001E-5</v>
      </c>
      <c r="CP149">
        <v>88.03962248006998</v>
      </c>
      <c r="CQ149">
        <v>0.3997</v>
      </c>
      <c r="CR149">
        <v>0.01</v>
      </c>
      <c r="CS149">
        <v>0.3997</v>
      </c>
      <c r="CT149">
        <v>0.3</v>
      </c>
      <c r="CU149">
        <v>0.3</v>
      </c>
      <c r="CV149">
        <v>0.3</v>
      </c>
    </row>
    <row r="150" spans="1:100" x14ac:dyDescent="0.25">
      <c r="A150">
        <v>66</v>
      </c>
      <c r="B150">
        <v>5</v>
      </c>
      <c r="C150" t="s">
        <v>124</v>
      </c>
      <c r="D150">
        <v>1.0668</v>
      </c>
      <c r="E150">
        <v>1066.8</v>
      </c>
      <c r="F150">
        <v>9.5250000000000005E-3</v>
      </c>
      <c r="G150">
        <v>9.5250000000000004</v>
      </c>
      <c r="H150">
        <v>111.99999999999999</v>
      </c>
      <c r="I150">
        <v>50</v>
      </c>
      <c r="J150" t="s">
        <v>77</v>
      </c>
      <c r="K150">
        <v>15</v>
      </c>
      <c r="L150">
        <v>20</v>
      </c>
      <c r="M150">
        <v>552000</v>
      </c>
      <c r="N150">
        <v>625000</v>
      </c>
      <c r="O150">
        <v>2.9888368774026359</v>
      </c>
      <c r="P150">
        <v>2.8464933991254466</v>
      </c>
      <c r="Q150">
        <v>1.0948843075076633</v>
      </c>
      <c r="R150">
        <v>60</v>
      </c>
      <c r="S150" t="s">
        <v>71</v>
      </c>
      <c r="T150" t="s">
        <v>76</v>
      </c>
      <c r="U150">
        <v>18.5</v>
      </c>
      <c r="V150">
        <v>0</v>
      </c>
      <c r="W150">
        <v>125</v>
      </c>
      <c r="X150">
        <v>0.4</v>
      </c>
      <c r="Y150">
        <v>0.9</v>
      </c>
      <c r="Z150">
        <v>1.2</v>
      </c>
      <c r="AA150">
        <v>1.8</v>
      </c>
      <c r="AB150">
        <v>167.57255214247957</v>
      </c>
      <c r="AC150">
        <v>0</v>
      </c>
      <c r="AD150">
        <v>0</v>
      </c>
      <c r="AE150">
        <v>685.41899999999998</v>
      </c>
      <c r="AF150">
        <v>6.530030330095097</v>
      </c>
      <c r="AG150">
        <v>4.7184988712950942</v>
      </c>
      <c r="AH150">
        <v>5.1214164046032682</v>
      </c>
      <c r="AI150">
        <v>3.0002260330000001</v>
      </c>
      <c r="AJ150">
        <v>4.3182999999999998</v>
      </c>
      <c r="AK150">
        <v>-2.7900000000000001E-2</v>
      </c>
      <c r="AL150">
        <v>1.0497000000000001</v>
      </c>
      <c r="AM150">
        <v>-0.46910000000000002</v>
      </c>
      <c r="AN150">
        <v>0.29149999999999998</v>
      </c>
      <c r="AO150">
        <v>-0.28610000000000002</v>
      </c>
      <c r="AP150">
        <v>-0.1348</v>
      </c>
      <c r="AR150">
        <v>-0.17586580558020715</v>
      </c>
      <c r="AV150">
        <v>-2.1276999999999999</v>
      </c>
      <c r="AW150">
        <v>0.14760000000000001</v>
      </c>
      <c r="AX150">
        <v>-0.21829999999999999</v>
      </c>
      <c r="AY150">
        <v>0.42270000000000002</v>
      </c>
      <c r="AZ150">
        <v>-0.53720000000000001</v>
      </c>
      <c r="BA150">
        <v>1.252</v>
      </c>
      <c r="BB150">
        <v>-5.9999999999999995E-4</v>
      </c>
      <c r="BC150">
        <v>5.3E-3</v>
      </c>
      <c r="BD150">
        <v>-4.8500000000000001E-2</v>
      </c>
      <c r="BE150">
        <v>1.2999999999999999E-3</v>
      </c>
      <c r="BF150">
        <v>-0.56599999999999995</v>
      </c>
      <c r="BG150">
        <v>-3.2099999999999997E-2</v>
      </c>
      <c r="BH150">
        <v>0.84970000000000001</v>
      </c>
      <c r="BI150">
        <v>9.01E-2</v>
      </c>
      <c r="BW150">
        <v>0</v>
      </c>
      <c r="BX150">
        <v>0</v>
      </c>
      <c r="BY150">
        <v>1</v>
      </c>
      <c r="BZ150">
        <v>1.1376490761064402</v>
      </c>
      <c r="CB150">
        <v>1.0986876301632014</v>
      </c>
      <c r="CG150">
        <v>1.2745534357434085</v>
      </c>
      <c r="CH150">
        <v>1.4499945386217779</v>
      </c>
      <c r="CI150">
        <v>0.69645043340315593</v>
      </c>
      <c r="CJ150">
        <v>0</v>
      </c>
      <c r="CK150">
        <v>2.7602438205311977</v>
      </c>
      <c r="CL150">
        <v>-3.4737239358577927E-2</v>
      </c>
      <c r="CM150">
        <v>2.7442515531975533</v>
      </c>
      <c r="CN150">
        <v>15.552969005003565</v>
      </c>
      <c r="CO150">
        <v>1.0000000000000001E-5</v>
      </c>
      <c r="CP150">
        <v>15.552969005003565</v>
      </c>
      <c r="CQ150">
        <v>0.50170000000000003</v>
      </c>
      <c r="CR150">
        <v>0.01</v>
      </c>
      <c r="CS150">
        <v>0.50170000000000003</v>
      </c>
      <c r="CT150">
        <v>0.3</v>
      </c>
      <c r="CU150">
        <v>0.3</v>
      </c>
      <c r="CV150">
        <v>0.3</v>
      </c>
    </row>
    <row r="151" spans="1:100" x14ac:dyDescent="0.25">
      <c r="A151">
        <v>67</v>
      </c>
      <c r="B151">
        <v>6</v>
      </c>
      <c r="C151" t="s">
        <v>124</v>
      </c>
      <c r="D151">
        <v>0.60960000000000003</v>
      </c>
      <c r="E151">
        <v>609.6</v>
      </c>
      <c r="F151">
        <v>9.5250000000000005E-3</v>
      </c>
      <c r="G151">
        <v>9.5250000000000004</v>
      </c>
      <c r="H151">
        <v>64</v>
      </c>
      <c r="I151">
        <v>100</v>
      </c>
      <c r="J151" t="s">
        <v>70</v>
      </c>
      <c r="K151">
        <v>8</v>
      </c>
      <c r="L151">
        <v>10</v>
      </c>
      <c r="M151">
        <v>359000</v>
      </c>
      <c r="N151">
        <v>455000</v>
      </c>
      <c r="O151">
        <v>1.9969902892117808</v>
      </c>
      <c r="P151">
        <v>1.9041242414694344</v>
      </c>
      <c r="Q151">
        <v>0.69164119173371341</v>
      </c>
      <c r="R151">
        <v>75</v>
      </c>
      <c r="S151" t="s">
        <v>71</v>
      </c>
      <c r="T151" t="s">
        <v>72</v>
      </c>
      <c r="U151">
        <v>17.5</v>
      </c>
      <c r="V151">
        <v>0</v>
      </c>
      <c r="W151">
        <v>37.5</v>
      </c>
      <c r="X151">
        <v>1.1000000000000001</v>
      </c>
      <c r="Y151">
        <v>0.9</v>
      </c>
      <c r="Z151">
        <v>0.78739999999999999</v>
      </c>
      <c r="AA151">
        <v>1.8</v>
      </c>
      <c r="AB151">
        <v>78.998488867168945</v>
      </c>
      <c r="AC151">
        <v>0</v>
      </c>
      <c r="AD151">
        <v>0</v>
      </c>
      <c r="AE151">
        <v>117.5004</v>
      </c>
      <c r="AF151">
        <v>4.7664417378337385</v>
      </c>
      <c r="AG151">
        <v>4.1588830833596715</v>
      </c>
      <c r="AH151">
        <v>4.3694287240203895</v>
      </c>
      <c r="AI151">
        <v>0.14999670000000001</v>
      </c>
      <c r="AJ151">
        <v>5.5951000000000004</v>
      </c>
      <c r="AK151">
        <v>1.6E-2</v>
      </c>
      <c r="AL151">
        <v>1.2641</v>
      </c>
      <c r="AM151">
        <v>-0.52429999999999999</v>
      </c>
      <c r="AN151">
        <v>0.35830000000000001</v>
      </c>
      <c r="AO151">
        <v>-0.35920000000000002</v>
      </c>
      <c r="AP151">
        <v>-0.2482</v>
      </c>
      <c r="AR151">
        <v>0.31382810950266227</v>
      </c>
      <c r="AV151">
        <v>-2.3450000000000002</v>
      </c>
      <c r="AW151">
        <v>0.19470000000000001</v>
      </c>
      <c r="AX151">
        <v>-0.2044</v>
      </c>
      <c r="AY151">
        <v>0.4143</v>
      </c>
      <c r="AZ151">
        <v>-0.55710000000000004</v>
      </c>
      <c r="BA151">
        <v>1.0931</v>
      </c>
      <c r="BB151">
        <v>1E-4</v>
      </c>
      <c r="BC151">
        <v>3.5000000000000001E-3</v>
      </c>
      <c r="BD151">
        <v>-4.07E-2</v>
      </c>
      <c r="BE151">
        <v>1.6000000000000001E-3</v>
      </c>
      <c r="BF151">
        <v>-0.65949999999999998</v>
      </c>
      <c r="BG151">
        <v>-3.0099999999999998E-2</v>
      </c>
      <c r="BH151">
        <v>0.84219999999999995</v>
      </c>
      <c r="BI151">
        <v>0.50680000000000003</v>
      </c>
      <c r="BW151">
        <v>0</v>
      </c>
      <c r="BX151">
        <v>1</v>
      </c>
      <c r="BY151">
        <v>0</v>
      </c>
      <c r="BZ151">
        <v>1.1626998488867168</v>
      </c>
      <c r="CB151">
        <v>-1.8971419851278848</v>
      </c>
      <c r="CG151">
        <v>-2.2109700946305471</v>
      </c>
      <c r="CH151">
        <v>-2.5706945949199871</v>
      </c>
      <c r="CI151">
        <v>0.80973453633012804</v>
      </c>
      <c r="CJ151">
        <v>0</v>
      </c>
      <c r="CK151">
        <v>1.9747368119845179</v>
      </c>
      <c r="CL151">
        <v>0.27573791218506416</v>
      </c>
      <c r="CM151">
        <v>-1.8554853344202775</v>
      </c>
      <c r="CN151">
        <v>0.15637702909994644</v>
      </c>
      <c r="CO151">
        <v>1.0000000000000001E-5</v>
      </c>
      <c r="CP151">
        <v>0.15637702909994644</v>
      </c>
      <c r="CQ151">
        <v>0.43780000000000002</v>
      </c>
      <c r="CR151">
        <v>0.01</v>
      </c>
      <c r="CS151">
        <v>0.43780000000000002</v>
      </c>
      <c r="CT151">
        <v>0.3</v>
      </c>
      <c r="CU151">
        <v>0.3</v>
      </c>
      <c r="CV151">
        <v>0.3</v>
      </c>
    </row>
    <row r="152" spans="1:100" x14ac:dyDescent="0.25">
      <c r="A152">
        <v>68</v>
      </c>
      <c r="B152">
        <v>7</v>
      </c>
      <c r="C152" t="s">
        <v>124</v>
      </c>
      <c r="D152">
        <v>0.40960000000000002</v>
      </c>
      <c r="E152">
        <v>409.6</v>
      </c>
      <c r="F152">
        <v>9.5250000000000005E-3</v>
      </c>
      <c r="G152">
        <v>9.5250000000000004</v>
      </c>
      <c r="H152">
        <v>43.00262467191601</v>
      </c>
      <c r="I152">
        <v>300</v>
      </c>
      <c r="J152" t="s">
        <v>73</v>
      </c>
      <c r="K152">
        <v>8</v>
      </c>
      <c r="L152">
        <v>12</v>
      </c>
      <c r="M152">
        <v>414000</v>
      </c>
      <c r="N152">
        <v>517000</v>
      </c>
      <c r="O152">
        <v>2.5466769467238102</v>
      </c>
      <c r="P152">
        <v>2.4313344008036557</v>
      </c>
      <c r="Q152">
        <v>0.93478935117382533</v>
      </c>
      <c r="R152">
        <v>90</v>
      </c>
      <c r="S152" t="s">
        <v>71</v>
      </c>
      <c r="T152" t="s">
        <v>74</v>
      </c>
      <c r="U152">
        <v>18</v>
      </c>
      <c r="V152">
        <v>0</v>
      </c>
      <c r="W152">
        <v>75</v>
      </c>
      <c r="X152">
        <v>0.72</v>
      </c>
      <c r="Y152">
        <v>0.9</v>
      </c>
      <c r="Z152">
        <v>1</v>
      </c>
      <c r="AA152">
        <v>2.44140625</v>
      </c>
      <c r="AB152">
        <v>69.487002949160484</v>
      </c>
      <c r="AC152">
        <v>0</v>
      </c>
      <c r="AD152">
        <v>0</v>
      </c>
      <c r="AE152">
        <v>157.9008</v>
      </c>
      <c r="AF152">
        <v>5.061966987746545</v>
      </c>
      <c r="AG152">
        <v>3.7612611527125335</v>
      </c>
      <c r="AH152">
        <v>4.2411397271568356</v>
      </c>
      <c r="AI152">
        <v>0.29999340000000002</v>
      </c>
      <c r="AJ152">
        <v>14.575100000000001</v>
      </c>
      <c r="AK152">
        <v>0.1356</v>
      </c>
      <c r="AL152">
        <v>2.9990000000000001</v>
      </c>
      <c r="AM152">
        <v>-0.94710000000000005</v>
      </c>
      <c r="AN152">
        <v>0.6603</v>
      </c>
      <c r="AO152">
        <v>-1.2488999999999999</v>
      </c>
      <c r="AP152">
        <v>-0.44140000000000001</v>
      </c>
      <c r="AR152">
        <v>1.5327241862804701</v>
      </c>
      <c r="AV152">
        <v>5.1353999999999997</v>
      </c>
      <c r="AW152">
        <v>-4.9599999999999998E-2</v>
      </c>
      <c r="AX152">
        <v>0.44590000000000002</v>
      </c>
      <c r="AY152">
        <v>-0.83709999999999996</v>
      </c>
      <c r="AZ152">
        <v>0.63090000000000002</v>
      </c>
      <c r="BA152">
        <v>0.91390000000000005</v>
      </c>
      <c r="BB152">
        <v>2.5000000000000001E-3</v>
      </c>
      <c r="BC152">
        <v>1.6000000000000001E-3</v>
      </c>
      <c r="BD152">
        <v>-9.7500000000000003E-2</v>
      </c>
      <c r="BE152">
        <v>1.1999999999999999E-3</v>
      </c>
      <c r="BF152">
        <v>0.46479999999999999</v>
      </c>
      <c r="BG152">
        <v>8.0000000000000004E-4</v>
      </c>
      <c r="BH152">
        <v>6.7900000000000002E-2</v>
      </c>
      <c r="BI152">
        <v>0.58979999999999999</v>
      </c>
      <c r="BW152">
        <v>0</v>
      </c>
      <c r="BX152">
        <v>1</v>
      </c>
      <c r="BY152">
        <v>0</v>
      </c>
      <c r="BZ152">
        <v>1.0417206569792006</v>
      </c>
      <c r="CB152">
        <v>-1.2039948045679394</v>
      </c>
      <c r="CG152">
        <v>-2.7367189908484093</v>
      </c>
      <c r="CH152">
        <v>-2.8508967051140597</v>
      </c>
      <c r="CI152">
        <v>-0.18655855317454165</v>
      </c>
      <c r="CJ152">
        <v>0</v>
      </c>
      <c r="CK152">
        <v>-4.2373725654426329</v>
      </c>
      <c r="CL152">
        <v>-0.56312506609653967</v>
      </c>
      <c r="CM152">
        <v>-2.702552889827774</v>
      </c>
      <c r="CN152">
        <v>6.7034163281111642E-2</v>
      </c>
      <c r="CO152">
        <v>1.0000000000000001E-5</v>
      </c>
      <c r="CP152">
        <v>6.7034163281111642E-2</v>
      </c>
      <c r="CQ152">
        <v>0.34749999999999998</v>
      </c>
      <c r="CR152">
        <v>0.01</v>
      </c>
      <c r="CS152">
        <v>0.34749999999999998</v>
      </c>
      <c r="CT152">
        <v>0.3</v>
      </c>
      <c r="CU152">
        <v>0.3</v>
      </c>
      <c r="CV152">
        <v>0.3</v>
      </c>
    </row>
    <row r="153" spans="1:100" x14ac:dyDescent="0.25">
      <c r="A153">
        <v>69</v>
      </c>
      <c r="B153">
        <v>8</v>
      </c>
      <c r="C153" t="s">
        <v>124</v>
      </c>
      <c r="D153">
        <v>0.89600000000000002</v>
      </c>
      <c r="E153">
        <v>896</v>
      </c>
      <c r="F153">
        <v>9.5250000000000005E-3</v>
      </c>
      <c r="G153">
        <v>9.5250000000000004</v>
      </c>
      <c r="H153">
        <v>94.068241469816272</v>
      </c>
      <c r="I153">
        <v>30</v>
      </c>
      <c r="J153" t="s">
        <v>75</v>
      </c>
      <c r="K153">
        <v>14</v>
      </c>
      <c r="L153">
        <v>15</v>
      </c>
      <c r="M153">
        <v>483000</v>
      </c>
      <c r="N153">
        <v>565000</v>
      </c>
      <c r="O153">
        <v>2.8799444073326219</v>
      </c>
      <c r="P153">
        <v>2.7690517990613435</v>
      </c>
      <c r="Q153">
        <v>1.0577709909520427</v>
      </c>
      <c r="R153">
        <v>45</v>
      </c>
      <c r="S153" t="s">
        <v>71</v>
      </c>
      <c r="T153" t="s">
        <v>76</v>
      </c>
      <c r="U153">
        <v>18.5</v>
      </c>
      <c r="V153">
        <v>0</v>
      </c>
      <c r="W153">
        <v>125</v>
      </c>
      <c r="X153">
        <v>0.4</v>
      </c>
      <c r="Y153">
        <v>0.9</v>
      </c>
      <c r="Z153">
        <v>1.2</v>
      </c>
      <c r="AA153">
        <v>1.8</v>
      </c>
      <c r="AB153">
        <v>140.74335088082273</v>
      </c>
      <c r="AC153">
        <v>0</v>
      </c>
      <c r="AD153">
        <v>0</v>
      </c>
      <c r="AE153">
        <v>575.68000000000006</v>
      </c>
      <c r="AF153">
        <v>6.3555519507621687</v>
      </c>
      <c r="AG153">
        <v>4.5440204919621658</v>
      </c>
      <c r="AH153">
        <v>4.9469380252703399</v>
      </c>
      <c r="AI153">
        <v>0.4499901</v>
      </c>
      <c r="AJ153">
        <v>3.7532999999999999</v>
      </c>
      <c r="AK153">
        <v>0.14510000000000001</v>
      </c>
      <c r="AL153">
        <v>1.2497</v>
      </c>
      <c r="AM153">
        <v>-0.46100000000000002</v>
      </c>
      <c r="AN153">
        <v>0.39140000000000003</v>
      </c>
      <c r="AO153">
        <v>-0.21310000000000001</v>
      </c>
      <c r="AP153">
        <v>-0.34139999999999998</v>
      </c>
      <c r="AR153">
        <v>-0.61445654144066819</v>
      </c>
      <c r="AV153">
        <v>-1.1082000000000001</v>
      </c>
      <c r="AW153">
        <v>0.10630000000000001</v>
      </c>
      <c r="AX153">
        <v>-0.1439</v>
      </c>
      <c r="AY153">
        <v>0.27879999999999999</v>
      </c>
      <c r="AZ153">
        <v>-0.31030000000000002</v>
      </c>
      <c r="BA153">
        <v>1.2553000000000001</v>
      </c>
      <c r="BB153">
        <v>2.9999999999999997E-4</v>
      </c>
      <c r="BC153">
        <v>5.1999999999999998E-3</v>
      </c>
      <c r="BD153">
        <v>-8.5900000000000004E-2</v>
      </c>
      <c r="BE153">
        <v>5.9999999999999995E-4</v>
      </c>
      <c r="BF153">
        <v>-0.21759999999999999</v>
      </c>
      <c r="BG153">
        <v>-2.69E-2</v>
      </c>
      <c r="BH153">
        <v>0.57389999999999997</v>
      </c>
      <c r="BI153">
        <v>0.34460000000000002</v>
      </c>
      <c r="BW153">
        <v>0</v>
      </c>
      <c r="BX153">
        <v>1</v>
      </c>
      <c r="BY153">
        <v>1</v>
      </c>
      <c r="BZ153">
        <v>0.98996395014613658</v>
      </c>
      <c r="CB153">
        <v>-0.79852969645977512</v>
      </c>
      <c r="CG153">
        <v>-0.18407315501910693</v>
      </c>
      <c r="CH153">
        <v>-0.18222578765857725</v>
      </c>
      <c r="CI153">
        <v>0.48302937829557824</v>
      </c>
      <c r="CJ153">
        <v>0</v>
      </c>
      <c r="CK153">
        <v>1.7719278838724926</v>
      </c>
      <c r="CL153">
        <v>3.4075552922036199E-2</v>
      </c>
      <c r="CM153">
        <v>0.99860702743152963</v>
      </c>
      <c r="CN153">
        <v>2.7144979724542799</v>
      </c>
      <c r="CO153">
        <v>1.0000000000000001E-5</v>
      </c>
      <c r="CP153">
        <v>2.7144979724542799</v>
      </c>
      <c r="CQ153">
        <v>0.3997</v>
      </c>
      <c r="CR153">
        <v>0.01</v>
      </c>
      <c r="CS153">
        <v>0.3997</v>
      </c>
      <c r="CT153">
        <v>0.3</v>
      </c>
      <c r="CU153">
        <v>0.3</v>
      </c>
      <c r="CV153">
        <v>0.3</v>
      </c>
    </row>
    <row r="154" spans="1:100" x14ac:dyDescent="0.25">
      <c r="A154">
        <v>70</v>
      </c>
      <c r="B154">
        <v>9</v>
      </c>
      <c r="C154" t="s">
        <v>124</v>
      </c>
      <c r="D154">
        <v>0.5</v>
      </c>
      <c r="E154">
        <v>500</v>
      </c>
      <c r="F154">
        <v>9.5250000000000005E-3</v>
      </c>
      <c r="G154">
        <v>9.5250000000000004</v>
      </c>
      <c r="H154">
        <v>52.493438320209975</v>
      </c>
      <c r="I154">
        <v>50</v>
      </c>
      <c r="J154" t="s">
        <v>70</v>
      </c>
      <c r="K154">
        <v>8</v>
      </c>
      <c r="L154">
        <v>10</v>
      </c>
      <c r="M154">
        <v>359000</v>
      </c>
      <c r="N154">
        <v>455000</v>
      </c>
      <c r="O154">
        <v>1.9969902892117808</v>
      </c>
      <c r="P154">
        <v>1.9041242414694344</v>
      </c>
      <c r="Q154">
        <v>0.69164119173371341</v>
      </c>
      <c r="R154">
        <v>60</v>
      </c>
      <c r="S154" t="s">
        <v>71</v>
      </c>
      <c r="T154" t="s">
        <v>72</v>
      </c>
      <c r="U154">
        <v>17.5</v>
      </c>
      <c r="V154">
        <v>0</v>
      </c>
      <c r="W154">
        <v>37.5</v>
      </c>
      <c r="X154">
        <v>1.1000000000000001</v>
      </c>
      <c r="Y154">
        <v>0.9</v>
      </c>
      <c r="Z154">
        <v>2.5</v>
      </c>
      <c r="AA154">
        <v>5</v>
      </c>
      <c r="AB154">
        <v>64.795348480289491</v>
      </c>
      <c r="AC154">
        <v>0</v>
      </c>
      <c r="AD154">
        <v>0</v>
      </c>
      <c r="AE154">
        <v>96.375</v>
      </c>
      <c r="AF154">
        <v>4.5682468318834939</v>
      </c>
      <c r="AG154">
        <v>3.9606881774094269</v>
      </c>
      <c r="AH154">
        <v>4.1712338180701449</v>
      </c>
      <c r="AI154">
        <v>0.59998680000000004</v>
      </c>
      <c r="AJ154">
        <v>4.3182999999999998</v>
      </c>
      <c r="AK154">
        <v>-2.7900000000000001E-2</v>
      </c>
      <c r="AL154">
        <v>1.0497000000000001</v>
      </c>
      <c r="AM154">
        <v>-0.46910000000000002</v>
      </c>
      <c r="AN154">
        <v>0.29149999999999998</v>
      </c>
      <c r="AO154">
        <v>-0.28610000000000002</v>
      </c>
      <c r="AP154">
        <v>-0.1348</v>
      </c>
      <c r="AR154">
        <v>-4.4045191195327571E-2</v>
      </c>
      <c r="AV154">
        <v>-2.1276999999999999</v>
      </c>
      <c r="AW154">
        <v>0.14760000000000001</v>
      </c>
      <c r="AX154">
        <v>-0.21829999999999999</v>
      </c>
      <c r="AY154">
        <v>0.42270000000000002</v>
      </c>
      <c r="AZ154">
        <v>-0.53720000000000001</v>
      </c>
      <c r="BA154">
        <v>1.252</v>
      </c>
      <c r="BB154">
        <v>-5.9999999999999995E-4</v>
      </c>
      <c r="BC154">
        <v>5.3E-3</v>
      </c>
      <c r="BD154">
        <v>-4.8500000000000001E-2</v>
      </c>
      <c r="BE154">
        <v>1.2999999999999999E-3</v>
      </c>
      <c r="BF154">
        <v>-0.56599999999999995</v>
      </c>
      <c r="BG154">
        <v>-3.2099999999999997E-2</v>
      </c>
      <c r="BH154">
        <v>0.84970000000000001</v>
      </c>
      <c r="BI154">
        <v>9.01E-2</v>
      </c>
      <c r="BW154">
        <v>0</v>
      </c>
      <c r="BX154">
        <v>1</v>
      </c>
      <c r="BY154">
        <v>1</v>
      </c>
      <c r="BZ154">
        <v>1.0163642607280992</v>
      </c>
      <c r="CB154">
        <v>-0.51084762400799422</v>
      </c>
      <c r="CG154">
        <v>-0.46680243281266665</v>
      </c>
      <c r="CH154">
        <v>-0.47444130953172409</v>
      </c>
      <c r="CI154">
        <v>0.58459757498563147</v>
      </c>
      <c r="CJ154">
        <v>0</v>
      </c>
      <c r="CK154">
        <v>1.930997935837153</v>
      </c>
      <c r="CL154">
        <v>0.37235866539680262</v>
      </c>
      <c r="CM154">
        <v>0.28581286668786332</v>
      </c>
      <c r="CN154">
        <v>1.3308433868176077</v>
      </c>
      <c r="CO154">
        <v>1.0000000000000001E-5</v>
      </c>
      <c r="CP154">
        <v>1.3308433868176077</v>
      </c>
      <c r="CQ154">
        <v>0.50170000000000003</v>
      </c>
      <c r="CR154">
        <v>0.01</v>
      </c>
      <c r="CS154">
        <v>0.50170000000000003</v>
      </c>
      <c r="CT154">
        <v>0.3</v>
      </c>
      <c r="CU154">
        <v>0.3</v>
      </c>
      <c r="CV154">
        <v>0.3</v>
      </c>
    </row>
    <row r="155" spans="1:100" x14ac:dyDescent="0.25">
      <c r="A155">
        <v>71</v>
      </c>
      <c r="B155">
        <v>10</v>
      </c>
      <c r="C155" t="s">
        <v>124</v>
      </c>
      <c r="D155">
        <v>1.0668</v>
      </c>
      <c r="E155">
        <v>1066.8</v>
      </c>
      <c r="F155">
        <v>9.5250000000000005E-3</v>
      </c>
      <c r="G155">
        <v>9.5250000000000004</v>
      </c>
      <c r="H155">
        <v>111.99999999999999</v>
      </c>
      <c r="I155">
        <v>100</v>
      </c>
      <c r="J155" t="s">
        <v>75</v>
      </c>
      <c r="K155">
        <v>14</v>
      </c>
      <c r="L155">
        <v>15</v>
      </c>
      <c r="M155">
        <v>483000</v>
      </c>
      <c r="N155">
        <v>565000</v>
      </c>
      <c r="O155">
        <v>2.8799444073326219</v>
      </c>
      <c r="P155">
        <v>2.7690517990613435</v>
      </c>
      <c r="Q155">
        <v>1.0577709909520427</v>
      </c>
      <c r="R155">
        <v>75</v>
      </c>
      <c r="S155" t="s">
        <v>78</v>
      </c>
      <c r="T155" t="s">
        <v>79</v>
      </c>
      <c r="U155">
        <v>18</v>
      </c>
      <c r="V155">
        <v>37</v>
      </c>
      <c r="W155">
        <v>0</v>
      </c>
      <c r="X155">
        <v>0</v>
      </c>
      <c r="Y155">
        <v>0.9</v>
      </c>
      <c r="Z155">
        <v>1</v>
      </c>
      <c r="AA155">
        <v>1.8</v>
      </c>
      <c r="AB155">
        <v>39.626853336736396</v>
      </c>
      <c r="AC155">
        <v>12.698394373823998</v>
      </c>
      <c r="AD155">
        <v>64.071522599936642</v>
      </c>
      <c r="AE155">
        <v>900.09607289656856</v>
      </c>
      <c r="AF155">
        <v>6.8025015052900386</v>
      </c>
      <c r="AG155">
        <v>4.7184988712950942</v>
      </c>
      <c r="AH155">
        <v>3.6795070030086925</v>
      </c>
      <c r="AI155">
        <v>0.74998350000000003</v>
      </c>
      <c r="AJ155">
        <v>5.5951000000000004</v>
      </c>
      <c r="AK155">
        <v>1.6E-2</v>
      </c>
      <c r="AL155">
        <v>1.2641</v>
      </c>
      <c r="AM155">
        <v>-0.52429999999999999</v>
      </c>
      <c r="AN155">
        <v>0.35830000000000001</v>
      </c>
      <c r="AO155">
        <v>-0.35920000000000002</v>
      </c>
      <c r="AP155">
        <v>-0.2482</v>
      </c>
      <c r="AR155">
        <v>0.29890207916201494</v>
      </c>
      <c r="AV155">
        <v>-2.3450000000000002</v>
      </c>
      <c r="AW155">
        <v>0.19470000000000001</v>
      </c>
      <c r="AX155">
        <v>-0.2044</v>
      </c>
      <c r="AY155">
        <v>0.4143</v>
      </c>
      <c r="AZ155">
        <v>-0.55710000000000004</v>
      </c>
      <c r="BA155">
        <v>1.0931</v>
      </c>
      <c r="BB155">
        <v>1E-4</v>
      </c>
      <c r="BC155">
        <v>3.5000000000000001E-3</v>
      </c>
      <c r="BD155">
        <v>-4.07E-2</v>
      </c>
      <c r="BE155">
        <v>1.6000000000000001E-3</v>
      </c>
      <c r="BF155">
        <v>-0.65949999999999998</v>
      </c>
      <c r="BG155">
        <v>-3.0099999999999998E-2</v>
      </c>
      <c r="BH155">
        <v>0.84219999999999995</v>
      </c>
      <c r="BI155">
        <v>0.50680000000000003</v>
      </c>
      <c r="BW155">
        <v>1</v>
      </c>
      <c r="BX155">
        <v>1</v>
      </c>
      <c r="BY155">
        <v>0</v>
      </c>
      <c r="BZ155">
        <v>1.2355626853336736</v>
      </c>
      <c r="CB155">
        <v>-0.28770407269378445</v>
      </c>
      <c r="CG155">
        <v>-0.58660615185579945</v>
      </c>
      <c r="CH155">
        <v>-0.72478867222020427</v>
      </c>
      <c r="CI155">
        <v>0.91869173024115491</v>
      </c>
      <c r="CJ155">
        <v>-0.75209123141497669</v>
      </c>
      <c r="CK155">
        <v>2.8182763736416629</v>
      </c>
      <c r="CL155">
        <v>-3.6024043273759798E-2</v>
      </c>
      <c r="CM155">
        <v>-0.12093584302612276</v>
      </c>
      <c r="CN155">
        <v>0.8860908066740244</v>
      </c>
      <c r="CO155">
        <v>1.0000000000000001E-5</v>
      </c>
      <c r="CP155">
        <v>0.8860908066740244</v>
      </c>
      <c r="CQ155">
        <v>0.43780000000000002</v>
      </c>
      <c r="CR155">
        <v>0.01</v>
      </c>
      <c r="CS155">
        <v>0.43780000000000002</v>
      </c>
      <c r="CT155">
        <v>0.3</v>
      </c>
      <c r="CU155">
        <v>0.3</v>
      </c>
      <c r="CV155">
        <v>0.3</v>
      </c>
    </row>
    <row r="156" spans="1:100" x14ac:dyDescent="0.25">
      <c r="A156">
        <v>72</v>
      </c>
      <c r="B156">
        <v>0</v>
      </c>
      <c r="C156" t="s">
        <v>124</v>
      </c>
      <c r="D156">
        <v>0.60960000000000003</v>
      </c>
      <c r="E156">
        <v>609.6</v>
      </c>
      <c r="F156">
        <v>9.5250000000000005E-3</v>
      </c>
      <c r="G156">
        <v>9.5250000000000004</v>
      </c>
      <c r="H156">
        <v>64</v>
      </c>
      <c r="I156">
        <v>300</v>
      </c>
      <c r="J156" t="s">
        <v>77</v>
      </c>
      <c r="K156">
        <v>15</v>
      </c>
      <c r="L156">
        <v>20</v>
      </c>
      <c r="M156">
        <v>552000</v>
      </c>
      <c r="N156">
        <v>625000</v>
      </c>
      <c r="O156">
        <v>2.9888368774026359</v>
      </c>
      <c r="P156">
        <v>2.8464933991254466</v>
      </c>
      <c r="Q156">
        <v>1.0948843075076633</v>
      </c>
      <c r="R156">
        <v>90</v>
      </c>
      <c r="S156" t="s">
        <v>78</v>
      </c>
      <c r="T156" t="s">
        <v>80</v>
      </c>
      <c r="U156">
        <v>18.5</v>
      </c>
      <c r="V156">
        <v>40</v>
      </c>
      <c r="W156">
        <v>0</v>
      </c>
      <c r="X156">
        <v>0</v>
      </c>
      <c r="Y156">
        <v>0.9</v>
      </c>
      <c r="Z156">
        <v>1.2</v>
      </c>
      <c r="AA156">
        <v>1.9685039370078738</v>
      </c>
      <c r="AB156">
        <v>30.889355446920469</v>
      </c>
      <c r="AC156">
        <v>15.896480151009957</v>
      </c>
      <c r="AD156">
        <v>80</v>
      </c>
      <c r="AE156">
        <v>490.12197186123592</v>
      </c>
      <c r="AF156">
        <v>6.1946542822944775</v>
      </c>
      <c r="AG156">
        <v>4.1588830833596715</v>
      </c>
      <c r="AH156">
        <v>3.4304116406370531</v>
      </c>
      <c r="AI156">
        <v>2.75</v>
      </c>
      <c r="AJ156">
        <v>14.575100000000001</v>
      </c>
      <c r="AK156">
        <v>0.1356</v>
      </c>
      <c r="AL156">
        <v>2.9990000000000001</v>
      </c>
      <c r="AM156">
        <v>-0.94710000000000005</v>
      </c>
      <c r="AN156">
        <v>0.6603</v>
      </c>
      <c r="AO156">
        <v>-1.2488999999999999</v>
      </c>
      <c r="AP156">
        <v>-0.44140000000000001</v>
      </c>
      <c r="AR156">
        <v>1.3975575406714862</v>
      </c>
      <c r="AV156">
        <v>5.1353999999999997</v>
      </c>
      <c r="AW156">
        <v>-4.9599999999999998E-2</v>
      </c>
      <c r="AX156">
        <v>0.44590000000000002</v>
      </c>
      <c r="AY156">
        <v>-0.83709999999999996</v>
      </c>
      <c r="AZ156">
        <v>0.63090000000000002</v>
      </c>
      <c r="BA156">
        <v>0.91390000000000005</v>
      </c>
      <c r="BB156">
        <v>2.5000000000000001E-3</v>
      </c>
      <c r="BC156">
        <v>1.6000000000000001E-3</v>
      </c>
      <c r="BD156">
        <v>-9.7500000000000003E-2</v>
      </c>
      <c r="BE156">
        <v>1.1999999999999999E-3</v>
      </c>
      <c r="BF156">
        <v>0.46479999999999999</v>
      </c>
      <c r="BG156">
        <v>8.0000000000000004E-4</v>
      </c>
      <c r="BH156">
        <v>6.7900000000000002E-2</v>
      </c>
      <c r="BI156">
        <v>0.58979999999999999</v>
      </c>
      <c r="BW156">
        <v>1</v>
      </c>
      <c r="BX156">
        <v>1</v>
      </c>
      <c r="BY156">
        <v>0</v>
      </c>
      <c r="BZ156">
        <v>0.97042338861730115</v>
      </c>
      <c r="CB156">
        <v>1.0116009116784799</v>
      </c>
      <c r="CG156">
        <v>-0.38595662899300631</v>
      </c>
      <c r="CH156">
        <v>-0.37454133976670367</v>
      </c>
      <c r="CI156">
        <v>-0.20628060093463971</v>
      </c>
      <c r="CJ156">
        <v>1.529620550560062</v>
      </c>
      <c r="CK156">
        <v>-5.1855450997087065</v>
      </c>
      <c r="CL156">
        <v>-0.31226539005126003</v>
      </c>
      <c r="CM156">
        <v>0.58638812009875241</v>
      </c>
      <c r="CN156">
        <v>1.7974843788684016</v>
      </c>
      <c r="CO156">
        <v>1.0000000000000001E-5</v>
      </c>
      <c r="CP156">
        <v>1.7974843788684016</v>
      </c>
      <c r="CQ156">
        <v>0.34749999999999998</v>
      </c>
      <c r="CR156">
        <v>0.01</v>
      </c>
      <c r="CS156">
        <v>0.34749999999999998</v>
      </c>
      <c r="CT156">
        <v>0.3</v>
      </c>
      <c r="CU156">
        <v>0.3</v>
      </c>
      <c r="CV156">
        <v>0.3</v>
      </c>
    </row>
    <row r="157" spans="1:100" x14ac:dyDescent="0.25">
      <c r="A157">
        <v>73</v>
      </c>
      <c r="B157">
        <v>1</v>
      </c>
      <c r="C157" t="s">
        <v>124</v>
      </c>
      <c r="D157">
        <v>0.40960000000000002</v>
      </c>
      <c r="E157">
        <v>409.6</v>
      </c>
      <c r="F157">
        <v>9.5250000000000005E-3</v>
      </c>
      <c r="G157">
        <v>9.5250000000000004</v>
      </c>
      <c r="H157">
        <v>43.00262467191601</v>
      </c>
      <c r="I157">
        <v>30</v>
      </c>
      <c r="J157" t="s">
        <v>70</v>
      </c>
      <c r="K157">
        <v>8</v>
      </c>
      <c r="L157">
        <v>10</v>
      </c>
      <c r="M157">
        <v>359000</v>
      </c>
      <c r="N157">
        <v>455000</v>
      </c>
      <c r="O157">
        <v>1.9969902892117808</v>
      </c>
      <c r="P157">
        <v>1.9041242414694344</v>
      </c>
      <c r="Q157">
        <v>0.69164119173371341</v>
      </c>
      <c r="R157">
        <v>45</v>
      </c>
      <c r="S157" t="s">
        <v>78</v>
      </c>
      <c r="T157" t="s">
        <v>81</v>
      </c>
      <c r="U157">
        <v>19</v>
      </c>
      <c r="V157">
        <v>43</v>
      </c>
      <c r="W157">
        <v>0</v>
      </c>
      <c r="X157">
        <v>0</v>
      </c>
      <c r="Y157">
        <v>0.9</v>
      </c>
      <c r="Z157">
        <v>0.78739999999999999</v>
      </c>
      <c r="AA157">
        <v>1.9223632812499998</v>
      </c>
      <c r="AB157">
        <v>15.423155931843731</v>
      </c>
      <c r="AC157">
        <v>18.720510313797256</v>
      </c>
      <c r="AD157">
        <v>80</v>
      </c>
      <c r="AE157">
        <v>242.22354087960383</v>
      </c>
      <c r="AF157">
        <v>5.4898610224304614</v>
      </c>
      <c r="AG157">
        <v>3.7612611527125335</v>
      </c>
      <c r="AH157">
        <v>2.7358700120349009</v>
      </c>
      <c r="AI157">
        <v>3</v>
      </c>
      <c r="AJ157">
        <v>3.7532999999999999</v>
      </c>
      <c r="AK157">
        <v>0.14510000000000001</v>
      </c>
      <c r="AL157">
        <v>1.2497</v>
      </c>
      <c r="AM157">
        <v>-0.46100000000000002</v>
      </c>
      <c r="AN157">
        <v>0.39140000000000003</v>
      </c>
      <c r="AO157">
        <v>-0.21310000000000001</v>
      </c>
      <c r="AP157">
        <v>-0.34139999999999998</v>
      </c>
      <c r="AR157">
        <v>-0.43578467917484187</v>
      </c>
      <c r="AV157">
        <v>-1.1082000000000001</v>
      </c>
      <c r="AW157">
        <v>0.10630000000000001</v>
      </c>
      <c r="AX157">
        <v>-0.1439</v>
      </c>
      <c r="AY157">
        <v>0.27879999999999999</v>
      </c>
      <c r="AZ157">
        <v>-0.31030000000000002</v>
      </c>
      <c r="BA157">
        <v>1.2553000000000001</v>
      </c>
      <c r="BB157">
        <v>2.9999999999999997E-4</v>
      </c>
      <c r="BC157">
        <v>5.1999999999999998E-3</v>
      </c>
      <c r="BD157">
        <v>-8.5900000000000004E-2</v>
      </c>
      <c r="BE157">
        <v>5.9999999999999995E-4</v>
      </c>
      <c r="BF157">
        <v>-0.21759999999999999</v>
      </c>
      <c r="BG157">
        <v>-2.69E-2</v>
      </c>
      <c r="BH157">
        <v>0.57389999999999997</v>
      </c>
      <c r="BI157">
        <v>0.34460000000000002</v>
      </c>
      <c r="BW157">
        <v>1</v>
      </c>
      <c r="BX157">
        <v>0</v>
      </c>
      <c r="BY157">
        <v>1</v>
      </c>
      <c r="BZ157">
        <v>1.9037395546714377</v>
      </c>
      <c r="CB157">
        <v>1.0986122886681098</v>
      </c>
      <c r="CG157">
        <v>1.5343969678429517</v>
      </c>
      <c r="CH157">
        <v>2.9210922002505453</v>
      </c>
      <c r="CI157">
        <v>0.39982206053334235</v>
      </c>
      <c r="CJ157">
        <v>-0.39369169473182225</v>
      </c>
      <c r="CK157">
        <v>1.5305732530536127</v>
      </c>
      <c r="CL157">
        <v>0.27696577589119714</v>
      </c>
      <c r="CM157">
        <v>3.626561594996875</v>
      </c>
      <c r="CN157">
        <v>37.583367356871307</v>
      </c>
      <c r="CO157">
        <v>1.0000000000000001E-5</v>
      </c>
      <c r="CP157">
        <v>37.583367356871307</v>
      </c>
      <c r="CQ157">
        <v>0.3997</v>
      </c>
      <c r="CR157">
        <v>0.01</v>
      </c>
      <c r="CS157">
        <v>0.3997</v>
      </c>
      <c r="CT157">
        <v>0.3</v>
      </c>
      <c r="CU157">
        <v>0.3</v>
      </c>
      <c r="CV157">
        <v>0.3</v>
      </c>
    </row>
    <row r="158" spans="1:100" x14ac:dyDescent="0.25">
      <c r="A158">
        <v>74</v>
      </c>
      <c r="B158">
        <v>2</v>
      </c>
      <c r="C158" t="s">
        <v>124</v>
      </c>
      <c r="D158">
        <v>0.89600000000000002</v>
      </c>
      <c r="E158">
        <v>896</v>
      </c>
      <c r="F158">
        <v>9.5250000000000005E-3</v>
      </c>
      <c r="G158">
        <v>9.5250000000000004</v>
      </c>
      <c r="H158">
        <v>94.068241469816272</v>
      </c>
      <c r="I158">
        <v>50</v>
      </c>
      <c r="J158" t="s">
        <v>73</v>
      </c>
      <c r="K158">
        <v>8</v>
      </c>
      <c r="L158">
        <v>12</v>
      </c>
      <c r="M158">
        <v>414000</v>
      </c>
      <c r="N158">
        <v>517000</v>
      </c>
      <c r="O158">
        <v>2.5466769467238102</v>
      </c>
      <c r="P158">
        <v>2.4313344008036557</v>
      </c>
      <c r="Q158">
        <v>0.93478935117382533</v>
      </c>
      <c r="R158">
        <v>60</v>
      </c>
      <c r="S158" t="s">
        <v>78</v>
      </c>
      <c r="T158" t="s">
        <v>79</v>
      </c>
      <c r="U158">
        <v>18</v>
      </c>
      <c r="V158">
        <v>37</v>
      </c>
      <c r="W158">
        <v>0</v>
      </c>
      <c r="X158">
        <v>0</v>
      </c>
      <c r="Y158">
        <v>0.9</v>
      </c>
      <c r="Z158">
        <v>1</v>
      </c>
      <c r="AA158">
        <v>1.8</v>
      </c>
      <c r="AB158">
        <v>33.282396503295658</v>
      </c>
      <c r="AC158">
        <v>12.698394373823998</v>
      </c>
      <c r="AD158">
        <v>64.071522599936642</v>
      </c>
      <c r="AE158">
        <v>667.7384958493501</v>
      </c>
      <c r="AF158">
        <v>6.5038966236115616</v>
      </c>
      <c r="AG158">
        <v>4.5440204919621658</v>
      </c>
      <c r="AH158">
        <v>3.5050286236757637</v>
      </c>
      <c r="AI158">
        <v>0.2</v>
      </c>
      <c r="AJ158">
        <v>4.3182999999999998</v>
      </c>
      <c r="AK158">
        <v>-2.7900000000000001E-2</v>
      </c>
      <c r="AL158">
        <v>1.0497000000000001</v>
      </c>
      <c r="AM158">
        <v>-0.46910000000000002</v>
      </c>
      <c r="AN158">
        <v>0.29149999999999998</v>
      </c>
      <c r="AO158">
        <v>-0.28610000000000002</v>
      </c>
      <c r="AP158">
        <v>-0.1348</v>
      </c>
      <c r="AR158">
        <v>-9.8469706098252174E-2</v>
      </c>
      <c r="AV158">
        <v>-2.1276999999999999</v>
      </c>
      <c r="AW158">
        <v>0.14760000000000001</v>
      </c>
      <c r="AX158">
        <v>-0.21829999999999999</v>
      </c>
      <c r="AY158">
        <v>0.42270000000000002</v>
      </c>
      <c r="AZ158">
        <v>-0.53720000000000001</v>
      </c>
      <c r="BA158">
        <v>1.252</v>
      </c>
      <c r="BB158">
        <v>-5.9999999999999995E-4</v>
      </c>
      <c r="BC158">
        <v>5.3E-3</v>
      </c>
      <c r="BD158">
        <v>-4.8500000000000001E-2</v>
      </c>
      <c r="BE158">
        <v>1.2999999999999999E-3</v>
      </c>
      <c r="BF158">
        <v>-0.56599999999999995</v>
      </c>
      <c r="BG158">
        <v>-3.2099999999999997E-2</v>
      </c>
      <c r="BH158">
        <v>0.84970000000000001</v>
      </c>
      <c r="BI158">
        <v>9.01E-2</v>
      </c>
      <c r="BW158">
        <v>1</v>
      </c>
      <c r="BX158">
        <v>1</v>
      </c>
      <c r="BY158">
        <v>1</v>
      </c>
      <c r="BZ158">
        <v>1.0893192760087838</v>
      </c>
      <c r="CB158">
        <v>-1.6094379124341003</v>
      </c>
      <c r="CG158">
        <v>-1.5109682063358481</v>
      </c>
      <c r="CH158">
        <v>-1.6459267925980565</v>
      </c>
      <c r="CI158">
        <v>0.6706974246136157</v>
      </c>
      <c r="CJ158">
        <v>-0.76514774854841916</v>
      </c>
      <c r="CK158">
        <v>2.7491971028006073</v>
      </c>
      <c r="CL158">
        <v>5.8992546019071369E-2</v>
      </c>
      <c r="CM158">
        <v>-1.0598874677131811</v>
      </c>
      <c r="CN158">
        <v>0.34649479998843213</v>
      </c>
      <c r="CO158">
        <v>1.0000000000000001E-5</v>
      </c>
      <c r="CP158">
        <v>0.34649479998843213</v>
      </c>
      <c r="CQ158">
        <v>0.50170000000000003</v>
      </c>
      <c r="CR158">
        <v>0.01</v>
      </c>
      <c r="CS158">
        <v>0.50170000000000003</v>
      </c>
      <c r="CT158">
        <v>0.3</v>
      </c>
      <c r="CU158">
        <v>0.3</v>
      </c>
      <c r="CV158">
        <v>0.3</v>
      </c>
    </row>
    <row r="159" spans="1:100" x14ac:dyDescent="0.25">
      <c r="A159">
        <v>75</v>
      </c>
      <c r="B159">
        <v>3</v>
      </c>
      <c r="C159" t="s">
        <v>124</v>
      </c>
      <c r="D159">
        <v>0.5</v>
      </c>
      <c r="E159">
        <v>500</v>
      </c>
      <c r="F159">
        <v>9.5250000000000005E-3</v>
      </c>
      <c r="G159">
        <v>9.5250000000000004</v>
      </c>
      <c r="H159">
        <v>52.493438320209975</v>
      </c>
      <c r="I159">
        <v>100</v>
      </c>
      <c r="J159" t="s">
        <v>75</v>
      </c>
      <c r="K159">
        <v>14</v>
      </c>
      <c r="L159">
        <v>15</v>
      </c>
      <c r="M159">
        <v>483000</v>
      </c>
      <c r="N159">
        <v>565000</v>
      </c>
      <c r="O159">
        <v>2.8799444073326219</v>
      </c>
      <c r="P159">
        <v>2.7690517990613435</v>
      </c>
      <c r="Q159">
        <v>1.0577709909520427</v>
      </c>
      <c r="R159">
        <v>75</v>
      </c>
      <c r="S159" t="s">
        <v>78</v>
      </c>
      <c r="T159" t="s">
        <v>80</v>
      </c>
      <c r="U159">
        <v>18.5</v>
      </c>
      <c r="V159">
        <v>40</v>
      </c>
      <c r="W159">
        <v>0</v>
      </c>
      <c r="X159">
        <v>0</v>
      </c>
      <c r="Y159">
        <v>0.9</v>
      </c>
      <c r="Z159">
        <v>1.2</v>
      </c>
      <c r="AA159">
        <v>2.4</v>
      </c>
      <c r="AB159">
        <v>25.335757420374399</v>
      </c>
      <c r="AC159">
        <v>15.970859354576</v>
      </c>
      <c r="AD159">
        <v>80</v>
      </c>
      <c r="AE159">
        <v>362.27653883579364</v>
      </c>
      <c r="AF159">
        <v>5.8924078396237283</v>
      </c>
      <c r="AG159">
        <v>3.9606881774094269</v>
      </c>
      <c r="AH159">
        <v>3.2322167346868085</v>
      </c>
      <c r="AI159">
        <v>0.2</v>
      </c>
      <c r="AJ159">
        <v>5.5951000000000004</v>
      </c>
      <c r="AK159">
        <v>1.6E-2</v>
      </c>
      <c r="AL159">
        <v>1.2641</v>
      </c>
      <c r="AM159">
        <v>-0.52429999999999999</v>
      </c>
      <c r="AN159">
        <v>0.35830000000000001</v>
      </c>
      <c r="AO159">
        <v>-0.35920000000000002</v>
      </c>
      <c r="AP159">
        <v>-0.2482</v>
      </c>
      <c r="AR159">
        <v>0.17619681713022817</v>
      </c>
      <c r="AV159">
        <v>-2.3450000000000002</v>
      </c>
      <c r="AW159">
        <v>0.19470000000000001</v>
      </c>
      <c r="AX159">
        <v>-0.2044</v>
      </c>
      <c r="AY159">
        <v>0.4143</v>
      </c>
      <c r="AZ159">
        <v>-0.55710000000000004</v>
      </c>
      <c r="BA159">
        <v>1.0931</v>
      </c>
      <c r="BB159">
        <v>1E-4</v>
      </c>
      <c r="BC159">
        <v>3.5000000000000001E-3</v>
      </c>
      <c r="BD159">
        <v>-4.07E-2</v>
      </c>
      <c r="BE159">
        <v>1.6000000000000001E-3</v>
      </c>
      <c r="BF159">
        <v>-0.65949999999999998</v>
      </c>
      <c r="BG159">
        <v>-3.0099999999999998E-2</v>
      </c>
      <c r="BH159">
        <v>0.84219999999999995</v>
      </c>
      <c r="BI159">
        <v>0.50680000000000003</v>
      </c>
      <c r="BW159">
        <v>1</v>
      </c>
      <c r="BX159">
        <v>1</v>
      </c>
      <c r="BY159">
        <v>0</v>
      </c>
      <c r="BZ159">
        <v>1.1389230770543735</v>
      </c>
      <c r="CB159">
        <v>-1.6094379124341003</v>
      </c>
      <c r="CG159">
        <v>-1.7856347295643284</v>
      </c>
      <c r="CH159">
        <v>-2.0337006006905591</v>
      </c>
      <c r="CI159">
        <v>0.7711459881416155</v>
      </c>
      <c r="CJ159">
        <v>-0.66066510056998362</v>
      </c>
      <c r="CK159">
        <v>2.4412245679561106</v>
      </c>
      <c r="CL159">
        <v>0.38615229428994552</v>
      </c>
      <c r="CM159">
        <v>-1.4408428508728706</v>
      </c>
      <c r="CN159">
        <v>0.23672814804672532</v>
      </c>
      <c r="CO159">
        <v>1.0000000000000001E-5</v>
      </c>
      <c r="CP159">
        <v>0.23672814804672532</v>
      </c>
      <c r="CQ159">
        <v>0.43780000000000002</v>
      </c>
      <c r="CR159">
        <v>0.01</v>
      </c>
      <c r="CS159">
        <v>0.43780000000000002</v>
      </c>
      <c r="CT159">
        <v>0.3</v>
      </c>
      <c r="CU159">
        <v>0.3</v>
      </c>
      <c r="CV159">
        <v>0.3</v>
      </c>
    </row>
    <row r="160" spans="1:100" x14ac:dyDescent="0.25">
      <c r="A160">
        <v>76</v>
      </c>
      <c r="B160">
        <v>4</v>
      </c>
      <c r="C160" t="s">
        <v>124</v>
      </c>
      <c r="D160">
        <v>1.0668</v>
      </c>
      <c r="E160">
        <v>1066.8</v>
      </c>
      <c r="F160">
        <v>9.5250000000000005E-3</v>
      </c>
      <c r="G160">
        <v>9.5250000000000004</v>
      </c>
      <c r="H160">
        <v>111.99999999999999</v>
      </c>
      <c r="I160">
        <v>300</v>
      </c>
      <c r="J160" t="s">
        <v>70</v>
      </c>
      <c r="K160">
        <v>8</v>
      </c>
      <c r="L160">
        <v>10</v>
      </c>
      <c r="M160">
        <v>359000</v>
      </c>
      <c r="N160">
        <v>455000</v>
      </c>
      <c r="O160">
        <v>1.9969902892117808</v>
      </c>
      <c r="P160">
        <v>1.9041242414694344</v>
      </c>
      <c r="Q160">
        <v>0.69164119173371341</v>
      </c>
      <c r="R160">
        <v>90</v>
      </c>
      <c r="S160" t="s">
        <v>78</v>
      </c>
      <c r="T160" t="s">
        <v>81</v>
      </c>
      <c r="U160">
        <v>19</v>
      </c>
      <c r="V160">
        <v>43</v>
      </c>
      <c r="W160">
        <v>0</v>
      </c>
      <c r="X160">
        <v>0</v>
      </c>
      <c r="Y160">
        <v>0.9</v>
      </c>
      <c r="Z160">
        <v>2.5</v>
      </c>
      <c r="AA160">
        <v>2.3434570678665168</v>
      </c>
      <c r="AB160">
        <v>127.53838306794918</v>
      </c>
      <c r="AC160">
        <v>18.621858727008274</v>
      </c>
      <c r="AD160">
        <v>80</v>
      </c>
      <c r="AE160">
        <v>1808.5527496736904</v>
      </c>
      <c r="AF160">
        <v>7.5002822186049887</v>
      </c>
      <c r="AG160">
        <v>4.7184988712950942</v>
      </c>
      <c r="AH160">
        <v>4.848417362964117</v>
      </c>
      <c r="AI160">
        <v>0.25</v>
      </c>
      <c r="AJ160">
        <v>14.575100000000001</v>
      </c>
      <c r="AK160">
        <v>0.1356</v>
      </c>
      <c r="AL160">
        <v>2.9990000000000001</v>
      </c>
      <c r="AM160">
        <v>-0.94710000000000005</v>
      </c>
      <c r="AN160">
        <v>0.6603</v>
      </c>
      <c r="AO160">
        <v>-1.2488999999999999</v>
      </c>
      <c r="AP160">
        <v>-0.44140000000000001</v>
      </c>
      <c r="AR160">
        <v>2.3065291097276841E-2</v>
      </c>
      <c r="AV160">
        <v>5.1353999999999997</v>
      </c>
      <c r="AW160">
        <v>-4.9599999999999998E-2</v>
      </c>
      <c r="AX160">
        <v>0.44590000000000002</v>
      </c>
      <c r="AY160">
        <v>-0.83709999999999996</v>
      </c>
      <c r="AZ160">
        <v>0.63090000000000002</v>
      </c>
      <c r="BA160">
        <v>0.91390000000000005</v>
      </c>
      <c r="BB160">
        <v>2.5000000000000001E-3</v>
      </c>
      <c r="BC160">
        <v>1.6000000000000001E-3</v>
      </c>
      <c r="BD160">
        <v>-9.7500000000000003E-2</v>
      </c>
      <c r="BE160">
        <v>1.1999999999999999E-3</v>
      </c>
      <c r="BF160">
        <v>0.46479999999999999</v>
      </c>
      <c r="BG160">
        <v>8.0000000000000004E-4</v>
      </c>
      <c r="BH160">
        <v>6.7900000000000002E-2</v>
      </c>
      <c r="BI160">
        <v>0.58979999999999999</v>
      </c>
      <c r="BW160">
        <v>1</v>
      </c>
      <c r="BX160">
        <v>1</v>
      </c>
      <c r="BY160">
        <v>0</v>
      </c>
      <c r="BZ160">
        <v>1.2696459576698729</v>
      </c>
      <c r="CB160">
        <v>-1.3862943611198906</v>
      </c>
      <c r="CG160">
        <v>-1.4093596522171674</v>
      </c>
      <c r="CH160">
        <v>-1.7893877853405444</v>
      </c>
      <c r="CI160">
        <v>-0.23403754401623666</v>
      </c>
      <c r="CJ160">
        <v>2.1619093021456997</v>
      </c>
      <c r="CK160">
        <v>-6.2784862451942356</v>
      </c>
      <c r="CL160">
        <v>4.0796210557198086E-2</v>
      </c>
      <c r="CM160">
        <v>-0.96380606184811912</v>
      </c>
      <c r="CN160">
        <v>0.38143834176838154</v>
      </c>
      <c r="CO160">
        <v>1.0000000000000001E-5</v>
      </c>
      <c r="CP160">
        <v>0.38143834176838154</v>
      </c>
      <c r="CQ160">
        <v>0.34749999999999998</v>
      </c>
      <c r="CR160">
        <v>0.01</v>
      </c>
      <c r="CS160">
        <v>0.34749999999999998</v>
      </c>
      <c r="CT160">
        <v>0.3</v>
      </c>
      <c r="CU160">
        <v>0.3</v>
      </c>
      <c r="CV160">
        <v>0.3</v>
      </c>
    </row>
    <row r="161" spans="1:100" x14ac:dyDescent="0.25">
      <c r="A161">
        <v>77</v>
      </c>
      <c r="B161">
        <v>5</v>
      </c>
      <c r="C161" t="s">
        <v>124</v>
      </c>
      <c r="D161">
        <v>0.60960000000000003</v>
      </c>
      <c r="E161">
        <v>609.6</v>
      </c>
      <c r="F161">
        <v>9.5250000000000005E-3</v>
      </c>
      <c r="G161">
        <v>9.5250000000000004</v>
      </c>
      <c r="H161">
        <v>64</v>
      </c>
      <c r="I161">
        <v>30</v>
      </c>
      <c r="J161" t="s">
        <v>75</v>
      </c>
      <c r="K161">
        <v>14</v>
      </c>
      <c r="L161">
        <v>15</v>
      </c>
      <c r="M161">
        <v>483000</v>
      </c>
      <c r="N161">
        <v>565000</v>
      </c>
      <c r="O161">
        <v>2.8799444073326219</v>
      </c>
      <c r="P161">
        <v>2.7690517990613435</v>
      </c>
      <c r="Q161">
        <v>1.0577709909520427</v>
      </c>
      <c r="R161">
        <v>45</v>
      </c>
      <c r="S161" t="s">
        <v>78</v>
      </c>
      <c r="T161" t="s">
        <v>79</v>
      </c>
      <c r="U161">
        <v>18</v>
      </c>
      <c r="V161">
        <v>37</v>
      </c>
      <c r="W161">
        <v>0</v>
      </c>
      <c r="X161">
        <v>0</v>
      </c>
      <c r="Y161">
        <v>0.9</v>
      </c>
      <c r="Z161">
        <v>1</v>
      </c>
      <c r="AA161">
        <v>1.8</v>
      </c>
      <c r="AB161">
        <v>22.643916192420797</v>
      </c>
      <c r="AC161">
        <v>12.698394373823998</v>
      </c>
      <c r="AD161">
        <v>64.071522599936642</v>
      </c>
      <c r="AE161">
        <v>353.62475395575746</v>
      </c>
      <c r="AF161">
        <v>5.8682363338442034</v>
      </c>
      <c r="AG161">
        <v>4.1588830833596715</v>
      </c>
      <c r="AH161">
        <v>3.1198912150732698</v>
      </c>
      <c r="AI161">
        <v>0.28000000000000003</v>
      </c>
      <c r="AJ161">
        <v>3.7532999999999999</v>
      </c>
      <c r="AK161">
        <v>0.14510000000000001</v>
      </c>
      <c r="AL161">
        <v>1.2497</v>
      </c>
      <c r="AM161">
        <v>-0.46100000000000002</v>
      </c>
      <c r="AN161">
        <v>0.39140000000000003</v>
      </c>
      <c r="AO161">
        <v>-0.21310000000000001</v>
      </c>
      <c r="AP161">
        <v>-0.34139999999999998</v>
      </c>
      <c r="AR161">
        <v>-0.19061367663895701</v>
      </c>
      <c r="AV161">
        <v>-1.1082000000000001</v>
      </c>
      <c r="AW161">
        <v>0.10630000000000001</v>
      </c>
      <c r="AX161">
        <v>-0.1439</v>
      </c>
      <c r="AY161">
        <v>0.27879999999999999</v>
      </c>
      <c r="AZ161">
        <v>-0.31030000000000002</v>
      </c>
      <c r="BA161">
        <v>1.2553000000000001</v>
      </c>
      <c r="BB161">
        <v>2.9999999999999997E-4</v>
      </c>
      <c r="BC161">
        <v>5.1999999999999998E-3</v>
      </c>
      <c r="BD161">
        <v>-8.5900000000000004E-2</v>
      </c>
      <c r="BE161">
        <v>5.9999999999999995E-4</v>
      </c>
      <c r="BF161">
        <v>-0.21759999999999999</v>
      </c>
      <c r="BG161">
        <v>-2.69E-2</v>
      </c>
      <c r="BH161">
        <v>0.57389999999999997</v>
      </c>
      <c r="BI161">
        <v>0.34460000000000002</v>
      </c>
      <c r="BW161">
        <v>1</v>
      </c>
      <c r="BX161">
        <v>1</v>
      </c>
      <c r="BY161">
        <v>1</v>
      </c>
      <c r="BZ161">
        <v>0.93649317485772643</v>
      </c>
      <c r="CB161">
        <v>-1.2729656758128873</v>
      </c>
      <c r="CG161">
        <v>-1.0823519991739303</v>
      </c>
      <c r="CH161">
        <v>-1.0136152600200012</v>
      </c>
      <c r="CI161">
        <v>0.44208927176113311</v>
      </c>
      <c r="CJ161">
        <v>-0.44895234584904353</v>
      </c>
      <c r="CK161">
        <v>1.6360642898757638</v>
      </c>
      <c r="CL161">
        <v>0.15358369081139006</v>
      </c>
      <c r="CM161">
        <v>-0.33903035342075799</v>
      </c>
      <c r="CN161">
        <v>0.71246082313784431</v>
      </c>
      <c r="CO161">
        <v>1.0000000000000001E-5</v>
      </c>
      <c r="CP161">
        <v>0.71246082313784431</v>
      </c>
      <c r="CQ161">
        <v>0.3997</v>
      </c>
      <c r="CR161">
        <v>0.01</v>
      </c>
      <c r="CS161">
        <v>0.3997</v>
      </c>
      <c r="CT161">
        <v>0.3</v>
      </c>
      <c r="CU161">
        <v>0.3</v>
      </c>
      <c r="CV161">
        <v>0.3</v>
      </c>
    </row>
    <row r="162" spans="1:100" x14ac:dyDescent="0.25">
      <c r="A162">
        <v>78</v>
      </c>
      <c r="B162">
        <v>6</v>
      </c>
      <c r="C162" t="s">
        <v>124</v>
      </c>
      <c r="D162">
        <v>0.40960000000000002</v>
      </c>
      <c r="E162">
        <v>409.6</v>
      </c>
      <c r="F162">
        <v>9.5250000000000005E-3</v>
      </c>
      <c r="G162">
        <v>9.5250000000000004</v>
      </c>
      <c r="H162">
        <v>43.00262467191601</v>
      </c>
      <c r="I162">
        <v>50</v>
      </c>
      <c r="J162" t="s">
        <v>77</v>
      </c>
      <c r="K162">
        <v>15</v>
      </c>
      <c r="L162">
        <v>20</v>
      </c>
      <c r="M162">
        <v>552000</v>
      </c>
      <c r="N162">
        <v>625000</v>
      </c>
      <c r="O162">
        <v>2.9888368774026359</v>
      </c>
      <c r="P162">
        <v>2.8464933991254466</v>
      </c>
      <c r="Q162">
        <v>1.0948843075076633</v>
      </c>
      <c r="R162">
        <v>60</v>
      </c>
      <c r="S162" t="s">
        <v>78</v>
      </c>
      <c r="T162" t="s">
        <v>80</v>
      </c>
      <c r="U162">
        <v>18.5</v>
      </c>
      <c r="V162">
        <v>40</v>
      </c>
      <c r="W162">
        <v>0</v>
      </c>
      <c r="X162">
        <v>0</v>
      </c>
      <c r="Y162">
        <v>0.9</v>
      </c>
      <c r="Z162">
        <v>1.2</v>
      </c>
      <c r="AA162">
        <v>2.9296874999999996</v>
      </c>
      <c r="AB162">
        <v>20.755052478770708</v>
      </c>
      <c r="AC162">
        <v>16.165411783848704</v>
      </c>
      <c r="AD162">
        <v>80</v>
      </c>
      <c r="AE162">
        <v>271.14542759995038</v>
      </c>
      <c r="AF162">
        <v>5.6026553101537404</v>
      </c>
      <c r="AG162">
        <v>3.7612611527125335</v>
      </c>
      <c r="AH162">
        <v>3.0327897099899146</v>
      </c>
      <c r="AI162">
        <v>0.18</v>
      </c>
      <c r="AJ162">
        <v>4.3182999999999998</v>
      </c>
      <c r="AK162">
        <v>-2.7900000000000001E-2</v>
      </c>
      <c r="AL162">
        <v>1.0497000000000001</v>
      </c>
      <c r="AM162">
        <v>-0.46910000000000002</v>
      </c>
      <c r="AN162">
        <v>0.29149999999999998</v>
      </c>
      <c r="AO162">
        <v>-0.28610000000000002</v>
      </c>
      <c r="AP162">
        <v>-0.1348</v>
      </c>
      <c r="AR162">
        <v>-0.18476915335014066</v>
      </c>
      <c r="AV162">
        <v>-2.1276999999999999</v>
      </c>
      <c r="AW162">
        <v>0.14760000000000001</v>
      </c>
      <c r="AX162">
        <v>-0.21829999999999999</v>
      </c>
      <c r="AY162">
        <v>0.42270000000000002</v>
      </c>
      <c r="AZ162">
        <v>-0.53720000000000001</v>
      </c>
      <c r="BA162">
        <v>1.252</v>
      </c>
      <c r="BB162">
        <v>-5.9999999999999995E-4</v>
      </c>
      <c r="BC162">
        <v>5.3E-3</v>
      </c>
      <c r="BD162">
        <v>-4.8500000000000001E-2</v>
      </c>
      <c r="BE162">
        <v>1.2999999999999999E-3</v>
      </c>
      <c r="BF162">
        <v>-0.56599999999999995</v>
      </c>
      <c r="BG162">
        <v>-3.2099999999999997E-2</v>
      </c>
      <c r="BH162">
        <v>0.84970000000000001</v>
      </c>
      <c r="BI162">
        <v>9.01E-2</v>
      </c>
      <c r="BW162">
        <v>1</v>
      </c>
      <c r="BX162">
        <v>1</v>
      </c>
      <c r="BY162">
        <v>1</v>
      </c>
      <c r="BZ162">
        <v>1.0304503805862284</v>
      </c>
      <c r="CB162">
        <v>-1.7147984280919266</v>
      </c>
      <c r="CG162">
        <v>-1.5300292747417861</v>
      </c>
      <c r="CH162">
        <v>-1.5766192484657444</v>
      </c>
      <c r="CI162">
        <v>0.55516214614036996</v>
      </c>
      <c r="CJ162">
        <v>-0.66205799369079832</v>
      </c>
      <c r="CK162">
        <v>2.3682423996019861</v>
      </c>
      <c r="CL162">
        <v>0.47949086306397387</v>
      </c>
      <c r="CM162">
        <v>-0.96348183335021309</v>
      </c>
      <c r="CN162">
        <v>0.3815620350003287</v>
      </c>
      <c r="CO162">
        <v>1.0000000000000001E-5</v>
      </c>
      <c r="CP162">
        <v>0.3815620350003287</v>
      </c>
      <c r="CQ162">
        <v>0.50170000000000003</v>
      </c>
      <c r="CR162">
        <v>0.01</v>
      </c>
      <c r="CS162">
        <v>0.50170000000000003</v>
      </c>
      <c r="CT162">
        <v>0.3</v>
      </c>
      <c r="CU162">
        <v>0.3</v>
      </c>
      <c r="CV162">
        <v>0.3</v>
      </c>
    </row>
    <row r="163" spans="1:100" x14ac:dyDescent="0.25">
      <c r="A163">
        <v>79</v>
      </c>
      <c r="B163">
        <v>7</v>
      </c>
      <c r="C163" t="s">
        <v>124</v>
      </c>
      <c r="D163">
        <v>0.89600000000000002</v>
      </c>
      <c r="E163">
        <v>896</v>
      </c>
      <c r="F163">
        <v>9.5250000000000005E-3</v>
      </c>
      <c r="G163">
        <v>9.5250000000000004</v>
      </c>
      <c r="H163">
        <v>94.068241469816272</v>
      </c>
      <c r="I163">
        <v>100</v>
      </c>
      <c r="J163" t="s">
        <v>70</v>
      </c>
      <c r="K163">
        <v>8</v>
      </c>
      <c r="L163">
        <v>10</v>
      </c>
      <c r="M163">
        <v>359000</v>
      </c>
      <c r="N163">
        <v>455000</v>
      </c>
      <c r="O163">
        <v>1.9969902892117808</v>
      </c>
      <c r="P163">
        <v>1.9041242414694344</v>
      </c>
      <c r="Q163">
        <v>0.69164119173371341</v>
      </c>
      <c r="R163">
        <v>75</v>
      </c>
      <c r="S163" t="s">
        <v>78</v>
      </c>
      <c r="T163" t="s">
        <v>81</v>
      </c>
      <c r="U163">
        <v>19</v>
      </c>
      <c r="V163">
        <v>43</v>
      </c>
      <c r="W163">
        <v>0</v>
      </c>
      <c r="X163">
        <v>0</v>
      </c>
      <c r="Y163">
        <v>0.9</v>
      </c>
      <c r="Z163">
        <v>0.8</v>
      </c>
      <c r="AA163">
        <v>1.8</v>
      </c>
      <c r="AB163">
        <v>34.278032614587922</v>
      </c>
      <c r="AC163">
        <v>18.784824717152006</v>
      </c>
      <c r="AD163">
        <v>80</v>
      </c>
      <c r="AE163">
        <v>865.97444478783666</v>
      </c>
      <c r="AF163">
        <v>6.7638553986441545</v>
      </c>
      <c r="AG163">
        <v>4.5440204919621658</v>
      </c>
      <c r="AH163">
        <v>3.5345047004428238</v>
      </c>
      <c r="AI163">
        <v>0.4</v>
      </c>
      <c r="AJ163">
        <v>5.5951000000000004</v>
      </c>
      <c r="AK163">
        <v>1.6E-2</v>
      </c>
      <c r="AL163">
        <v>1.2641</v>
      </c>
      <c r="AM163">
        <v>-0.52429999999999999</v>
      </c>
      <c r="AN163">
        <v>0.35830000000000001</v>
      </c>
      <c r="AO163">
        <v>-0.35920000000000002</v>
      </c>
      <c r="AP163">
        <v>-0.2482</v>
      </c>
      <c r="AR163">
        <v>8.8509920075637738E-2</v>
      </c>
      <c r="AV163">
        <v>-2.3450000000000002</v>
      </c>
      <c r="AW163">
        <v>0.19470000000000001</v>
      </c>
      <c r="AX163">
        <v>-0.2044</v>
      </c>
      <c r="AY163">
        <v>0.4143</v>
      </c>
      <c r="AZ163">
        <v>-0.55710000000000004</v>
      </c>
      <c r="BA163">
        <v>1.0931</v>
      </c>
      <c r="BB163">
        <v>1E-4</v>
      </c>
      <c r="BC163">
        <v>3.5000000000000001E-3</v>
      </c>
      <c r="BD163">
        <v>-4.07E-2</v>
      </c>
      <c r="BE163">
        <v>1.6000000000000001E-3</v>
      </c>
      <c r="BF163">
        <v>-0.65949999999999998</v>
      </c>
      <c r="BG163">
        <v>-3.0099999999999998E-2</v>
      </c>
      <c r="BH163">
        <v>0.84219999999999995</v>
      </c>
      <c r="BI163">
        <v>0.50680000000000003</v>
      </c>
      <c r="BW163">
        <v>1</v>
      </c>
      <c r="BX163">
        <v>1</v>
      </c>
      <c r="BY163">
        <v>0</v>
      </c>
      <c r="BZ163">
        <v>1.2063369896131648</v>
      </c>
      <c r="CB163">
        <v>-0.916290731874155</v>
      </c>
      <c r="CG163">
        <v>-1.0048006519497927</v>
      </c>
      <c r="CH163">
        <v>-1.2121281936344583</v>
      </c>
      <c r="CI163">
        <v>0.88472078978503377</v>
      </c>
      <c r="CJ163">
        <v>-0.72245276077051324</v>
      </c>
      <c r="CK163">
        <v>2.8022652916582733</v>
      </c>
      <c r="CL163">
        <v>6.1177861852614784E-2</v>
      </c>
      <c r="CM163">
        <v>-0.53141701110905004</v>
      </c>
      <c r="CN163">
        <v>0.58777150055444438</v>
      </c>
      <c r="CO163">
        <v>1.0000000000000001E-5</v>
      </c>
      <c r="CP163">
        <v>0.58777150055444438</v>
      </c>
      <c r="CQ163">
        <v>0.43780000000000002</v>
      </c>
      <c r="CR163">
        <v>0.01</v>
      </c>
      <c r="CS163">
        <v>0.43780000000000002</v>
      </c>
      <c r="CT163">
        <v>0.3</v>
      </c>
      <c r="CU163">
        <v>0.3</v>
      </c>
      <c r="CV163">
        <v>0.3</v>
      </c>
    </row>
    <row r="164" spans="1:100" x14ac:dyDescent="0.25">
      <c r="A164">
        <v>80</v>
      </c>
      <c r="B164">
        <v>8</v>
      </c>
      <c r="C164" t="s">
        <v>124</v>
      </c>
      <c r="D164">
        <v>0.5</v>
      </c>
      <c r="E164">
        <v>500</v>
      </c>
      <c r="F164">
        <v>9.5250000000000005E-3</v>
      </c>
      <c r="G164">
        <v>9.5250000000000004</v>
      </c>
      <c r="H164">
        <v>52.493438320209975</v>
      </c>
      <c r="I164">
        <v>300</v>
      </c>
      <c r="J164" t="s">
        <v>70</v>
      </c>
      <c r="K164">
        <v>8</v>
      </c>
      <c r="L164">
        <v>10</v>
      </c>
      <c r="M164">
        <v>359000</v>
      </c>
      <c r="N164">
        <v>455000</v>
      </c>
      <c r="O164">
        <v>1.9969902892117808</v>
      </c>
      <c r="P164">
        <v>1.9041242414694344</v>
      </c>
      <c r="Q164">
        <v>0.69164119173371341</v>
      </c>
      <c r="R164">
        <v>90</v>
      </c>
      <c r="S164" t="s">
        <v>78</v>
      </c>
      <c r="T164" t="s">
        <v>79</v>
      </c>
      <c r="U164">
        <v>18</v>
      </c>
      <c r="V164">
        <v>37</v>
      </c>
      <c r="W164">
        <v>0</v>
      </c>
      <c r="X164">
        <v>0</v>
      </c>
      <c r="Y164">
        <v>0.9</v>
      </c>
      <c r="Z164">
        <v>2</v>
      </c>
      <c r="AA164">
        <v>4</v>
      </c>
      <c r="AB164">
        <v>37.145531811713909</v>
      </c>
      <c r="AC164">
        <v>14.286272930000003</v>
      </c>
      <c r="AD164">
        <v>64.071522599936642</v>
      </c>
      <c r="AE164">
        <v>401.31383858985748</v>
      </c>
      <c r="AF164">
        <v>5.9947437610786407</v>
      </c>
      <c r="AG164">
        <v>3.9606881774094269</v>
      </c>
      <c r="AH164">
        <v>3.6148434896829706</v>
      </c>
      <c r="AI164">
        <v>1.2</v>
      </c>
      <c r="AJ164">
        <v>14.575100000000001</v>
      </c>
      <c r="AK164">
        <v>0.1356</v>
      </c>
      <c r="AL164">
        <v>2.9990000000000001</v>
      </c>
      <c r="AM164">
        <v>-0.94710000000000005</v>
      </c>
      <c r="AN164">
        <v>0.6603</v>
      </c>
      <c r="AO164">
        <v>-1.2488999999999999</v>
      </c>
      <c r="AP164">
        <v>-0.44140000000000001</v>
      </c>
      <c r="AR164">
        <v>0.89288001558423113</v>
      </c>
      <c r="AV164">
        <v>5.1353999999999997</v>
      </c>
      <c r="AW164">
        <v>-4.9599999999999998E-2</v>
      </c>
      <c r="AX164">
        <v>0.44590000000000002</v>
      </c>
      <c r="AY164">
        <v>-0.83709999999999996</v>
      </c>
      <c r="AZ164">
        <v>0.63090000000000002</v>
      </c>
      <c r="BA164">
        <v>0.91390000000000005</v>
      </c>
      <c r="BB164">
        <v>2.5000000000000001E-3</v>
      </c>
      <c r="BC164">
        <v>1.6000000000000001E-3</v>
      </c>
      <c r="BD164">
        <v>-9.7500000000000003E-2</v>
      </c>
      <c r="BE164">
        <v>1.1999999999999999E-3</v>
      </c>
      <c r="BF164">
        <v>0.46479999999999999</v>
      </c>
      <c r="BG164">
        <v>8.0000000000000004E-4</v>
      </c>
      <c r="BH164">
        <v>6.7900000000000002E-2</v>
      </c>
      <c r="BI164">
        <v>0.58979999999999999</v>
      </c>
      <c r="BW164">
        <v>1</v>
      </c>
      <c r="BX164">
        <v>1</v>
      </c>
      <c r="BY164">
        <v>0</v>
      </c>
      <c r="BZ164">
        <v>0.97225595551353683</v>
      </c>
      <c r="CB164">
        <v>0.18232155679395459</v>
      </c>
      <c r="CG164">
        <v>-0.71055845879027657</v>
      </c>
      <c r="CH164">
        <v>-0.69084469329936637</v>
      </c>
      <c r="CI164">
        <v>-0.19645013359950758</v>
      </c>
      <c r="CJ164">
        <v>1.6118587120496366</v>
      </c>
      <c r="CK164">
        <v>-5.0182000023989302</v>
      </c>
      <c r="CL164">
        <v>-0.43730655621526948</v>
      </c>
      <c r="CM164">
        <v>0.40445732653656241</v>
      </c>
      <c r="CN164">
        <v>1.4984890891045519</v>
      </c>
      <c r="CO164">
        <v>1.0000000000000001E-5</v>
      </c>
      <c r="CP164">
        <v>1.4984890891045519</v>
      </c>
      <c r="CQ164">
        <v>0.34749999999999998</v>
      </c>
      <c r="CR164">
        <v>0.01</v>
      </c>
      <c r="CS164">
        <v>0.34749999999999998</v>
      </c>
      <c r="CT164">
        <v>0.3</v>
      </c>
      <c r="CU164">
        <v>0.3</v>
      </c>
      <c r="CV164">
        <v>0.3</v>
      </c>
    </row>
  </sheetData>
  <dataValidations count="1">
    <dataValidation type="list" allowBlank="1" showInputMessage="1" showErrorMessage="1" sqref="J62:J81" xr:uid="{00000000-0002-0000-0200-000000000000}">
      <formula1>"Grade-B,X-42,X-52,X-60,X-70,X-80"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backup (2)</vt:lpstr>
      <vt:lpstr>backup</vt:lpstr>
      <vt:lpstr>cleaned</vt:lpstr>
      <vt:lpstr>to_csv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2022-08-24T04:14:30Z</dcterms:created>
  <dcterms:modified xsi:type="dcterms:W3CDTF">2022-08-25T21:16:32Z</dcterms:modified>
</cp:coreProperties>
</file>